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18"/>
  <workbookPr codeName="ThisWorkbook" hidePivotFieldList="1" defaultThemeVersion="124226"/>
  <mc:AlternateContent xmlns:mc="http://schemas.openxmlformats.org/markup-compatibility/2006">
    <mc:Choice Requires="x15">
      <x15ac:absPath xmlns:x15ac="http://schemas.microsoft.com/office/spreadsheetml/2010/11/ac" url="D:\HUNG\HÓC MÔN\241016 THVH HÓA HUYỆN HÓC MÔN\241124 DỰ TOÁN TTVH HÓC MÔN\241111 DỰ TOÁN TTVH HÓC MÔN\"/>
    </mc:Choice>
  </mc:AlternateContent>
  <xr:revisionPtr revIDLastSave="2" documentId="13_ncr:1_{AA5128E3-9737-4F9A-A663-3093AEE7E33A}" xr6:coauthVersionLast="47" xr6:coauthVersionMax="47" xr10:uidLastSave="{5A58F151-7FA7-446F-AC4D-9852383780E2}"/>
  <bookViews>
    <workbookView xWindow="-120" yWindow="-120" windowWidth="29040" windowHeight="15840" tabRatio="836" firstSheet="89" activeTab="89" xr2:uid="{00000000-000D-0000-FFFF-FFFF00000000}"/>
  </bookViews>
  <sheets>
    <sheet name="SGV_7" sheetId="56" state="veryHidden" r:id="rId1"/>
    <sheet name="CANCU" sheetId="29" state="hidden" r:id="rId2"/>
    <sheet name="B THKP" sheetId="4" state="hidden" r:id="rId3"/>
    <sheet name="TGTHMUC (2)" sheetId="38" state="hidden" r:id="rId4"/>
    <sheet name="TGTHMUC (3)" sheetId="43" state="hidden" r:id="rId5"/>
    <sheet name="SGV" sheetId="44" state="hidden" r:id="rId6"/>
    <sheet name="SGV_2" sheetId="45" state="veryHidden" r:id="rId7"/>
    <sheet name="SGV_3" sheetId="49" state="veryHidden" r:id="rId8"/>
    <sheet name="SGV_4" sheetId="51" state="veryHidden" r:id="rId9"/>
    <sheet name="SGV_5" sheetId="52" state="veryHidden" r:id="rId10"/>
    <sheet name="SGV_6" sheetId="53" state="veryHidden" r:id="rId11"/>
    <sheet name="Kangatang" sheetId="62" state="veryHidden" r:id="rId12"/>
    <sheet name="Kangatang_2" sheetId="63" state="veryHidden" r:id="rId13"/>
    <sheet name="Kangatang_3" sheetId="64" state="veryHidden" r:id="rId14"/>
    <sheet name="Kangatang_4" sheetId="65" state="veryHidden" r:id="rId15"/>
    <sheet name="Kangatang_5" sheetId="66" state="veryHidden" r:id="rId16"/>
    <sheet name="Kangatang_6" sheetId="67" state="veryHidden" r:id="rId17"/>
    <sheet name="Kangatang_7" sheetId="68" state="veryHidden" r:id="rId18"/>
    <sheet name="Kangatang_8" sheetId="69" state="veryHidden" r:id="rId19"/>
    <sheet name="Kangatang_9" sheetId="70" state="veryHidden" r:id="rId20"/>
    <sheet name="Kangatang_10" sheetId="71" state="veryHidden" r:id="rId21"/>
    <sheet name="Kangatang_11" sheetId="72" state="veryHidden" r:id="rId22"/>
    <sheet name="Kangatang_12" sheetId="73" state="veryHidden" r:id="rId23"/>
    <sheet name="Kangatang_13" sheetId="74" state="veryHidden" r:id="rId24"/>
    <sheet name="Kangatang_14" sheetId="75" state="veryHidden" r:id="rId25"/>
    <sheet name="Kangatang_15" sheetId="76" state="veryHidden" r:id="rId26"/>
    <sheet name="Kangatang_16" sheetId="77" state="veryHidden" r:id="rId27"/>
    <sheet name="Kangatang_17" sheetId="78" state="veryHidden" r:id="rId28"/>
    <sheet name="Kangatang_18" sheetId="79" state="veryHidden" r:id="rId29"/>
    <sheet name="Kangatang_19" sheetId="80" state="veryHidden" r:id="rId30"/>
    <sheet name="Kangatang_20" sheetId="81" state="veryHidden" r:id="rId31"/>
    <sheet name="Kangatang_21" sheetId="82" state="veryHidden" r:id="rId32"/>
    <sheet name="Kangatang_22" sheetId="83" state="veryHidden" r:id="rId33"/>
    <sheet name="Kangatang_23" sheetId="84" state="veryHidden" r:id="rId34"/>
    <sheet name="Kangatang_24" sheetId="85" state="veryHidden" r:id="rId35"/>
    <sheet name="Kangatang_25" sheetId="86" state="veryHidden" r:id="rId36"/>
    <sheet name="Kangatang_26" sheetId="87" state="veryHidden" r:id="rId37"/>
    <sheet name="Kangatang_27" sheetId="88" state="veryHidden" r:id="rId38"/>
    <sheet name="Kangatang_28" sheetId="89" state="veryHidden" r:id="rId39"/>
    <sheet name="Kangatang_29" sheetId="90" state="veryHidden" r:id="rId40"/>
    <sheet name="Kangatang_30" sheetId="91" state="veryHidden" r:id="rId41"/>
    <sheet name="Kangatang_31" sheetId="92" state="veryHidden" r:id="rId42"/>
    <sheet name="Kangatang_32" sheetId="93" state="veryHidden" r:id="rId43"/>
    <sheet name="Kangatang_33" sheetId="94" state="veryHidden" r:id="rId44"/>
    <sheet name="Kangatang_34" sheetId="95" state="veryHidden" r:id="rId45"/>
    <sheet name="Kangatang_35" sheetId="96" state="veryHidden" r:id="rId46"/>
    <sheet name="Kangatang_36" sheetId="97" state="veryHidden" r:id="rId47"/>
    <sheet name="Kangatang_37" sheetId="98" state="veryHidden" r:id="rId48"/>
    <sheet name="Kangatang_38" sheetId="99" state="veryHidden" r:id="rId49"/>
    <sheet name="Kangatang_39" sheetId="100" state="veryHidden" r:id="rId50"/>
    <sheet name="Kangatang_40" sheetId="101" state="veryHidden" r:id="rId51"/>
    <sheet name="Kangatang_41" sheetId="102" state="veryHidden" r:id="rId52"/>
    <sheet name="Kangatang_42" sheetId="103" state="veryHidden" r:id="rId53"/>
    <sheet name="Kangatang_43" sheetId="104" state="veryHidden" r:id="rId54"/>
    <sheet name="Kangatang_44" sheetId="105" state="veryHidden" r:id="rId55"/>
    <sheet name="Kangatang_45" sheetId="106" state="veryHidden" r:id="rId56"/>
    <sheet name="Kangatang_46" sheetId="107" state="veryHidden" r:id="rId57"/>
    <sheet name="Kangatang_47" sheetId="108" state="veryHidden" r:id="rId58"/>
    <sheet name="Kangatang_48" sheetId="109" state="veryHidden" r:id="rId59"/>
    <sheet name="Kangatang_49" sheetId="110" state="veryHidden" r:id="rId60"/>
    <sheet name="Kangatang_50" sheetId="111" state="veryHidden" r:id="rId61"/>
    <sheet name="Kangatang_51" sheetId="112" state="veryHidden" r:id="rId62"/>
    <sheet name="Kangatang_52" sheetId="113" state="veryHidden" r:id="rId63"/>
    <sheet name="Kangatang_53" sheetId="114" state="veryHidden" r:id="rId64"/>
    <sheet name="Kangatang_54" sheetId="115" state="veryHidden" r:id="rId65"/>
    <sheet name="Kangatang_55" sheetId="116" state="veryHidden" r:id="rId66"/>
    <sheet name="Kangatang_56" sheetId="117" state="veryHidden" r:id="rId67"/>
    <sheet name="Kangatang_57" sheetId="118" state="veryHidden" r:id="rId68"/>
    <sheet name="Kangatang_58" sheetId="119" state="veryHidden" r:id="rId69"/>
    <sheet name="Kangatang_59" sheetId="120" state="veryHidden" r:id="rId70"/>
    <sheet name="Kangatang_60" sheetId="121" state="veryHidden" r:id="rId71"/>
    <sheet name="Kangatang_61" sheetId="122" state="veryHidden" r:id="rId72"/>
    <sheet name="Kangatang_62" sheetId="123" state="veryHidden" r:id="rId73"/>
    <sheet name="Kangatang_63" sheetId="124" state="veryHidden" r:id="rId74"/>
    <sheet name="Kangatang_64" sheetId="125" state="veryHidden" r:id="rId75"/>
    <sheet name="Kangatang_65" sheetId="126" state="veryHidden" r:id="rId76"/>
    <sheet name="Kangatang_66" sheetId="127" state="veryHidden" r:id="rId77"/>
    <sheet name="Kangatang_67" sheetId="128" state="veryHidden" r:id="rId78"/>
    <sheet name="Kangatang_68" sheetId="129" state="veryHidden" r:id="rId79"/>
    <sheet name="Kangatang_69" sheetId="130" state="veryHidden" r:id="rId80"/>
    <sheet name="Kangatang_70" sheetId="131" state="veryHidden" r:id="rId81"/>
    <sheet name="Kangatang_71" sheetId="132" state="veryHidden" r:id="rId82"/>
    <sheet name="Kangatang_72" sheetId="133" state="veryHidden" r:id="rId83"/>
    <sheet name="Kangatang_73" sheetId="134" state="veryHidden" r:id="rId84"/>
    <sheet name="TGTHMUC (4)" sheetId="138" state="hidden" r:id="rId85"/>
    <sheet name="1.Bia" sheetId="139" r:id="rId86"/>
    <sheet name="3.BiaT" sheetId="140" r:id="rId87"/>
    <sheet name="TM" sheetId="141" r:id="rId88"/>
    <sheet name="TMĐT" sheetId="142" r:id="rId89"/>
    <sheet name="TGTHMUC" sheetId="30" r:id="rId90"/>
    <sheet name="CP TB" sheetId="144" r:id="rId91"/>
    <sheet name="TB NHA HAT" sheetId="143" state="hidden" r:id="rId92"/>
    <sheet name="Ý kiến 8-10" sheetId="135" state="hidden" r:id="rId93"/>
    <sheet name="Sheet1" sheetId="137" state="hidden" r:id="rId94"/>
    <sheet name="Sheet2" sheetId="136" state="hidden" r:id="rId95"/>
    <sheet name="TB" sheetId="50" state="hidden" r:id="rId96"/>
    <sheet name="TB cơ bản" sheetId="47" state="hidden" r:id="rId97"/>
    <sheet name="Bảng chủng loại vật tư" sheetId="39" state="hidden" r:id="rId98"/>
    <sheet name="VAN CHUYEN" sheetId="42" state="hidden" r:id="rId99"/>
    <sheet name="q7- tham khao" sheetId="40" state="hidden" r:id="rId100"/>
    <sheet name="hm- tham khao" sheetId="41" state="hidden" r:id="rId101"/>
    <sheet name="TBA" sheetId="36" state="hidden" r:id="rId102"/>
    <sheet name="DP2" sheetId="18" state="hidden" r:id="rId103"/>
    <sheet name="TB Noi that" sheetId="37" state="hidden" r:id="rId104"/>
    <sheet name="NS" sheetId="8" state="hidden" r:id="rId105"/>
    <sheet name="DL" sheetId="9" state="hidden" r:id="rId106"/>
    <sheet name="LOAICT" sheetId="10" state="hidden" r:id="rId107"/>
  </sheets>
  <externalReferences>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s>
  <definedNames>
    <definedName name="_Fill" localSheetId="1" hidden="1">#REF!</definedName>
    <definedName name="_Fill" localSheetId="101" hidden="1">#REF!</definedName>
    <definedName name="_Fill" localSheetId="89" hidden="1">#REF!</definedName>
    <definedName name="_Fill" localSheetId="3" hidden="1">#REF!</definedName>
    <definedName name="_Fill" localSheetId="4" hidden="1">#REF!</definedName>
    <definedName name="_Fill" localSheetId="84" hidden="1">#REF!</definedName>
    <definedName name="_Fill" hidden="1">#REF!</definedName>
    <definedName name="_xlnm._FilterDatabase" localSheetId="95" hidden="1">TB!$A$7:$WUU$499</definedName>
    <definedName name="_xlnm._FilterDatabase" localSheetId="96" hidden="1">'TB cơ bản'!$A$6:$K$595</definedName>
    <definedName name="_xlnm._FilterDatabase" localSheetId="103" hidden="1">'TB Noi that'!$A$11:$G$322</definedName>
    <definedName name="_ftn1" localSheetId="90">'CP TB'!#REF!</definedName>
    <definedName name="_ftnref1" localSheetId="90">'CP TB'!#REF!</definedName>
    <definedName name="_Key1" localSheetId="84" hidden="1">#REF!</definedName>
    <definedName name="_Key1" hidden="1">#REF!</definedName>
    <definedName name="_Key2" localSheetId="84" hidden="1">#REF!</definedName>
    <definedName name="_Key2" hidden="1">#REF!</definedName>
    <definedName name="_Order1" hidden="1">255</definedName>
    <definedName name="_Order2" hidden="1">255</definedName>
    <definedName name="_Sort" localSheetId="84" hidden="1">#REF!</definedName>
    <definedName name="_Sort" hidden="1">#REF!</definedName>
    <definedName name="BCDT">DL!$A$5:$O$10</definedName>
    <definedName name="BCKT">'[1]PL VIII'!$A$32:$O$37</definedName>
    <definedName name="BCKTKT">'[1]PL VIII'!$A$41:$O$46</definedName>
    <definedName name="BCTKT">'[1]PL VIII'!$A$23:$O$28</definedName>
    <definedName name="BQL">DL!$A$129:$Q$135</definedName>
    <definedName name="BTK">'[1]7.Thong tin chung'!$I$8</definedName>
    <definedName name="capCongTrinh">'[2]Tra Cứu'!$B$229:$B$233</definedName>
    <definedName name="CCT">'[1]7.Thong tin chung'!$I$7</definedName>
    <definedName name="DADT">DL!$A$15:$Q$21</definedName>
    <definedName name="DSTD_Clear">#N/A</definedName>
    <definedName name="DTTB">DL!$A$184:$O$190</definedName>
    <definedName name="DTTV">'[1]PL VIII'!$A$282:$O$283</definedName>
    <definedName name="DTXD">DL!$A$173:$O$179</definedName>
    <definedName name="GBTTDC">'[1]4.THKP'!$E$10</definedName>
    <definedName name="GDP">'B THKP'!$R$142</definedName>
    <definedName name="GGPMB">'B THKP'!$R$20</definedName>
    <definedName name="GK">'B THKP'!$R$99</definedName>
    <definedName name="GQLDA">'B THKP'!$R$23</definedName>
    <definedName name="GSKS">'[1]PL VIII'!$A$332:$O$333</definedName>
    <definedName name="GSTB">DL!$A$206:$O$212</definedName>
    <definedName name="GSXD">DL!$A$195:$O$201</definedName>
    <definedName name="GTB">'B THKP'!$R$15</definedName>
    <definedName name="GTT">'B THKP'!$P$12</definedName>
    <definedName name="GTTT1">'B THKP'!$P$12</definedName>
    <definedName name="GTV">'B THKP'!$R$24</definedName>
    <definedName name="GXD">'B THKP'!$R$11</definedName>
    <definedName name="GXDCT">'B THKP'!$R$147</definedName>
    <definedName name="h" hidden="1">{"'Sheet1'!$L$16"}</definedName>
    <definedName name="h_xoa" hidden="1">{"'Sheet1'!$L$16"}</definedName>
    <definedName name="h_xoa2" hidden="1">{"'Sheet1'!$L$16"}</definedName>
    <definedName name="hsvl" localSheetId="3">#REF!</definedName>
    <definedName name="hsvl" localSheetId="4">#REF!</definedName>
    <definedName name="hsvl" localSheetId="84">#REF!</definedName>
    <definedName name="hsvl">#REF!</definedName>
    <definedName name="HTML_CodePage" hidden="1">950</definedName>
    <definedName name="HTML_Control" hidden="1">{"'Sheet1'!$L$16"}</definedName>
    <definedName name="html_control_xoa2"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huy_xoa" hidden="1">{"'Sheet1'!$L$16"}</definedName>
    <definedName name="huy_xoa2" hidden="1">{"'Sheet1'!$L$16"}</definedName>
    <definedName name="KT">DL!$A$298:$O$304</definedName>
    <definedName name="KTQT">'[1]PL VIII'!$A$394:$O$396</definedName>
    <definedName name="LCT">'[1]7.Thong tin chung'!$I$6</definedName>
    <definedName name="loaiCongTrinh">'[2]Tra Cứu'!$B$48:$B$52</definedName>
    <definedName name="loaiThietKe">'[2]Tra Cứu'!$W$228:$W$230</definedName>
    <definedName name="PCCC">DL!$A$321:$P$330</definedName>
    <definedName name="_xlnm.Print_Area" localSheetId="85">'1.Bia'!$A$1:$P$37</definedName>
    <definedName name="_xlnm.Print_Area" localSheetId="86">'3.BiaT'!$A$1:$N$33</definedName>
    <definedName name="_xlnm.Print_Area" localSheetId="2">'B THKP'!$A$1:$R$148</definedName>
    <definedName name="_xlnm.Print_Area" localSheetId="1">CANCU!$A$1:$K$45</definedName>
    <definedName name="_xlnm.Print_Area" localSheetId="90">'CP TB'!$A$1:$G$71</definedName>
    <definedName name="_xlnm.Print_Area" localSheetId="102">'DP2'!$A$1:$G$19</definedName>
    <definedName name="_xlnm.Print_Area" localSheetId="103">'TB Noi that'!$A$1:$G$322</definedName>
    <definedName name="_xlnm.Print_Area" localSheetId="101">TBA!$A$1:$G$22</definedName>
    <definedName name="_xlnm.Print_Area" localSheetId="89">TGTHMUC!$A$1:$H$34</definedName>
    <definedName name="_xlnm.Print_Area" localSheetId="3">'TGTHMUC (2)'!$A$1:$G$43</definedName>
    <definedName name="_xlnm.Print_Area" localSheetId="4">'TGTHMUC (3)'!$A$1:$G$43</definedName>
    <definedName name="_xlnm.Print_Area" localSheetId="84">'TGTHMUC (4)'!$A$1:$H$55</definedName>
    <definedName name="_xlnm.Print_Area" localSheetId="87">TM!$A$1:$A$26</definedName>
    <definedName name="_xlnm.Print_Area" localSheetId="88">TMĐT!$A$1:$K$65</definedName>
    <definedName name="_xlnm.Print_Titles" localSheetId="2">'B THKP'!$7:$9</definedName>
    <definedName name="_xlnm.Print_Titles" localSheetId="90">'CP TB'!$6:$6</definedName>
    <definedName name="_xlnm.Print_Titles" localSheetId="103">'TB Noi that'!$8:$8</definedName>
    <definedName name="_xlnm.Print_Titles" localSheetId="101">TBA!$7:$9</definedName>
    <definedName name="_xlnm.Print_Titles" localSheetId="89">TGTHMUC!$6:$8</definedName>
    <definedName name="_xlnm.Print_Titles" localSheetId="3">'TGTHMUC (2)'!$7:$9</definedName>
    <definedName name="_xlnm.Print_Titles" localSheetId="4">'TGTHMUC (3)'!$7:$9</definedName>
    <definedName name="_xlnm.Print_Titles" localSheetId="84">'TGTHMUC (4)'!$6:$8</definedName>
    <definedName name="_xlnm.Print_Titles" localSheetId="88">TMĐT!$4:$4</definedName>
    <definedName name="QLDA">'[1]PL VIII'!$A$5:$O$10</definedName>
    <definedName name="StartInfo_CongTrinh">#N/A</definedName>
    <definedName name="StartInfo_HangMuc">#N/A</definedName>
    <definedName name="StartInfo_MauTHKPHM">#N/A</definedName>
    <definedName name="StartInfo_SoLieuTinhGiaNC">#N/A</definedName>
    <definedName name="TBL">'B THKP'!$P$15</definedName>
    <definedName name="TDDA">DL!$A$217:$O$223</definedName>
    <definedName name="TDDT">DL!$A$240:$O$247</definedName>
    <definedName name="TDDTC">DL!$A$263:$O$270</definedName>
    <definedName name="TDDTTT">'[1]PL VIII'!$A$383:$O$388</definedName>
    <definedName name="TDPCCC">'[1]PL VIII'!$A$409:$O$415</definedName>
    <definedName name="TDTK">DL!$A$228:$O$235</definedName>
    <definedName name="TDTKC">DL!$A$251:$O$258</definedName>
    <definedName name="TDTKK">DL!$A$275:$O$282</definedName>
    <definedName name="TDTKTT">'[1]PL VIII'!$A$374:$O$379</definedName>
    <definedName name="TKCN">DL!$A$39:$O$49</definedName>
    <definedName name="TKCN32">'[1]PL VIII'!$A$80:$O$90</definedName>
    <definedName name="TKDD">DL!$A$26:$O$36</definedName>
    <definedName name="TKDD32">'[1]PL VIII'!$A$52:$O$62</definedName>
    <definedName name="TKGT">DL!$A$63:$O$73</definedName>
    <definedName name="TKGT32">'[1]PL VIII'!$A$119:$O$129</definedName>
    <definedName name="TKNN32">'[1]PL VIII'!$A$142:$O$152</definedName>
    <definedName name="TKTL">DL!$A$76:$O$86</definedName>
    <definedName name="TKHT32">'[1]PL VIII'!$A$171:$O$181</definedName>
    <definedName name="TKHTKT">DL!$A$97:$O$107</definedName>
    <definedName name="TMĐT">'[1]4.THKP'!$E$160</definedName>
    <definedName name="TMĐTKDP">'[1]4.THKP'!$E$164</definedName>
    <definedName name="TMÑT">'B THKP'!$R$151</definedName>
    <definedName name="TTBCKT">'[1]PL VIII'!$A$237:$O$242</definedName>
    <definedName name="TTBCTKT">'[1]PL VIII'!$A$224:$O$229</definedName>
    <definedName name="TTDA">DL!$A$140:$Q$146</definedName>
    <definedName name="TTDT">DL!$A$162:$O$168</definedName>
    <definedName name="TTQT">DL!$A$287:$O$293</definedName>
    <definedName name="TTTK">DL!$A$151:$O$157</definedName>
    <definedName name="TTTV">[3]DL!$A$218:$O$224</definedName>
    <definedName name="VTM">'[1]4.THKP'!$E$158</definedName>
    <definedName name="xoa1" hidden="1">{"'Sheet1'!$L$16"}</definedName>
    <definedName name="Z_C8104123_1D0A_4627_A11A_7A20656D499A_.wvu.Cols" localSheetId="2" hidden="1">'B THKP'!$F:$N</definedName>
    <definedName name="Z_C8104123_1D0A_4627_A11A_7A20656D499A_.wvu.Cols" localSheetId="101" hidden="1">TBA!#REF!</definedName>
    <definedName name="Z_C8104123_1D0A_4627_A11A_7A20656D499A_.wvu.Cols" localSheetId="89" hidden="1">TGTHMUC!#REF!</definedName>
    <definedName name="Z_C8104123_1D0A_4627_A11A_7A20656D499A_.wvu.Cols" localSheetId="3" hidden="1">'TGTHMUC (2)'!#REF!</definedName>
    <definedName name="Z_C8104123_1D0A_4627_A11A_7A20656D499A_.wvu.Cols" localSheetId="4" hidden="1">'TGTHMUC (3)'!#REF!</definedName>
    <definedName name="Z_C8104123_1D0A_4627_A11A_7A20656D499A_.wvu.Cols" localSheetId="84" hidden="1">'TGTHMUC (4)'!#REF!</definedName>
    <definedName name="Z_C8104123_1D0A_4627_A11A_7A20656D499A_.wvu.PrintArea" localSheetId="2" hidden="1">'B THKP'!$A$1:$R$148</definedName>
    <definedName name="Z_C8104123_1D0A_4627_A11A_7A20656D499A_.wvu.PrintArea" localSheetId="1" hidden="1">CANCU!#REF!</definedName>
    <definedName name="Z_C8104123_1D0A_4627_A11A_7A20656D499A_.wvu.Rows" localSheetId="105" hidden="1">DL!$3:$11,DL!$13:$22,DL!$24:$125,DL!$127:$136,DL!$149:$158,DL!$160:$169,DL!$171:$180,DL!$182:$191,DL!$193:$202,DL!$204:$213,DL!$215:$224,DL!$226:$236,DL!$238:$271,DL!$285:$294,DL!$296:$304</definedName>
  </definedNames>
  <calcPr calcId="191028"/>
  <customWorkbookViews>
    <customWorkbookView name="ĐOÀN CÔNG UẨN - Personal View" guid="{C8104123-1D0A-4627-A11A-7A20656D499A}" mergeInterval="0" personalView="1" maximized="1" windowWidth="1020" windowHeight="624"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42" l="1"/>
  <c r="E9" i="142"/>
  <c r="C11" i="30"/>
  <c r="K6" i="142" l="1"/>
  <c r="G71" i="144"/>
  <c r="F69" i="144"/>
  <c r="G69" i="144" s="1"/>
  <c r="G68" i="144" s="1"/>
  <c r="G67" i="144"/>
  <c r="G66" i="144"/>
  <c r="G65" i="144"/>
  <c r="G48" i="144" s="1"/>
  <c r="G64" i="144"/>
  <c r="G63" i="144"/>
  <c r="G62" i="144"/>
  <c r="G61" i="144"/>
  <c r="G60" i="144"/>
  <c r="G59" i="144"/>
  <c r="G58" i="144"/>
  <c r="G57" i="144"/>
  <c r="G56" i="144"/>
  <c r="G55" i="144"/>
  <c r="G54" i="144"/>
  <c r="G53" i="144"/>
  <c r="G52" i="144"/>
  <c r="G51" i="144"/>
  <c r="G50" i="144"/>
  <c r="G49" i="144"/>
  <c r="G47" i="144"/>
  <c r="G46" i="144" s="1"/>
  <c r="G45" i="144"/>
  <c r="G44" i="144"/>
  <c r="G43" i="144"/>
  <c r="G42" i="144"/>
  <c r="G41" i="144"/>
  <c r="G40" i="144"/>
  <c r="G39" i="144"/>
  <c r="G38" i="144"/>
  <c r="F36" i="144"/>
  <c r="G36" i="144" s="1"/>
  <c r="F35" i="144"/>
  <c r="G35" i="144" s="1"/>
  <c r="F34" i="144"/>
  <c r="G34" i="144" s="1"/>
  <c r="G37" i="144" l="1"/>
  <c r="G33" i="144"/>
  <c r="G32" i="144" l="1"/>
  <c r="G31" i="144"/>
  <c r="G30" i="144"/>
  <c r="G29" i="144"/>
  <c r="G27" i="144"/>
  <c r="G26" i="144"/>
  <c r="G24" i="144"/>
  <c r="G22" i="144"/>
  <c r="G21" i="144"/>
  <c r="G20" i="144"/>
  <c r="G18" i="144"/>
  <c r="G17" i="144"/>
  <c r="G16" i="144"/>
  <c r="G14" i="144"/>
  <c r="G13" i="144"/>
  <c r="G11" i="144"/>
  <c r="G10" i="144"/>
  <c r="G9" i="144"/>
  <c r="G7" i="144" l="1"/>
  <c r="C33" i="30" l="1"/>
  <c r="D33" i="30" s="1"/>
  <c r="E33" i="30" l="1"/>
  <c r="G33" i="30" l="1"/>
  <c r="I33" i="30" s="1"/>
  <c r="I82" i="143"/>
  <c r="I47" i="143"/>
  <c r="I11" i="143"/>
  <c r="I13" i="143"/>
  <c r="I14" i="143"/>
  <c r="I15" i="143"/>
  <c r="I16" i="143"/>
  <c r="I17" i="143"/>
  <c r="I18" i="143"/>
  <c r="I19" i="143"/>
  <c r="I20" i="143"/>
  <c r="I21" i="143"/>
  <c r="I22" i="143"/>
  <c r="I23" i="143"/>
  <c r="I24" i="143"/>
  <c r="I25" i="143"/>
  <c r="I26" i="143"/>
  <c r="I27" i="143"/>
  <c r="I28" i="143"/>
  <c r="I29" i="143"/>
  <c r="I31" i="143"/>
  <c r="I32" i="143"/>
  <c r="I33" i="143"/>
  <c r="I34" i="143"/>
  <c r="I35" i="143"/>
  <c r="I36" i="143"/>
  <c r="I37" i="143"/>
  <c r="I38" i="143"/>
  <c r="I39" i="143"/>
  <c r="I40" i="143"/>
  <c r="I41" i="143"/>
  <c r="I42" i="143"/>
  <c r="I43" i="143"/>
  <c r="I44" i="143"/>
  <c r="I45" i="143"/>
  <c r="I46" i="143"/>
  <c r="I49" i="143"/>
  <c r="I51" i="143"/>
  <c r="I52" i="143"/>
  <c r="I53" i="143"/>
  <c r="I54" i="143"/>
  <c r="I55" i="143"/>
  <c r="I56" i="143"/>
  <c r="I57" i="143"/>
  <c r="I58" i="143"/>
  <c r="I59" i="143"/>
  <c r="I60" i="143"/>
  <c r="I61" i="143"/>
  <c r="I63" i="143"/>
  <c r="I64" i="143"/>
  <c r="I65" i="143"/>
  <c r="I66" i="143"/>
  <c r="I67" i="143"/>
  <c r="I68" i="143"/>
  <c r="I69" i="143"/>
  <c r="I70" i="143"/>
  <c r="I72" i="143"/>
  <c r="I71" i="143" s="1"/>
  <c r="I74" i="143"/>
  <c r="I73" i="143" s="1"/>
  <c r="I75" i="143"/>
  <c r="I76" i="143"/>
  <c r="I77" i="143"/>
  <c r="I78" i="143"/>
  <c r="I79" i="143"/>
  <c r="I80" i="143"/>
  <c r="I81" i="143"/>
  <c r="M48" i="142" l="1"/>
  <c r="M44" i="142"/>
  <c r="J42" i="142"/>
  <c r="I42" i="142"/>
  <c r="E40" i="142"/>
  <c r="R39" i="142"/>
  <c r="M39" i="142" s="1"/>
  <c r="F39" i="142" s="1"/>
  <c r="I39" i="142" s="1"/>
  <c r="K39" i="142" s="1"/>
  <c r="E39" i="142"/>
  <c r="E38" i="142"/>
  <c r="E37" i="142"/>
  <c r="R36" i="142"/>
  <c r="M36" i="142" s="1"/>
  <c r="F36" i="142" s="1"/>
  <c r="I36" i="142" s="1"/>
  <c r="E36" i="142"/>
  <c r="R35" i="142"/>
  <c r="M35" i="142" s="1"/>
  <c r="F35" i="142" s="1"/>
  <c r="I35" i="142" s="1"/>
  <c r="K35" i="142" s="1"/>
  <c r="E35" i="142"/>
  <c r="E34" i="142"/>
  <c r="E33" i="142"/>
  <c r="E32" i="142"/>
  <c r="E31" i="142"/>
  <c r="E30" i="142"/>
  <c r="E29" i="142"/>
  <c r="E28" i="142"/>
  <c r="E27" i="142"/>
  <c r="K26" i="142"/>
  <c r="E26" i="142"/>
  <c r="R25" i="142"/>
  <c r="M25" i="142" s="1"/>
  <c r="F25" i="142" s="1"/>
  <c r="I25" i="142" s="1"/>
  <c r="K25" i="142" s="1"/>
  <c r="E25" i="142"/>
  <c r="E24" i="142"/>
  <c r="H23" i="142"/>
  <c r="E22" i="142"/>
  <c r="F21" i="142"/>
  <c r="E21" i="142"/>
  <c r="E20" i="142"/>
  <c r="F19" i="142"/>
  <c r="E19" i="142"/>
  <c r="F18" i="142"/>
  <c r="E18" i="142"/>
  <c r="E17" i="142"/>
  <c r="E16" i="142"/>
  <c r="E15" i="142"/>
  <c r="E14" i="142"/>
  <c r="F13" i="142"/>
  <c r="E13" i="142"/>
  <c r="S12" i="142"/>
  <c r="M12" i="142"/>
  <c r="I12" i="142"/>
  <c r="E12" i="142"/>
  <c r="S11" i="142"/>
  <c r="M11" i="142"/>
  <c r="K11" i="142"/>
  <c r="J11" i="142"/>
  <c r="E11" i="142"/>
  <c r="I10" i="142"/>
  <c r="J10" i="142" s="1"/>
  <c r="E10" i="142"/>
  <c r="I9" i="142"/>
  <c r="J9" i="142" s="1"/>
  <c r="O4" i="142"/>
  <c r="A2" i="142"/>
  <c r="R30" i="140"/>
  <c r="D11" i="140"/>
  <c r="B10" i="140"/>
  <c r="D9" i="140"/>
  <c r="B8" i="140"/>
  <c r="A6" i="140"/>
  <c r="A2" i="140"/>
  <c r="A1" i="140"/>
  <c r="H8" i="142" l="1"/>
  <c r="J36" i="142"/>
  <c r="K36" i="142" s="1"/>
  <c r="C32" i="30" l="1"/>
  <c r="C31" i="30"/>
  <c r="C30" i="30"/>
  <c r="C27" i="30"/>
  <c r="C26" i="30"/>
  <c r="C25" i="30"/>
  <c r="C24" i="30"/>
  <c r="C23" i="30"/>
  <c r="C22" i="30"/>
  <c r="C21" i="30"/>
  <c r="D30" i="30" l="1"/>
  <c r="E30" i="30" s="1"/>
  <c r="G30" i="30" s="1"/>
  <c r="D23" i="30"/>
  <c r="E23" i="30" s="1"/>
  <c r="D24" i="30"/>
  <c r="E24" i="30" s="1"/>
  <c r="D25" i="30"/>
  <c r="E25" i="30" s="1"/>
  <c r="D26" i="30"/>
  <c r="E26" i="30" s="1"/>
  <c r="D22" i="30"/>
  <c r="E22" i="30" s="1"/>
  <c r="G22" i="30" s="1"/>
  <c r="D27" i="30"/>
  <c r="E27" i="30" s="1"/>
  <c r="D21" i="30"/>
  <c r="E21" i="30" s="1"/>
  <c r="G21" i="30" s="1"/>
  <c r="D31" i="30"/>
  <c r="E31" i="30" s="1"/>
  <c r="G31" i="30" s="1"/>
  <c r="D32" i="30"/>
  <c r="E32" i="30" s="1"/>
  <c r="G32" i="30" s="1"/>
  <c r="C29" i="30" l="1"/>
  <c r="D29" i="30" s="1"/>
  <c r="E29" i="30" s="1"/>
  <c r="G29" i="30" s="1"/>
  <c r="C28" i="30" l="1"/>
  <c r="D28" i="30" s="1"/>
  <c r="E28" i="30" s="1"/>
  <c r="G28" i="30" s="1"/>
  <c r="C20" i="30" l="1"/>
  <c r="C19" i="30"/>
  <c r="C18" i="30"/>
  <c r="C17" i="30"/>
  <c r="C16" i="30"/>
  <c r="C15" i="30"/>
  <c r="C14" i="30"/>
  <c r="C12" i="30"/>
  <c r="C34" i="30" s="1"/>
  <c r="I5" i="142" s="1"/>
  <c r="J5" i="142" s="1"/>
  <c r="K5" i="142" s="1"/>
  <c r="C13" i="30"/>
  <c r="D31" i="138"/>
  <c r="E31" i="138" s="1"/>
  <c r="G31" i="138" s="1"/>
  <c r="D30" i="138"/>
  <c r="E30" i="138" s="1"/>
  <c r="G30" i="138" s="1"/>
  <c r="D27" i="138"/>
  <c r="E27" i="138" s="1"/>
  <c r="G27" i="138" s="1"/>
  <c r="E26" i="138"/>
  <c r="G26" i="138" s="1"/>
  <c r="D26" i="138"/>
  <c r="D25" i="138"/>
  <c r="E25" i="138" s="1"/>
  <c r="G25" i="138" s="1"/>
  <c r="D24" i="138"/>
  <c r="E24" i="138" s="1"/>
  <c r="G24" i="138" s="1"/>
  <c r="D23" i="138"/>
  <c r="E23" i="138" s="1"/>
  <c r="G23" i="138" s="1"/>
  <c r="D19" i="138"/>
  <c r="E19" i="138" s="1"/>
  <c r="G19" i="138" s="1"/>
  <c r="D18" i="138"/>
  <c r="E18" i="138" s="1"/>
  <c r="G18" i="138" s="1"/>
  <c r="E17" i="138"/>
  <c r="G17" i="138" s="1"/>
  <c r="D17" i="138"/>
  <c r="D16" i="138"/>
  <c r="E16" i="138" s="1"/>
  <c r="G16" i="138" s="1"/>
  <c r="D15" i="138"/>
  <c r="E15" i="138" s="1"/>
  <c r="G15" i="138" s="1"/>
  <c r="D14" i="138"/>
  <c r="E14" i="138" s="1"/>
  <c r="G14" i="138" s="1"/>
  <c r="D13" i="138"/>
  <c r="E13" i="138" s="1"/>
  <c r="G13" i="138" s="1"/>
  <c r="D12" i="138"/>
  <c r="E12" i="138" s="1"/>
  <c r="G12" i="138" s="1"/>
  <c r="D11" i="138"/>
  <c r="E11" i="138" s="1"/>
  <c r="H10" i="138"/>
  <c r="H38" i="138" s="1"/>
  <c r="F10" i="138"/>
  <c r="F38" i="138" s="1"/>
  <c r="C10" i="138"/>
  <c r="C38" i="138" s="1"/>
  <c r="A3" i="138"/>
  <c r="D20" i="30" l="1"/>
  <c r="E20" i="30" s="1"/>
  <c r="G20" i="30" s="1"/>
  <c r="D10" i="138"/>
  <c r="D38" i="138" s="1"/>
  <c r="E10" i="138"/>
  <c r="E38" i="138" s="1"/>
  <c r="G11" i="138"/>
  <c r="G10" i="138" s="1"/>
  <c r="G38" i="138" s="1"/>
  <c r="G86" i="137"/>
  <c r="H88" i="137" s="1"/>
  <c r="A23" i="135" l="1"/>
  <c r="G86" i="136"/>
  <c r="H88" i="136" s="1"/>
  <c r="H10" i="30" l="1"/>
  <c r="H34" i="30" s="1"/>
  <c r="J498" i="50" l="1"/>
  <c r="K498" i="50" s="1"/>
  <c r="I498" i="50"/>
  <c r="A498" i="50"/>
  <c r="J497" i="50"/>
  <c r="K497" i="50" s="1"/>
  <c r="I497" i="50"/>
  <c r="J496" i="50"/>
  <c r="K496" i="50" s="1"/>
  <c r="I496" i="50"/>
  <c r="J495" i="50"/>
  <c r="K495" i="50" s="1"/>
  <c r="I495" i="50"/>
  <c r="J494" i="50"/>
  <c r="K494" i="50" s="1"/>
  <c r="I494" i="50"/>
  <c r="J493" i="50"/>
  <c r="K493" i="50" s="1"/>
  <c r="I493" i="50"/>
  <c r="J492" i="50"/>
  <c r="K492" i="50" s="1"/>
  <c r="I492" i="50"/>
  <c r="J491" i="50"/>
  <c r="K491" i="50" s="1"/>
  <c r="I491" i="50"/>
  <c r="J490" i="50"/>
  <c r="K490" i="50" s="1"/>
  <c r="I490" i="50"/>
  <c r="J489" i="50"/>
  <c r="K489" i="50" s="1"/>
  <c r="I489" i="50"/>
  <c r="J488" i="50"/>
  <c r="K488" i="50" s="1"/>
  <c r="I488" i="50"/>
  <c r="J487" i="50"/>
  <c r="K487" i="50" s="1"/>
  <c r="I487" i="50"/>
  <c r="J486" i="50"/>
  <c r="K486" i="50" s="1"/>
  <c r="I486" i="50"/>
  <c r="J485" i="50"/>
  <c r="K485" i="50" s="1"/>
  <c r="I485" i="50"/>
  <c r="J484" i="50"/>
  <c r="K484" i="50" s="1"/>
  <c r="I484" i="50"/>
  <c r="J483" i="50"/>
  <c r="K483" i="50" s="1"/>
  <c r="I483" i="50"/>
  <c r="J482" i="50"/>
  <c r="K482" i="50" s="1"/>
  <c r="I482" i="50"/>
  <c r="J481" i="50"/>
  <c r="K481" i="50" s="1"/>
  <c r="I481" i="50"/>
  <c r="J480" i="50"/>
  <c r="K480" i="50" s="1"/>
  <c r="I480" i="50"/>
  <c r="J479" i="50"/>
  <c r="K479" i="50" s="1"/>
  <c r="I479" i="50"/>
  <c r="J478" i="50"/>
  <c r="K478" i="50" s="1"/>
  <c r="I478" i="50"/>
  <c r="J477" i="50"/>
  <c r="K477" i="50" s="1"/>
  <c r="I477" i="50"/>
  <c r="J476" i="50"/>
  <c r="K476" i="50" s="1"/>
  <c r="I476" i="50"/>
  <c r="J475" i="50"/>
  <c r="K475" i="50" s="1"/>
  <c r="I475" i="50"/>
  <c r="J474" i="50"/>
  <c r="K474" i="50" s="1"/>
  <c r="I474" i="50"/>
  <c r="J473" i="50"/>
  <c r="K473" i="50" s="1"/>
  <c r="I473" i="50"/>
  <c r="J472" i="50"/>
  <c r="K472" i="50" s="1"/>
  <c r="I472" i="50"/>
  <c r="J471" i="50"/>
  <c r="K471" i="50" s="1"/>
  <c r="I471" i="50"/>
  <c r="J470" i="50"/>
  <c r="K470" i="50" s="1"/>
  <c r="I470" i="50"/>
  <c r="J469" i="50"/>
  <c r="K469" i="50" s="1"/>
  <c r="I469" i="50"/>
  <c r="J468" i="50"/>
  <c r="K468" i="50" s="1"/>
  <c r="I468" i="50"/>
  <c r="J467" i="50"/>
  <c r="K467" i="50" s="1"/>
  <c r="I467" i="50"/>
  <c r="J466" i="50"/>
  <c r="K466" i="50" s="1"/>
  <c r="I466" i="50"/>
  <c r="J465" i="50"/>
  <c r="K465" i="50" s="1"/>
  <c r="I465" i="50"/>
  <c r="J464" i="50"/>
  <c r="K464" i="50" s="1"/>
  <c r="I464" i="50"/>
  <c r="J463" i="50"/>
  <c r="K463" i="50" s="1"/>
  <c r="I463" i="50"/>
  <c r="J462" i="50"/>
  <c r="K462" i="50" s="1"/>
  <c r="I462" i="50"/>
  <c r="J461" i="50"/>
  <c r="K461" i="50" s="1"/>
  <c r="I461" i="50"/>
  <c r="J460" i="50"/>
  <c r="K460" i="50" s="1"/>
  <c r="I460" i="50"/>
  <c r="J459" i="50"/>
  <c r="K459" i="50" s="1"/>
  <c r="I459" i="50"/>
  <c r="J458" i="50"/>
  <c r="K458" i="50" s="1"/>
  <c r="I458" i="50"/>
  <c r="J457" i="50"/>
  <c r="K457" i="50" s="1"/>
  <c r="I457" i="50"/>
  <c r="J456" i="50"/>
  <c r="K456" i="50" s="1"/>
  <c r="I456" i="50"/>
  <c r="J455" i="50"/>
  <c r="K455" i="50" s="1"/>
  <c r="I455" i="50"/>
  <c r="A455" i="50"/>
  <c r="A456" i="50" s="1"/>
  <c r="A457" i="50" s="1"/>
  <c r="A458" i="50" s="1"/>
  <c r="A459" i="50" s="1"/>
  <c r="A460" i="50" s="1"/>
  <c r="A461" i="50" s="1"/>
  <c r="A462" i="50" s="1"/>
  <c r="A463" i="50" s="1"/>
  <c r="A464" i="50" s="1"/>
  <c r="A465" i="50" s="1"/>
  <c r="A466" i="50" s="1"/>
  <c r="A467" i="50" s="1"/>
  <c r="A468" i="50" s="1"/>
  <c r="A469" i="50" s="1"/>
  <c r="A470" i="50" s="1"/>
  <c r="A471" i="50" s="1"/>
  <c r="A472" i="50" s="1"/>
  <c r="A473" i="50" s="1"/>
  <c r="A474" i="50" s="1"/>
  <c r="A475" i="50" s="1"/>
  <c r="A476" i="50" s="1"/>
  <c r="A477" i="50" s="1"/>
  <c r="A478" i="50" s="1"/>
  <c r="A479" i="50" s="1"/>
  <c r="A480" i="50" s="1"/>
  <c r="A481" i="50" s="1"/>
  <c r="A482" i="50" s="1"/>
  <c r="A483" i="50" s="1"/>
  <c r="A484" i="50" s="1"/>
  <c r="A485" i="50" s="1"/>
  <c r="A486" i="50" s="1"/>
  <c r="A487" i="50" s="1"/>
  <c r="A488" i="50" s="1"/>
  <c r="A489" i="50" s="1"/>
  <c r="A490" i="50" s="1"/>
  <c r="A491" i="50" s="1"/>
  <c r="A492" i="50" s="1"/>
  <c r="A493" i="50" s="1"/>
  <c r="A494" i="50" s="1"/>
  <c r="A495" i="50" s="1"/>
  <c r="J454" i="50"/>
  <c r="K454" i="50" s="1"/>
  <c r="I454" i="50"/>
  <c r="J453" i="50"/>
  <c r="K453" i="50" s="1"/>
  <c r="I453" i="50"/>
  <c r="J452" i="50"/>
  <c r="F452" i="50"/>
  <c r="I452" i="50" s="1"/>
  <c r="J451" i="50"/>
  <c r="K451" i="50" s="1"/>
  <c r="I451" i="50"/>
  <c r="J450" i="50"/>
  <c r="K450" i="50" s="1"/>
  <c r="I450" i="50"/>
  <c r="J449" i="50"/>
  <c r="K449" i="50" s="1"/>
  <c r="I449" i="50"/>
  <c r="A449" i="50"/>
  <c r="A450" i="50" s="1"/>
  <c r="A451" i="50" s="1"/>
  <c r="A452" i="50" s="1"/>
  <c r="J448" i="50"/>
  <c r="K448" i="50" s="1"/>
  <c r="I448" i="50"/>
  <c r="J447" i="50"/>
  <c r="K447" i="50" s="1"/>
  <c r="I447" i="50"/>
  <c r="J446" i="50"/>
  <c r="F446" i="50"/>
  <c r="I446" i="50" s="1"/>
  <c r="A446" i="50"/>
  <c r="J445" i="50"/>
  <c r="K445" i="50" s="1"/>
  <c r="I445" i="50"/>
  <c r="J444" i="50"/>
  <c r="K444" i="50" s="1"/>
  <c r="I444" i="50"/>
  <c r="J443" i="50"/>
  <c r="F443" i="50"/>
  <c r="I443" i="50" s="1"/>
  <c r="J442" i="50"/>
  <c r="K442" i="50" s="1"/>
  <c r="I442" i="50"/>
  <c r="J441" i="50"/>
  <c r="K441" i="50" s="1"/>
  <c r="I441" i="50"/>
  <c r="J440" i="50"/>
  <c r="K440" i="50" s="1"/>
  <c r="I440" i="50"/>
  <c r="J439" i="50"/>
  <c r="K439" i="50" s="1"/>
  <c r="I439" i="50"/>
  <c r="J438" i="50"/>
  <c r="K438" i="50" s="1"/>
  <c r="I438" i="50"/>
  <c r="A438" i="50"/>
  <c r="A439" i="50" s="1"/>
  <c r="A440" i="50" s="1"/>
  <c r="A441" i="50" s="1"/>
  <c r="A442" i="50" s="1"/>
  <c r="A443" i="50" s="1"/>
  <c r="J437" i="50"/>
  <c r="K437" i="50" s="1"/>
  <c r="I437" i="50"/>
  <c r="J436" i="50"/>
  <c r="K436" i="50" s="1"/>
  <c r="I436" i="50"/>
  <c r="J435" i="50"/>
  <c r="K435" i="50" s="1"/>
  <c r="I435" i="50"/>
  <c r="J434" i="50"/>
  <c r="K434" i="50" s="1"/>
  <c r="I434" i="50"/>
  <c r="J433" i="50"/>
  <c r="K433" i="50" s="1"/>
  <c r="I433" i="50"/>
  <c r="J432" i="50"/>
  <c r="K432" i="50" s="1"/>
  <c r="I432" i="50"/>
  <c r="J431" i="50"/>
  <c r="K431" i="50" s="1"/>
  <c r="I431" i="50"/>
  <c r="J430" i="50"/>
  <c r="K430" i="50" s="1"/>
  <c r="I430" i="50"/>
  <c r="A430" i="50"/>
  <c r="A431" i="50" s="1"/>
  <c r="A432" i="50" s="1"/>
  <c r="A433" i="50" s="1"/>
  <c r="A434" i="50" s="1"/>
  <c r="A435" i="50" s="1"/>
  <c r="J429" i="50"/>
  <c r="K429" i="50" s="1"/>
  <c r="I429" i="50"/>
  <c r="J428" i="50"/>
  <c r="K428" i="50" s="1"/>
  <c r="I428" i="50"/>
  <c r="J427" i="50"/>
  <c r="K427" i="50" s="1"/>
  <c r="I427" i="50"/>
  <c r="J426" i="50"/>
  <c r="K426" i="50" s="1"/>
  <c r="I426" i="50"/>
  <c r="J425" i="50"/>
  <c r="F425" i="50"/>
  <c r="I425" i="50" s="1"/>
  <c r="J424" i="50"/>
  <c r="K424" i="50" s="1"/>
  <c r="I424" i="50"/>
  <c r="J423" i="50"/>
  <c r="K423" i="50" s="1"/>
  <c r="I423" i="50"/>
  <c r="J422" i="50"/>
  <c r="K422" i="50" s="1"/>
  <c r="I422" i="50"/>
  <c r="J421" i="50"/>
  <c r="K421" i="50" s="1"/>
  <c r="I421" i="50"/>
  <c r="A421" i="50"/>
  <c r="A422" i="50" s="1"/>
  <c r="A423" i="50" s="1"/>
  <c r="A424" i="50" s="1"/>
  <c r="A425" i="50" s="1"/>
  <c r="A426" i="50" s="1"/>
  <c r="A427" i="50" s="1"/>
  <c r="J420" i="50"/>
  <c r="K420" i="50" s="1"/>
  <c r="I420" i="50"/>
  <c r="J419" i="50"/>
  <c r="K419" i="50" s="1"/>
  <c r="I419" i="50"/>
  <c r="J418" i="50"/>
  <c r="K418" i="50" s="1"/>
  <c r="I418" i="50"/>
  <c r="J416" i="50"/>
  <c r="K416" i="50" s="1"/>
  <c r="I416" i="50"/>
  <c r="J415" i="50"/>
  <c r="K415" i="50" s="1"/>
  <c r="J414" i="50"/>
  <c r="K414" i="50" s="1"/>
  <c r="I414" i="50"/>
  <c r="J413" i="50"/>
  <c r="F413" i="50"/>
  <c r="I413" i="50" s="1"/>
  <c r="J412" i="50"/>
  <c r="K412" i="50" s="1"/>
  <c r="I412" i="50"/>
  <c r="J411" i="50"/>
  <c r="F411" i="50"/>
  <c r="I411" i="50" s="1"/>
  <c r="J410" i="50"/>
  <c r="F410" i="50"/>
  <c r="I410" i="50" s="1"/>
  <c r="J409" i="50"/>
  <c r="F409" i="50"/>
  <c r="I409" i="50" s="1"/>
  <c r="J408" i="50"/>
  <c r="F408" i="50"/>
  <c r="I408" i="50" s="1"/>
  <c r="J288" i="50"/>
  <c r="K288" i="50" s="1"/>
  <c r="I288" i="50"/>
  <c r="J287" i="50"/>
  <c r="K287" i="50" s="1"/>
  <c r="I287" i="50"/>
  <c r="A287" i="50"/>
  <c r="A288" i="50" s="1"/>
  <c r="A408" i="50" s="1"/>
  <c r="A409" i="50" s="1"/>
  <c r="A410" i="50" s="1"/>
  <c r="A411" i="50" s="1"/>
  <c r="A412" i="50" s="1"/>
  <c r="A413" i="50" s="1"/>
  <c r="A414" i="50" s="1"/>
  <c r="A416" i="50" s="1"/>
  <c r="A418" i="50" s="1"/>
  <c r="J286" i="50"/>
  <c r="K286" i="50" s="1"/>
  <c r="I286" i="50"/>
  <c r="J285" i="50"/>
  <c r="K285" i="50" s="1"/>
  <c r="I285" i="50"/>
  <c r="A285" i="50"/>
  <c r="J283" i="50"/>
  <c r="K283" i="50" s="1"/>
  <c r="I283" i="50"/>
  <c r="J282" i="50"/>
  <c r="K282" i="50" s="1"/>
  <c r="I282" i="50"/>
  <c r="J281" i="50"/>
  <c r="K281" i="50" s="1"/>
  <c r="I281" i="50"/>
  <c r="J280" i="50"/>
  <c r="K280" i="50" s="1"/>
  <c r="I280" i="50"/>
  <c r="J279" i="50"/>
  <c r="F279" i="50"/>
  <c r="I279" i="50" s="1"/>
  <c r="J278" i="50"/>
  <c r="F278" i="50"/>
  <c r="I278" i="50" s="1"/>
  <c r="J277" i="50"/>
  <c r="K277" i="50" s="1"/>
  <c r="I277" i="50"/>
  <c r="A277" i="50"/>
  <c r="A278" i="50" s="1"/>
  <c r="A279" i="50" s="1"/>
  <c r="A280" i="50" s="1"/>
  <c r="A281" i="50" s="1"/>
  <c r="J276" i="50"/>
  <c r="K276" i="50" s="1"/>
  <c r="I276" i="50"/>
  <c r="J275" i="50"/>
  <c r="K275" i="50" s="1"/>
  <c r="I275" i="50"/>
  <c r="J274" i="50"/>
  <c r="K274" i="50" s="1"/>
  <c r="I274" i="50"/>
  <c r="J273" i="50"/>
  <c r="K273" i="50" s="1"/>
  <c r="I273" i="50"/>
  <c r="J272" i="50"/>
  <c r="F272" i="50"/>
  <c r="I272" i="50" s="1"/>
  <c r="J271" i="50"/>
  <c r="K271" i="50" s="1"/>
  <c r="I271" i="50"/>
  <c r="J270" i="50"/>
  <c r="K270" i="50" s="1"/>
  <c r="I270" i="50"/>
  <c r="J269" i="50"/>
  <c r="K269" i="50" s="1"/>
  <c r="I269" i="50"/>
  <c r="J268" i="50"/>
  <c r="K268" i="50" s="1"/>
  <c r="I268" i="50"/>
  <c r="J267" i="50"/>
  <c r="K267" i="50" s="1"/>
  <c r="I267" i="50"/>
  <c r="J265" i="50"/>
  <c r="F265" i="50"/>
  <c r="I265" i="50" s="1"/>
  <c r="J262" i="50"/>
  <c r="K262" i="50" s="1"/>
  <c r="I262" i="50"/>
  <c r="J261" i="50"/>
  <c r="K261" i="50" s="1"/>
  <c r="I261" i="50"/>
  <c r="J260" i="50"/>
  <c r="K260" i="50" s="1"/>
  <c r="I260" i="50"/>
  <c r="J259" i="50"/>
  <c r="F259" i="50"/>
  <c r="I259" i="50" s="1"/>
  <c r="J258" i="50"/>
  <c r="F258" i="50"/>
  <c r="I258" i="50" s="1"/>
  <c r="J257" i="50"/>
  <c r="K257" i="50" s="1"/>
  <c r="I257" i="50"/>
  <c r="A257" i="50"/>
  <c r="A258" i="50" s="1"/>
  <c r="A259" i="50" s="1"/>
  <c r="A260" i="50" s="1"/>
  <c r="A261" i="50" s="1"/>
  <c r="A265" i="50" s="1"/>
  <c r="A267" i="50" s="1"/>
  <c r="A268" i="50" s="1"/>
  <c r="A269" i="50" s="1"/>
  <c r="A270" i="50" s="1"/>
  <c r="A271" i="50" s="1"/>
  <c r="A272" i="50" s="1"/>
  <c r="A273" i="50" s="1"/>
  <c r="J256" i="50"/>
  <c r="K256" i="50" s="1"/>
  <c r="I256" i="50"/>
  <c r="J255" i="50"/>
  <c r="K255" i="50" s="1"/>
  <c r="I255" i="50"/>
  <c r="J254" i="50"/>
  <c r="F254" i="50"/>
  <c r="I254" i="50" s="1"/>
  <c r="J253" i="50"/>
  <c r="K253" i="50" s="1"/>
  <c r="I253" i="50"/>
  <c r="J252" i="50"/>
  <c r="K252" i="50" s="1"/>
  <c r="I252" i="50"/>
  <c r="J251" i="50"/>
  <c r="K251" i="50" s="1"/>
  <c r="I251" i="50"/>
  <c r="J250" i="50"/>
  <c r="K250" i="50" s="1"/>
  <c r="I250" i="50"/>
  <c r="J249" i="50"/>
  <c r="K249" i="50" s="1"/>
  <c r="I249" i="50"/>
  <c r="E249" i="50"/>
  <c r="A249" i="50"/>
  <c r="A250" i="50" s="1"/>
  <c r="A251" i="50" s="1"/>
  <c r="A252" i="50" s="1"/>
  <c r="A253" i="50" s="1"/>
  <c r="A254" i="50" s="1"/>
  <c r="J248" i="50"/>
  <c r="K248" i="50" s="1"/>
  <c r="I248" i="50"/>
  <c r="J247" i="50"/>
  <c r="K247" i="50" s="1"/>
  <c r="I247" i="50"/>
  <c r="J246" i="50"/>
  <c r="K246" i="50" s="1"/>
  <c r="I246" i="50"/>
  <c r="J245" i="50"/>
  <c r="K245" i="50" s="1"/>
  <c r="I245" i="50"/>
  <c r="J244" i="50"/>
  <c r="K244" i="50" s="1"/>
  <c r="I244" i="50"/>
  <c r="J243" i="50"/>
  <c r="K243" i="50" s="1"/>
  <c r="I243" i="50"/>
  <c r="J242" i="50"/>
  <c r="K242" i="50" s="1"/>
  <c r="I242" i="50"/>
  <c r="J241" i="50"/>
  <c r="K241" i="50" s="1"/>
  <c r="I241" i="50"/>
  <c r="J240" i="50"/>
  <c r="K240" i="50" s="1"/>
  <c r="I240" i="50"/>
  <c r="A240" i="50"/>
  <c r="A241" i="50" s="1"/>
  <c r="A242" i="50" s="1"/>
  <c r="A243" i="50" s="1"/>
  <c r="A244" i="50" s="1"/>
  <c r="A245" i="50" s="1"/>
  <c r="A246" i="50" s="1"/>
  <c r="J239" i="50"/>
  <c r="K239" i="50" s="1"/>
  <c r="I239" i="50"/>
  <c r="J238" i="50"/>
  <c r="K238" i="50" s="1"/>
  <c r="I238" i="50"/>
  <c r="J237" i="50"/>
  <c r="K237" i="50" s="1"/>
  <c r="I237" i="50"/>
  <c r="J236" i="50"/>
  <c r="K236" i="50" s="1"/>
  <c r="I236" i="50"/>
  <c r="J235" i="50"/>
  <c r="K235" i="50" s="1"/>
  <c r="I235" i="50"/>
  <c r="A235" i="50"/>
  <c r="A236" i="50" s="1"/>
  <c r="A237" i="50" s="1"/>
  <c r="J234" i="50"/>
  <c r="K234" i="50" s="1"/>
  <c r="I234" i="50"/>
  <c r="J233" i="50"/>
  <c r="K233" i="50" s="1"/>
  <c r="I233" i="50"/>
  <c r="J232" i="50"/>
  <c r="K232" i="50" s="1"/>
  <c r="I232" i="50"/>
  <c r="J231" i="50"/>
  <c r="K231" i="50" s="1"/>
  <c r="I231" i="50"/>
  <c r="J230" i="50"/>
  <c r="K230" i="50" s="1"/>
  <c r="I230" i="50"/>
  <c r="J229" i="50"/>
  <c r="K229" i="50" s="1"/>
  <c r="I229" i="50"/>
  <c r="J228" i="50"/>
  <c r="K228" i="50" s="1"/>
  <c r="I228" i="50"/>
  <c r="J227" i="50"/>
  <c r="K227" i="50" s="1"/>
  <c r="I227" i="50"/>
  <c r="A227" i="50"/>
  <c r="A228" i="50" s="1"/>
  <c r="A229" i="50" s="1"/>
  <c r="A230" i="50" s="1"/>
  <c r="A231" i="50" s="1"/>
  <c r="A232" i="50" s="1"/>
  <c r="J226" i="50"/>
  <c r="K226" i="50" s="1"/>
  <c r="I226" i="50"/>
  <c r="J225" i="50"/>
  <c r="K225" i="50" s="1"/>
  <c r="I225" i="50"/>
  <c r="J224" i="50"/>
  <c r="K224" i="50" s="1"/>
  <c r="I224" i="50"/>
  <c r="J223" i="50"/>
  <c r="K223" i="50" s="1"/>
  <c r="I223" i="50"/>
  <c r="J222" i="50"/>
  <c r="K222" i="50" s="1"/>
  <c r="I222" i="50"/>
  <c r="A222" i="50"/>
  <c r="A223" i="50" s="1"/>
  <c r="A224" i="50" s="1"/>
  <c r="J221" i="50"/>
  <c r="K221" i="50" s="1"/>
  <c r="I221" i="50"/>
  <c r="J220" i="50"/>
  <c r="K220" i="50" s="1"/>
  <c r="I220" i="50"/>
  <c r="J219" i="50"/>
  <c r="K219" i="50" s="1"/>
  <c r="I219" i="50"/>
  <c r="J218" i="50"/>
  <c r="K218" i="50" s="1"/>
  <c r="I218" i="50"/>
  <c r="J217" i="50"/>
  <c r="K217" i="50" s="1"/>
  <c r="I217" i="50"/>
  <c r="J216" i="50"/>
  <c r="K216" i="50" s="1"/>
  <c r="I216" i="50"/>
  <c r="J215" i="50"/>
  <c r="K215" i="50" s="1"/>
  <c r="I215" i="50"/>
  <c r="J214" i="50"/>
  <c r="K214" i="50" s="1"/>
  <c r="I214" i="50"/>
  <c r="A214" i="50"/>
  <c r="A215" i="50" s="1"/>
  <c r="A216" i="50" s="1"/>
  <c r="A217" i="50" s="1"/>
  <c r="A218" i="50" s="1"/>
  <c r="A219" i="50" s="1"/>
  <c r="J213" i="50"/>
  <c r="K213" i="50" s="1"/>
  <c r="I213" i="50"/>
  <c r="J212" i="50"/>
  <c r="K212" i="50" s="1"/>
  <c r="I212" i="50"/>
  <c r="J211" i="50"/>
  <c r="K211" i="50" s="1"/>
  <c r="I211" i="50"/>
  <c r="J210" i="50"/>
  <c r="K210" i="50" s="1"/>
  <c r="I210" i="50"/>
  <c r="J209" i="50"/>
  <c r="K209" i="50" s="1"/>
  <c r="I209" i="50"/>
  <c r="A209" i="50"/>
  <c r="A210" i="50" s="1"/>
  <c r="A211" i="50" s="1"/>
  <c r="J208" i="50"/>
  <c r="K208" i="50" s="1"/>
  <c r="I208" i="50"/>
  <c r="J207" i="50"/>
  <c r="K207" i="50" s="1"/>
  <c r="I207" i="50"/>
  <c r="J206" i="50"/>
  <c r="K206" i="50" s="1"/>
  <c r="I206" i="50"/>
  <c r="J205" i="50"/>
  <c r="K205" i="50" s="1"/>
  <c r="I205" i="50"/>
  <c r="J204" i="50"/>
  <c r="K204" i="50" s="1"/>
  <c r="I204" i="50"/>
  <c r="J203" i="50"/>
  <c r="K203" i="50" s="1"/>
  <c r="I203" i="50"/>
  <c r="J202" i="50"/>
  <c r="K202" i="50" s="1"/>
  <c r="I202" i="50"/>
  <c r="J201" i="50"/>
  <c r="K201" i="50" s="1"/>
  <c r="I201" i="50"/>
  <c r="A201" i="50"/>
  <c r="A202" i="50" s="1"/>
  <c r="A203" i="50" s="1"/>
  <c r="A204" i="50" s="1"/>
  <c r="A205" i="50" s="1"/>
  <c r="A206" i="50" s="1"/>
  <c r="J200" i="50"/>
  <c r="K200" i="50" s="1"/>
  <c r="I200" i="50"/>
  <c r="J199" i="50"/>
  <c r="K199" i="50" s="1"/>
  <c r="I199" i="50"/>
  <c r="J198" i="50"/>
  <c r="K198" i="50" s="1"/>
  <c r="I198" i="50"/>
  <c r="J197" i="50"/>
  <c r="K197" i="50" s="1"/>
  <c r="I197" i="50"/>
  <c r="J196" i="50"/>
  <c r="K196" i="50" s="1"/>
  <c r="I196" i="50"/>
  <c r="A196" i="50"/>
  <c r="A197" i="50" s="1"/>
  <c r="A198" i="50" s="1"/>
  <c r="J195" i="50"/>
  <c r="K195" i="50" s="1"/>
  <c r="I195" i="50"/>
  <c r="J194" i="50"/>
  <c r="K194" i="50" s="1"/>
  <c r="I194" i="50"/>
  <c r="J193" i="50"/>
  <c r="K193" i="50" s="1"/>
  <c r="I193" i="50"/>
  <c r="J192" i="50"/>
  <c r="K192" i="50" s="1"/>
  <c r="I192" i="50"/>
  <c r="J191" i="50"/>
  <c r="K191" i="50" s="1"/>
  <c r="I191" i="50"/>
  <c r="J190" i="50"/>
  <c r="K190" i="50" s="1"/>
  <c r="I190" i="50"/>
  <c r="J189" i="50"/>
  <c r="K189" i="50" s="1"/>
  <c r="I189" i="50"/>
  <c r="J188" i="50"/>
  <c r="K188" i="50" s="1"/>
  <c r="I188" i="50"/>
  <c r="A188" i="50"/>
  <c r="A189" i="50" s="1"/>
  <c r="A190" i="50" s="1"/>
  <c r="A191" i="50" s="1"/>
  <c r="A192" i="50" s="1"/>
  <c r="A193" i="50" s="1"/>
  <c r="J187" i="50"/>
  <c r="K187" i="50" s="1"/>
  <c r="I187" i="50"/>
  <c r="J186" i="50"/>
  <c r="K186" i="50" s="1"/>
  <c r="I186" i="50"/>
  <c r="J185" i="50"/>
  <c r="K185" i="50" s="1"/>
  <c r="I185" i="50"/>
  <c r="J184" i="50"/>
  <c r="F184" i="50"/>
  <c r="I184" i="50" s="1"/>
  <c r="J183" i="50"/>
  <c r="K183" i="50" s="1"/>
  <c r="I183" i="50"/>
  <c r="J182" i="50"/>
  <c r="K182" i="50" s="1"/>
  <c r="I182" i="50"/>
  <c r="J181" i="50"/>
  <c r="K181" i="50" s="1"/>
  <c r="J180" i="50"/>
  <c r="K180" i="50" s="1"/>
  <c r="I180" i="50"/>
  <c r="J179" i="50"/>
  <c r="K179" i="50" s="1"/>
  <c r="I179" i="50"/>
  <c r="J178" i="50"/>
  <c r="K178" i="50" s="1"/>
  <c r="I178" i="50"/>
  <c r="J177" i="50"/>
  <c r="K177" i="50" s="1"/>
  <c r="I177" i="50"/>
  <c r="J176" i="50"/>
  <c r="K176" i="50" s="1"/>
  <c r="I176" i="50"/>
  <c r="A176" i="50"/>
  <c r="A177" i="50" s="1"/>
  <c r="A178" i="50" s="1"/>
  <c r="A179" i="50" s="1"/>
  <c r="A180" i="50" s="1"/>
  <c r="A182" i="50" s="1"/>
  <c r="A183" i="50" s="1"/>
  <c r="A184" i="50" s="1"/>
  <c r="A185" i="50" s="1"/>
  <c r="J175" i="50"/>
  <c r="K175" i="50" s="1"/>
  <c r="I175" i="50"/>
  <c r="J174" i="50"/>
  <c r="K174" i="50" s="1"/>
  <c r="I174" i="50"/>
  <c r="J173" i="50"/>
  <c r="K173" i="50" s="1"/>
  <c r="I173" i="50"/>
  <c r="J172" i="50"/>
  <c r="F172" i="50"/>
  <c r="I172" i="50" s="1"/>
  <c r="J171" i="50"/>
  <c r="K171" i="50" s="1"/>
  <c r="I171" i="50"/>
  <c r="J170" i="50"/>
  <c r="K170" i="50" s="1"/>
  <c r="I170" i="50"/>
  <c r="J169" i="50"/>
  <c r="K169" i="50" s="1"/>
  <c r="I169" i="50"/>
  <c r="J168" i="50"/>
  <c r="K168" i="50" s="1"/>
  <c r="I168" i="50"/>
  <c r="J167" i="50"/>
  <c r="K167" i="50" s="1"/>
  <c r="I167" i="50"/>
  <c r="J166" i="50"/>
  <c r="K166" i="50" s="1"/>
  <c r="I166" i="50"/>
  <c r="J165" i="50"/>
  <c r="K165" i="50" s="1"/>
  <c r="I165" i="50"/>
  <c r="J164" i="50"/>
  <c r="K164" i="50" s="1"/>
  <c r="I164" i="50"/>
  <c r="J163" i="50"/>
  <c r="K163" i="50" s="1"/>
  <c r="I163" i="50"/>
  <c r="J162" i="50"/>
  <c r="K162" i="50" s="1"/>
  <c r="I162" i="50"/>
  <c r="A162" i="50"/>
  <c r="A163" i="50" s="1"/>
  <c r="A164" i="50" s="1"/>
  <c r="A165" i="50" s="1"/>
  <c r="A166" i="50" s="1"/>
  <c r="A167" i="50" s="1"/>
  <c r="A168" i="50" s="1"/>
  <c r="A169" i="50" s="1"/>
  <c r="A170" i="50" s="1"/>
  <c r="A171" i="50" s="1"/>
  <c r="A172" i="50" s="1"/>
  <c r="A173" i="50" s="1"/>
  <c r="J161" i="50"/>
  <c r="K161" i="50" s="1"/>
  <c r="I161" i="50"/>
  <c r="J160" i="50"/>
  <c r="K160" i="50" s="1"/>
  <c r="I160" i="50"/>
  <c r="J159" i="50"/>
  <c r="F159" i="50"/>
  <c r="I159" i="50" s="1"/>
  <c r="J158" i="50"/>
  <c r="K158" i="50" s="1"/>
  <c r="I158" i="50"/>
  <c r="A158" i="50"/>
  <c r="A159" i="50" s="1"/>
  <c r="J157" i="50"/>
  <c r="K157" i="50" s="1"/>
  <c r="I157" i="50"/>
  <c r="J156" i="50"/>
  <c r="K156" i="50" s="1"/>
  <c r="I156" i="50"/>
  <c r="J155" i="50"/>
  <c r="K155" i="50" s="1"/>
  <c r="I155" i="50"/>
  <c r="J154" i="50"/>
  <c r="K154" i="50" s="1"/>
  <c r="I154" i="50"/>
  <c r="J153" i="50"/>
  <c r="K153" i="50" s="1"/>
  <c r="I153" i="50"/>
  <c r="J152" i="50"/>
  <c r="K152" i="50" s="1"/>
  <c r="I152" i="50"/>
  <c r="J151" i="50"/>
  <c r="K151" i="50" s="1"/>
  <c r="I151" i="50"/>
  <c r="J150" i="50"/>
  <c r="K150" i="50" s="1"/>
  <c r="I150" i="50"/>
  <c r="A150" i="50"/>
  <c r="A151" i="50" s="1"/>
  <c r="A152" i="50" s="1"/>
  <c r="A153" i="50" s="1"/>
  <c r="A154" i="50" s="1"/>
  <c r="A155" i="50" s="1"/>
  <c r="J149" i="50"/>
  <c r="K149" i="50" s="1"/>
  <c r="I149" i="50"/>
  <c r="J148" i="50"/>
  <c r="K148" i="50" s="1"/>
  <c r="I148" i="50"/>
  <c r="J147" i="50"/>
  <c r="K147" i="50" s="1"/>
  <c r="I147" i="50"/>
  <c r="J146" i="50"/>
  <c r="F146" i="50"/>
  <c r="I146" i="50" s="1"/>
  <c r="J145" i="50"/>
  <c r="K145" i="50" s="1"/>
  <c r="I145" i="50"/>
  <c r="J144" i="50"/>
  <c r="K144" i="50" s="1"/>
  <c r="I144" i="50"/>
  <c r="J143" i="50"/>
  <c r="K143" i="50" s="1"/>
  <c r="J142" i="50"/>
  <c r="K142" i="50" s="1"/>
  <c r="I142" i="50"/>
  <c r="J141" i="50"/>
  <c r="K141" i="50" s="1"/>
  <c r="I141" i="50"/>
  <c r="J140" i="50"/>
  <c r="K140" i="50" s="1"/>
  <c r="I140" i="50"/>
  <c r="J139" i="50"/>
  <c r="K139" i="50" s="1"/>
  <c r="I139" i="50"/>
  <c r="A139" i="50"/>
  <c r="A140" i="50" s="1"/>
  <c r="A141" i="50" s="1"/>
  <c r="A142" i="50" s="1"/>
  <c r="A144" i="50" s="1"/>
  <c r="A145" i="50" s="1"/>
  <c r="A146" i="50" s="1"/>
  <c r="A147" i="50" s="1"/>
  <c r="J138" i="50"/>
  <c r="K138" i="50" s="1"/>
  <c r="I138" i="50"/>
  <c r="J137" i="50"/>
  <c r="K137" i="50" s="1"/>
  <c r="I137" i="50"/>
  <c r="J136" i="50"/>
  <c r="F136" i="50"/>
  <c r="I136" i="50" s="1"/>
  <c r="A136" i="50"/>
  <c r="J135" i="50"/>
  <c r="K135" i="50" s="1"/>
  <c r="I135" i="50"/>
  <c r="J134" i="50"/>
  <c r="K134" i="50" s="1"/>
  <c r="I134" i="50"/>
  <c r="J133" i="50"/>
  <c r="K133" i="50" s="1"/>
  <c r="I133" i="50"/>
  <c r="J132" i="50"/>
  <c r="F132" i="50"/>
  <c r="I132" i="50" s="1"/>
  <c r="J131" i="50"/>
  <c r="K131" i="50" s="1"/>
  <c r="I131" i="50"/>
  <c r="J130" i="50"/>
  <c r="K130" i="50" s="1"/>
  <c r="I130" i="50"/>
  <c r="J129" i="50"/>
  <c r="K129" i="50" s="1"/>
  <c r="I129" i="50"/>
  <c r="J128" i="50"/>
  <c r="K128" i="50" s="1"/>
  <c r="I128" i="50"/>
  <c r="A128" i="50"/>
  <c r="A129" i="50" s="1"/>
  <c r="A130" i="50" s="1"/>
  <c r="A131" i="50" s="1"/>
  <c r="A132" i="50" s="1"/>
  <c r="A133" i="50" s="1"/>
  <c r="J127" i="50"/>
  <c r="K127" i="50" s="1"/>
  <c r="I127" i="50"/>
  <c r="J126" i="50"/>
  <c r="K126" i="50" s="1"/>
  <c r="I126" i="50"/>
  <c r="J125" i="50"/>
  <c r="K125" i="50" s="1"/>
  <c r="I125" i="50"/>
  <c r="J124" i="50"/>
  <c r="K124" i="50" s="1"/>
  <c r="I124" i="50"/>
  <c r="J123" i="50"/>
  <c r="K123" i="50" s="1"/>
  <c r="I123" i="50"/>
  <c r="J122" i="50"/>
  <c r="K122" i="50" s="1"/>
  <c r="I122" i="50"/>
  <c r="J121" i="50"/>
  <c r="K121" i="50" s="1"/>
  <c r="I121" i="50"/>
  <c r="J120" i="50"/>
  <c r="K120" i="50" s="1"/>
  <c r="I120" i="50"/>
  <c r="A120" i="50"/>
  <c r="A121" i="50" s="1"/>
  <c r="A122" i="50" s="1"/>
  <c r="A123" i="50" s="1"/>
  <c r="A124" i="50" s="1"/>
  <c r="A125" i="50" s="1"/>
  <c r="J119" i="50"/>
  <c r="K119" i="50" s="1"/>
  <c r="I119" i="50"/>
  <c r="J118" i="50"/>
  <c r="K118" i="50" s="1"/>
  <c r="I118" i="50"/>
  <c r="J117" i="50"/>
  <c r="K117" i="50" s="1"/>
  <c r="I117" i="50"/>
  <c r="J116" i="50"/>
  <c r="K116" i="50" s="1"/>
  <c r="I116" i="50"/>
  <c r="J115" i="50"/>
  <c r="K115" i="50" s="1"/>
  <c r="I115" i="50"/>
  <c r="J114" i="50"/>
  <c r="K114" i="50" s="1"/>
  <c r="I114" i="50"/>
  <c r="A114" i="50"/>
  <c r="A115" i="50" s="1"/>
  <c r="A116" i="50" s="1"/>
  <c r="A117" i="50" s="1"/>
  <c r="J113" i="50"/>
  <c r="K113" i="50" s="1"/>
  <c r="I113" i="50"/>
  <c r="J112" i="50"/>
  <c r="K112" i="50" s="1"/>
  <c r="I112" i="50"/>
  <c r="J111" i="50"/>
  <c r="K111" i="50" s="1"/>
  <c r="I111" i="50"/>
  <c r="J110" i="50"/>
  <c r="F110" i="50"/>
  <c r="I110" i="50" s="1"/>
  <c r="J109" i="50"/>
  <c r="K109" i="50" s="1"/>
  <c r="I109" i="50"/>
  <c r="J108" i="50"/>
  <c r="K108" i="50" s="1"/>
  <c r="I108" i="50"/>
  <c r="J107" i="50"/>
  <c r="K107" i="50" s="1"/>
  <c r="I107" i="50"/>
  <c r="J106" i="50"/>
  <c r="K106" i="50" s="1"/>
  <c r="I106" i="50"/>
  <c r="A106" i="50"/>
  <c r="A107" i="50" s="1"/>
  <c r="A108" i="50" s="1"/>
  <c r="A109" i="50" s="1"/>
  <c r="A110" i="50" s="1"/>
  <c r="A111" i="50" s="1"/>
  <c r="J105" i="50"/>
  <c r="K105" i="50" s="1"/>
  <c r="I105" i="50"/>
  <c r="J104" i="50"/>
  <c r="K104" i="50" s="1"/>
  <c r="I104" i="50"/>
  <c r="J103" i="50"/>
  <c r="K103" i="50" s="1"/>
  <c r="I103" i="50"/>
  <c r="J102" i="50"/>
  <c r="F102" i="50"/>
  <c r="I102" i="50" s="1"/>
  <c r="J101" i="50"/>
  <c r="K101" i="50" s="1"/>
  <c r="I101" i="50"/>
  <c r="J100" i="50"/>
  <c r="K100" i="50" s="1"/>
  <c r="I100" i="50"/>
  <c r="J99" i="50"/>
  <c r="K99" i="50" s="1"/>
  <c r="I99" i="50"/>
  <c r="J98" i="50"/>
  <c r="K98" i="50" s="1"/>
  <c r="I98" i="50"/>
  <c r="A98" i="50"/>
  <c r="A99" i="50" s="1"/>
  <c r="A100" i="50" s="1"/>
  <c r="A101" i="50" s="1"/>
  <c r="A102" i="50" s="1"/>
  <c r="A103" i="50" s="1"/>
  <c r="J97" i="50"/>
  <c r="K97" i="50" s="1"/>
  <c r="I97" i="50"/>
  <c r="J96" i="50"/>
  <c r="K96" i="50" s="1"/>
  <c r="I96" i="50"/>
  <c r="J95" i="50"/>
  <c r="F95" i="50"/>
  <c r="I95" i="50" s="1"/>
  <c r="J94" i="50"/>
  <c r="K94" i="50" s="1"/>
  <c r="I94" i="50"/>
  <c r="J93" i="50"/>
  <c r="K93" i="50" s="1"/>
  <c r="I93" i="50"/>
  <c r="J92" i="50"/>
  <c r="K92" i="50" s="1"/>
  <c r="I92" i="50"/>
  <c r="J91" i="50"/>
  <c r="K91" i="50" s="1"/>
  <c r="I91" i="50"/>
  <c r="J90" i="50"/>
  <c r="K90" i="50" s="1"/>
  <c r="I90" i="50"/>
  <c r="J89" i="50"/>
  <c r="K89" i="50" s="1"/>
  <c r="I89" i="50"/>
  <c r="J88" i="50"/>
  <c r="K88" i="50" s="1"/>
  <c r="I88" i="50"/>
  <c r="J87" i="50"/>
  <c r="K87" i="50" s="1"/>
  <c r="I87" i="50"/>
  <c r="J86" i="50"/>
  <c r="K86" i="50" s="1"/>
  <c r="I86" i="50"/>
  <c r="J85" i="50"/>
  <c r="K85" i="50" s="1"/>
  <c r="I85" i="50"/>
  <c r="A85" i="50"/>
  <c r="A86" i="50" s="1"/>
  <c r="A87" i="50" s="1"/>
  <c r="A88" i="50" s="1"/>
  <c r="A89" i="50" s="1"/>
  <c r="A90" i="50" s="1"/>
  <c r="A91" i="50" s="1"/>
  <c r="A92" i="50" s="1"/>
  <c r="A93" i="50" s="1"/>
  <c r="A94" i="50" s="1"/>
  <c r="A95" i="50" s="1"/>
  <c r="J84" i="50"/>
  <c r="K84" i="50" s="1"/>
  <c r="I84" i="50"/>
  <c r="J83" i="50"/>
  <c r="K83" i="50" s="1"/>
  <c r="I83" i="50"/>
  <c r="J82" i="50"/>
  <c r="K82" i="50" s="1"/>
  <c r="I82" i="50"/>
  <c r="J81" i="50"/>
  <c r="F81" i="50"/>
  <c r="I81" i="50" s="1"/>
  <c r="J80" i="50"/>
  <c r="K80" i="50" s="1"/>
  <c r="I80" i="50"/>
  <c r="J79" i="50"/>
  <c r="K79" i="50" s="1"/>
  <c r="I79" i="50"/>
  <c r="J78" i="50"/>
  <c r="K78" i="50" s="1"/>
  <c r="I78" i="50"/>
  <c r="J77" i="50"/>
  <c r="K77" i="50" s="1"/>
  <c r="I77" i="50"/>
  <c r="A77" i="50"/>
  <c r="A78" i="50" s="1"/>
  <c r="A79" i="50" s="1"/>
  <c r="A80" i="50" s="1"/>
  <c r="A81" i="50" s="1"/>
  <c r="A82" i="50" s="1"/>
  <c r="J76" i="50"/>
  <c r="K76" i="50" s="1"/>
  <c r="I76" i="50"/>
  <c r="J75" i="50"/>
  <c r="K75" i="50" s="1"/>
  <c r="I75" i="50"/>
  <c r="J74" i="50"/>
  <c r="F74" i="50"/>
  <c r="I74" i="50" s="1"/>
  <c r="J73" i="50"/>
  <c r="K73" i="50" s="1"/>
  <c r="I73" i="50"/>
  <c r="J72" i="50"/>
  <c r="K72" i="50" s="1"/>
  <c r="I72" i="50"/>
  <c r="E72" i="50"/>
  <c r="J71" i="50"/>
  <c r="K71" i="50" s="1"/>
  <c r="I71" i="50"/>
  <c r="A71" i="50"/>
  <c r="A72" i="50" s="1"/>
  <c r="A73" i="50" s="1"/>
  <c r="A74" i="50" s="1"/>
  <c r="J70" i="50"/>
  <c r="K70" i="50" s="1"/>
  <c r="I70" i="50"/>
  <c r="J69" i="50"/>
  <c r="K69" i="50" s="1"/>
  <c r="I69" i="50"/>
  <c r="J68" i="50"/>
  <c r="F68" i="50"/>
  <c r="J67" i="50"/>
  <c r="K67" i="50" s="1"/>
  <c r="I67" i="50"/>
  <c r="J66" i="50"/>
  <c r="K66" i="50" s="1"/>
  <c r="I66" i="50"/>
  <c r="J65" i="50"/>
  <c r="K65" i="50" s="1"/>
  <c r="I65" i="50"/>
  <c r="J63" i="50"/>
  <c r="K63" i="50" s="1"/>
  <c r="I63" i="50"/>
  <c r="J62" i="50"/>
  <c r="K62" i="50" s="1"/>
  <c r="I62" i="50"/>
  <c r="J61" i="50"/>
  <c r="K61" i="50" s="1"/>
  <c r="I61" i="50"/>
  <c r="J60" i="50"/>
  <c r="K60" i="50" s="1"/>
  <c r="I60" i="50"/>
  <c r="A60" i="50"/>
  <c r="A61" i="50" s="1"/>
  <c r="A62" i="50" s="1"/>
  <c r="A63" i="50" s="1"/>
  <c r="A65" i="50" s="1"/>
  <c r="A66" i="50" s="1"/>
  <c r="A67" i="50" s="1"/>
  <c r="A68" i="50" s="1"/>
  <c r="J59" i="50"/>
  <c r="K59" i="50" s="1"/>
  <c r="I59" i="50"/>
  <c r="J58" i="50"/>
  <c r="K58" i="50" s="1"/>
  <c r="I58" i="50"/>
  <c r="J57" i="50"/>
  <c r="K57" i="50" s="1"/>
  <c r="I57" i="50"/>
  <c r="J56" i="50"/>
  <c r="K56" i="50" s="1"/>
  <c r="I56" i="50"/>
  <c r="J55" i="50"/>
  <c r="K55" i="50" s="1"/>
  <c r="I55" i="50"/>
  <c r="J54" i="50"/>
  <c r="K54" i="50" s="1"/>
  <c r="I54" i="50"/>
  <c r="J53" i="50"/>
  <c r="K53" i="50" s="1"/>
  <c r="I53" i="50"/>
  <c r="J52" i="50"/>
  <c r="K52" i="50" s="1"/>
  <c r="I52" i="50"/>
  <c r="J51" i="50"/>
  <c r="K51" i="50" s="1"/>
  <c r="I51" i="50"/>
  <c r="A51" i="50"/>
  <c r="A52" i="50" s="1"/>
  <c r="A53" i="50" s="1"/>
  <c r="A54" i="50" s="1"/>
  <c r="A55" i="50" s="1"/>
  <c r="A56" i="50" s="1"/>
  <c r="A57" i="50" s="1"/>
  <c r="J50" i="50"/>
  <c r="K50" i="50" s="1"/>
  <c r="I50" i="50"/>
  <c r="J49" i="50"/>
  <c r="K49" i="50" s="1"/>
  <c r="I49" i="50"/>
  <c r="J48" i="50"/>
  <c r="F48" i="50"/>
  <c r="I48" i="50" s="1"/>
  <c r="J47" i="50"/>
  <c r="K47" i="50" s="1"/>
  <c r="I47" i="50"/>
  <c r="A47" i="50"/>
  <c r="A48" i="50" s="1"/>
  <c r="J46" i="50"/>
  <c r="K46" i="50" s="1"/>
  <c r="I46" i="50"/>
  <c r="J45" i="50"/>
  <c r="K45" i="50" s="1"/>
  <c r="I45" i="50"/>
  <c r="J44" i="50"/>
  <c r="F44" i="50"/>
  <c r="I44" i="50" s="1"/>
  <c r="J43" i="50"/>
  <c r="K43" i="50" s="1"/>
  <c r="I43" i="50"/>
  <c r="J42" i="50"/>
  <c r="K42" i="50" s="1"/>
  <c r="I42" i="50"/>
  <c r="E42" i="50"/>
  <c r="J41" i="50"/>
  <c r="K41" i="50" s="1"/>
  <c r="I41" i="50"/>
  <c r="J40" i="50"/>
  <c r="K40" i="50" s="1"/>
  <c r="I40" i="50"/>
  <c r="J39" i="50"/>
  <c r="K39" i="50" s="1"/>
  <c r="I39" i="50"/>
  <c r="J38" i="50"/>
  <c r="K38" i="50" s="1"/>
  <c r="I38" i="50"/>
  <c r="J37" i="50"/>
  <c r="K37" i="50" s="1"/>
  <c r="I37" i="50"/>
  <c r="J36" i="50"/>
  <c r="K36" i="50" s="1"/>
  <c r="I36" i="50"/>
  <c r="A36" i="50"/>
  <c r="A37" i="50" s="1"/>
  <c r="A38" i="50" s="1"/>
  <c r="A39" i="50" s="1"/>
  <c r="A40" i="50" s="1"/>
  <c r="A41" i="50" s="1"/>
  <c r="A42" i="50" s="1"/>
  <c r="A43" i="50" s="1"/>
  <c r="A44" i="50" s="1"/>
  <c r="J35" i="50"/>
  <c r="K35" i="50" s="1"/>
  <c r="I35" i="50"/>
  <c r="J34" i="50"/>
  <c r="K34" i="50" s="1"/>
  <c r="I34" i="50"/>
  <c r="J33" i="50"/>
  <c r="K33" i="50" s="1"/>
  <c r="I33" i="50"/>
  <c r="M32" i="50"/>
  <c r="J32" i="50"/>
  <c r="K32" i="50" s="1"/>
  <c r="I32" i="50"/>
  <c r="J31" i="50"/>
  <c r="K31" i="50" s="1"/>
  <c r="I31" i="50"/>
  <c r="J30" i="50"/>
  <c r="K30" i="50" s="1"/>
  <c r="I30" i="50"/>
  <c r="J29" i="50"/>
  <c r="K29" i="50" s="1"/>
  <c r="I29" i="50"/>
  <c r="J28" i="50"/>
  <c r="K28" i="50" s="1"/>
  <c r="I28" i="50"/>
  <c r="J27" i="50"/>
  <c r="K27" i="50" s="1"/>
  <c r="I27" i="50"/>
  <c r="J26" i="50"/>
  <c r="K26" i="50" s="1"/>
  <c r="I26" i="50"/>
  <c r="J25" i="50"/>
  <c r="K25" i="50" s="1"/>
  <c r="I25" i="50"/>
  <c r="J24" i="50"/>
  <c r="K24" i="50" s="1"/>
  <c r="I24" i="50"/>
  <c r="J23" i="50"/>
  <c r="K23" i="50" s="1"/>
  <c r="I23" i="50"/>
  <c r="A23" i="50"/>
  <c r="A24" i="50" s="1"/>
  <c r="A25" i="50" s="1"/>
  <c r="A26" i="50" s="1"/>
  <c r="A27" i="50" s="1"/>
  <c r="A28" i="50" s="1"/>
  <c r="A29" i="50" s="1"/>
  <c r="A30" i="50" s="1"/>
  <c r="A31" i="50" s="1"/>
  <c r="A32" i="50" s="1"/>
  <c r="A33" i="50" s="1"/>
  <c r="J22" i="50"/>
  <c r="K22" i="50" s="1"/>
  <c r="I22" i="50"/>
  <c r="J21" i="50"/>
  <c r="K21" i="50" s="1"/>
  <c r="I21" i="50"/>
  <c r="J20" i="50"/>
  <c r="K20" i="50" s="1"/>
  <c r="I20" i="50"/>
  <c r="J19" i="50"/>
  <c r="F19" i="50"/>
  <c r="I19" i="50" s="1"/>
  <c r="J18" i="50"/>
  <c r="F18" i="50"/>
  <c r="I18" i="50" s="1"/>
  <c r="J17" i="50"/>
  <c r="J16" i="50"/>
  <c r="J15" i="50"/>
  <c r="J14" i="50"/>
  <c r="F14" i="50"/>
  <c r="F15" i="50" s="1"/>
  <c r="J12" i="50"/>
  <c r="F12" i="50"/>
  <c r="I12" i="50" s="1"/>
  <c r="J11" i="50"/>
  <c r="F11" i="50"/>
  <c r="I11" i="50" s="1"/>
  <c r="A11" i="50"/>
  <c r="A12" i="50" s="1"/>
  <c r="A13" i="50" s="1"/>
  <c r="A14" i="50" s="1"/>
  <c r="A15" i="50" s="1"/>
  <c r="A16" i="50" s="1"/>
  <c r="A17" i="50" s="1"/>
  <c r="A18" i="50" s="1"/>
  <c r="A19" i="50" s="1"/>
  <c r="A20" i="50" s="1"/>
  <c r="J10" i="50"/>
  <c r="F10" i="50"/>
  <c r="I10" i="50" s="1"/>
  <c r="K408" i="50" l="1"/>
  <c r="K425" i="50"/>
  <c r="K259" i="50"/>
  <c r="K443" i="50"/>
  <c r="K95" i="50"/>
  <c r="K254" i="50"/>
  <c r="K12" i="50"/>
  <c r="K110" i="50"/>
  <c r="K10" i="50"/>
  <c r="K81" i="50"/>
  <c r="K11" i="50"/>
  <c r="K68" i="50"/>
  <c r="K413" i="50"/>
  <c r="K132" i="50"/>
  <c r="K272" i="50"/>
  <c r="K446" i="50"/>
  <c r="K452" i="50"/>
  <c r="K74" i="50"/>
  <c r="K184" i="50"/>
  <c r="K279" i="50"/>
  <c r="K18" i="50"/>
  <c r="K102" i="50"/>
  <c r="K146" i="50"/>
  <c r="K159" i="50"/>
  <c r="K172" i="50"/>
  <c r="K14" i="50"/>
  <c r="K44" i="50"/>
  <c r="I68" i="50"/>
  <c r="K258" i="50"/>
  <c r="K409" i="50"/>
  <c r="K265" i="50"/>
  <c r="K19" i="50"/>
  <c r="K410" i="50"/>
  <c r="K48" i="50"/>
  <c r="K136" i="50"/>
  <c r="K278" i="50"/>
  <c r="K411" i="50"/>
  <c r="F16" i="50"/>
  <c r="I15" i="50"/>
  <c r="K15" i="50"/>
  <c r="I14" i="50"/>
  <c r="F17" i="50" l="1"/>
  <c r="K16" i="50"/>
  <c r="I16" i="50"/>
  <c r="I17" i="50" l="1"/>
  <c r="I499" i="50" s="1"/>
  <c r="K17" i="50"/>
  <c r="K499" i="50" s="1"/>
  <c r="I594" i="47" l="1"/>
  <c r="J594" i="47" s="1"/>
  <c r="H594" i="47"/>
  <c r="A594" i="47"/>
  <c r="I593" i="47"/>
  <c r="J593" i="47" s="1"/>
  <c r="H593" i="47"/>
  <c r="I592" i="47"/>
  <c r="J592" i="47" s="1"/>
  <c r="H592" i="47"/>
  <c r="I591" i="47"/>
  <c r="J591" i="47" s="1"/>
  <c r="H591" i="47"/>
  <c r="I590" i="47"/>
  <c r="J590" i="47" s="1"/>
  <c r="H590" i="47"/>
  <c r="I589" i="47"/>
  <c r="J589" i="47" s="1"/>
  <c r="H589" i="47"/>
  <c r="I588" i="47"/>
  <c r="J588" i="47" s="1"/>
  <c r="H588" i="47"/>
  <c r="I587" i="47"/>
  <c r="J587" i="47" s="1"/>
  <c r="H587" i="47"/>
  <c r="I586" i="47"/>
  <c r="J586" i="47" s="1"/>
  <c r="H586" i="47"/>
  <c r="I585" i="47"/>
  <c r="J585" i="47" s="1"/>
  <c r="H585" i="47"/>
  <c r="I584" i="47"/>
  <c r="J584" i="47" s="1"/>
  <c r="H584" i="47"/>
  <c r="I583" i="47"/>
  <c r="J583" i="47" s="1"/>
  <c r="H583" i="47"/>
  <c r="I582" i="47"/>
  <c r="J582" i="47" s="1"/>
  <c r="H582" i="47"/>
  <c r="I581" i="47"/>
  <c r="J581" i="47" s="1"/>
  <c r="H581" i="47"/>
  <c r="I580" i="47"/>
  <c r="J580" i="47" s="1"/>
  <c r="H580" i="47"/>
  <c r="I579" i="47"/>
  <c r="J579" i="47" s="1"/>
  <c r="H579" i="47"/>
  <c r="I578" i="47"/>
  <c r="J578" i="47" s="1"/>
  <c r="H578" i="47"/>
  <c r="I577" i="47"/>
  <c r="J577" i="47" s="1"/>
  <c r="H577" i="47"/>
  <c r="I576" i="47"/>
  <c r="J576" i="47" s="1"/>
  <c r="H576" i="47"/>
  <c r="I575" i="47"/>
  <c r="J575" i="47" s="1"/>
  <c r="H575" i="47"/>
  <c r="I574" i="47"/>
  <c r="J574" i="47" s="1"/>
  <c r="H574" i="47"/>
  <c r="I573" i="47"/>
  <c r="J573" i="47" s="1"/>
  <c r="H573" i="47"/>
  <c r="I572" i="47"/>
  <c r="J572" i="47" s="1"/>
  <c r="H572" i="47"/>
  <c r="I571" i="47"/>
  <c r="J571" i="47" s="1"/>
  <c r="H571" i="47"/>
  <c r="I570" i="47"/>
  <c r="J570" i="47" s="1"/>
  <c r="H570" i="47"/>
  <c r="I569" i="47"/>
  <c r="J569" i="47" s="1"/>
  <c r="H569" i="47"/>
  <c r="I568" i="47"/>
  <c r="J568" i="47" s="1"/>
  <c r="H568" i="47"/>
  <c r="I567" i="47"/>
  <c r="J567" i="47" s="1"/>
  <c r="H567" i="47"/>
  <c r="I566" i="47"/>
  <c r="J566" i="47" s="1"/>
  <c r="H566" i="47"/>
  <c r="I565" i="47"/>
  <c r="J565" i="47" s="1"/>
  <c r="H565" i="47"/>
  <c r="I564" i="47"/>
  <c r="J564" i="47" s="1"/>
  <c r="H564" i="47"/>
  <c r="I563" i="47"/>
  <c r="J563" i="47" s="1"/>
  <c r="H563" i="47"/>
  <c r="I562" i="47"/>
  <c r="J562" i="47" s="1"/>
  <c r="H562" i="47"/>
  <c r="I561" i="47"/>
  <c r="J561" i="47" s="1"/>
  <c r="H561" i="47"/>
  <c r="I560" i="47"/>
  <c r="J560" i="47" s="1"/>
  <c r="H560" i="47"/>
  <c r="I559" i="47"/>
  <c r="J559" i="47" s="1"/>
  <c r="H559" i="47"/>
  <c r="I558" i="47"/>
  <c r="J558" i="47" s="1"/>
  <c r="H558" i="47"/>
  <c r="I557" i="47"/>
  <c r="J557" i="47" s="1"/>
  <c r="H557" i="47"/>
  <c r="I556" i="47"/>
  <c r="J556" i="47" s="1"/>
  <c r="H556" i="47"/>
  <c r="I555" i="47"/>
  <c r="J555" i="47" s="1"/>
  <c r="H555" i="47"/>
  <c r="I554" i="47"/>
  <c r="J554" i="47" s="1"/>
  <c r="H554" i="47"/>
  <c r="I553" i="47"/>
  <c r="J553" i="47" s="1"/>
  <c r="H553" i="47"/>
  <c r="I552" i="47"/>
  <c r="J552" i="47" s="1"/>
  <c r="H552" i="47"/>
  <c r="I551" i="47"/>
  <c r="J551" i="47" s="1"/>
  <c r="H551" i="47"/>
  <c r="A551" i="47"/>
  <c r="A552" i="47" s="1"/>
  <c r="A553" i="47" s="1"/>
  <c r="A554" i="47" s="1"/>
  <c r="A555" i="47" s="1"/>
  <c r="A556" i="47" s="1"/>
  <c r="A557" i="47" s="1"/>
  <c r="A558" i="47" s="1"/>
  <c r="A559" i="47" s="1"/>
  <c r="A560" i="47" s="1"/>
  <c r="A561" i="47" s="1"/>
  <c r="A562" i="47" s="1"/>
  <c r="A563" i="47" s="1"/>
  <c r="A564" i="47" s="1"/>
  <c r="A565" i="47" s="1"/>
  <c r="A566" i="47" s="1"/>
  <c r="A567" i="47" s="1"/>
  <c r="A568" i="47" s="1"/>
  <c r="A569" i="47" s="1"/>
  <c r="A570" i="47" s="1"/>
  <c r="A571" i="47" s="1"/>
  <c r="A572" i="47" s="1"/>
  <c r="A573" i="47" s="1"/>
  <c r="A574" i="47" s="1"/>
  <c r="A575" i="47" s="1"/>
  <c r="A576" i="47" s="1"/>
  <c r="A577" i="47" s="1"/>
  <c r="A578" i="47" s="1"/>
  <c r="A579" i="47" s="1"/>
  <c r="A580" i="47" s="1"/>
  <c r="A581" i="47" s="1"/>
  <c r="A582" i="47" s="1"/>
  <c r="A583" i="47" s="1"/>
  <c r="A584" i="47" s="1"/>
  <c r="A585" i="47" s="1"/>
  <c r="A586" i="47" s="1"/>
  <c r="A587" i="47" s="1"/>
  <c r="A588" i="47" s="1"/>
  <c r="A589" i="47" s="1"/>
  <c r="A590" i="47" s="1"/>
  <c r="A591" i="47" s="1"/>
  <c r="I550" i="47"/>
  <c r="J550" i="47" s="1"/>
  <c r="H550" i="47"/>
  <c r="I549" i="47"/>
  <c r="J549" i="47" s="1"/>
  <c r="H549" i="47"/>
  <c r="I548" i="47"/>
  <c r="E548" i="47"/>
  <c r="H548" i="47" s="1"/>
  <c r="I547" i="47"/>
  <c r="J547" i="47" s="1"/>
  <c r="H547" i="47"/>
  <c r="I546" i="47"/>
  <c r="J546" i="47" s="1"/>
  <c r="H546" i="47"/>
  <c r="I545" i="47"/>
  <c r="J545" i="47" s="1"/>
  <c r="H545" i="47"/>
  <c r="A545" i="47"/>
  <c r="A546" i="47" s="1"/>
  <c r="A547" i="47" s="1"/>
  <c r="A548" i="47" s="1"/>
  <c r="I544" i="47"/>
  <c r="J544" i="47" s="1"/>
  <c r="H544" i="47"/>
  <c r="I543" i="47"/>
  <c r="J543" i="47" s="1"/>
  <c r="H543" i="47"/>
  <c r="I542" i="47"/>
  <c r="E542" i="47"/>
  <c r="H542" i="47" s="1"/>
  <c r="A542" i="47"/>
  <c r="I541" i="47"/>
  <c r="J541" i="47" s="1"/>
  <c r="H541" i="47"/>
  <c r="I540" i="47"/>
  <c r="J540" i="47" s="1"/>
  <c r="H540" i="47"/>
  <c r="I539" i="47"/>
  <c r="J539" i="47" s="1"/>
  <c r="E539" i="47"/>
  <c r="H539" i="47" s="1"/>
  <c r="I538" i="47"/>
  <c r="J538" i="47" s="1"/>
  <c r="H538" i="47"/>
  <c r="I537" i="47"/>
  <c r="J537" i="47" s="1"/>
  <c r="H537" i="47"/>
  <c r="I536" i="47"/>
  <c r="J536" i="47" s="1"/>
  <c r="H536" i="47"/>
  <c r="I535" i="47"/>
  <c r="J535" i="47" s="1"/>
  <c r="H535" i="47"/>
  <c r="I534" i="47"/>
  <c r="J534" i="47" s="1"/>
  <c r="H534" i="47"/>
  <c r="A534" i="47"/>
  <c r="A535" i="47" s="1"/>
  <c r="A536" i="47" s="1"/>
  <c r="A537" i="47" s="1"/>
  <c r="A538" i="47" s="1"/>
  <c r="A539" i="47" s="1"/>
  <c r="I533" i="47"/>
  <c r="J533" i="47" s="1"/>
  <c r="H533" i="47"/>
  <c r="I532" i="47"/>
  <c r="J532" i="47" s="1"/>
  <c r="H532" i="47"/>
  <c r="I531" i="47"/>
  <c r="J531" i="47" s="1"/>
  <c r="H531" i="47"/>
  <c r="I530" i="47"/>
  <c r="J530" i="47" s="1"/>
  <c r="H530" i="47"/>
  <c r="I529" i="47"/>
  <c r="J529" i="47" s="1"/>
  <c r="H529" i="47"/>
  <c r="I528" i="47"/>
  <c r="J528" i="47" s="1"/>
  <c r="H528" i="47"/>
  <c r="I527" i="47"/>
  <c r="J527" i="47" s="1"/>
  <c r="H527" i="47"/>
  <c r="I526" i="47"/>
  <c r="J526" i="47" s="1"/>
  <c r="H526" i="47"/>
  <c r="A526" i="47"/>
  <c r="A527" i="47" s="1"/>
  <c r="A528" i="47" s="1"/>
  <c r="A529" i="47" s="1"/>
  <c r="A530" i="47" s="1"/>
  <c r="A531" i="47" s="1"/>
  <c r="I525" i="47"/>
  <c r="J525" i="47" s="1"/>
  <c r="H525" i="47"/>
  <c r="I524" i="47"/>
  <c r="J524" i="47" s="1"/>
  <c r="H524" i="47"/>
  <c r="I523" i="47"/>
  <c r="J523" i="47" s="1"/>
  <c r="H523" i="47"/>
  <c r="I522" i="47"/>
  <c r="J522" i="47" s="1"/>
  <c r="H522" i="47"/>
  <c r="I521" i="47"/>
  <c r="E521" i="47"/>
  <c r="H521" i="47" s="1"/>
  <c r="I520" i="47"/>
  <c r="J520" i="47" s="1"/>
  <c r="H520" i="47"/>
  <c r="I519" i="47"/>
  <c r="J519" i="47" s="1"/>
  <c r="H519" i="47"/>
  <c r="I518" i="47"/>
  <c r="J518" i="47" s="1"/>
  <c r="H518" i="47"/>
  <c r="I517" i="47"/>
  <c r="J517" i="47" s="1"/>
  <c r="H517" i="47"/>
  <c r="A517" i="47"/>
  <c r="A518" i="47" s="1"/>
  <c r="A519" i="47" s="1"/>
  <c r="A520" i="47" s="1"/>
  <c r="A521" i="47" s="1"/>
  <c r="A522" i="47" s="1"/>
  <c r="A523" i="47" s="1"/>
  <c r="I516" i="47"/>
  <c r="J516" i="47" s="1"/>
  <c r="H516" i="47"/>
  <c r="I515" i="47"/>
  <c r="J515" i="47" s="1"/>
  <c r="H515" i="47"/>
  <c r="I514" i="47"/>
  <c r="J514" i="47" s="1"/>
  <c r="H514" i="47"/>
  <c r="I513" i="47"/>
  <c r="J513" i="47" s="1"/>
  <c r="H513" i="47"/>
  <c r="I512" i="47"/>
  <c r="J512" i="47" s="1"/>
  <c r="H512" i="47"/>
  <c r="I511" i="47"/>
  <c r="J511" i="47" s="1"/>
  <c r="H511" i="47"/>
  <c r="I510" i="47"/>
  <c r="J510" i="47" s="1"/>
  <c r="H510" i="47"/>
  <c r="I509" i="47"/>
  <c r="J509" i="47" s="1"/>
  <c r="H509" i="47"/>
  <c r="I508" i="47"/>
  <c r="J508" i="47" s="1"/>
  <c r="H508" i="47"/>
  <c r="I507" i="47"/>
  <c r="J507" i="47" s="1"/>
  <c r="H507" i="47"/>
  <c r="I506" i="47"/>
  <c r="J506" i="47" s="1"/>
  <c r="H506" i="47"/>
  <c r="I505" i="47"/>
  <c r="J505" i="47" s="1"/>
  <c r="H505" i="47"/>
  <c r="I504" i="47"/>
  <c r="J504" i="47" s="1"/>
  <c r="H504" i="47"/>
  <c r="I503" i="47"/>
  <c r="J503" i="47" s="1"/>
  <c r="H503" i="47"/>
  <c r="I502" i="47"/>
  <c r="J502" i="47" s="1"/>
  <c r="H502" i="47"/>
  <c r="I501" i="47"/>
  <c r="J501" i="47" s="1"/>
  <c r="H501" i="47"/>
  <c r="I500" i="47"/>
  <c r="J500" i="47" s="1"/>
  <c r="H500" i="47"/>
  <c r="I499" i="47"/>
  <c r="J499" i="47" s="1"/>
  <c r="H499" i="47"/>
  <c r="I498" i="47"/>
  <c r="J498" i="47" s="1"/>
  <c r="H498" i="47"/>
  <c r="I497" i="47"/>
  <c r="J497" i="47" s="1"/>
  <c r="H497" i="47"/>
  <c r="I496" i="47"/>
  <c r="J496" i="47" s="1"/>
  <c r="H496" i="47"/>
  <c r="I495" i="47"/>
  <c r="J495" i="47" s="1"/>
  <c r="H495" i="47"/>
  <c r="I494" i="47"/>
  <c r="J494" i="47" s="1"/>
  <c r="H494" i="47"/>
  <c r="I493" i="47"/>
  <c r="J493" i="47" s="1"/>
  <c r="H493" i="47"/>
  <c r="I492" i="47"/>
  <c r="J492" i="47" s="1"/>
  <c r="H492" i="47"/>
  <c r="I491" i="47"/>
  <c r="J491" i="47" s="1"/>
  <c r="H491" i="47"/>
  <c r="I490" i="47"/>
  <c r="J490" i="47" s="1"/>
  <c r="H490" i="47"/>
  <c r="I489" i="47"/>
  <c r="J489" i="47" s="1"/>
  <c r="H489" i="47"/>
  <c r="I488" i="47"/>
  <c r="J488" i="47" s="1"/>
  <c r="H488" i="47"/>
  <c r="I487" i="47"/>
  <c r="J487" i="47" s="1"/>
  <c r="H487" i="47"/>
  <c r="I486" i="47"/>
  <c r="J486" i="47" s="1"/>
  <c r="H486" i="47"/>
  <c r="I485" i="47"/>
  <c r="J485" i="47" s="1"/>
  <c r="H485" i="47"/>
  <c r="I484" i="47"/>
  <c r="J484" i="47" s="1"/>
  <c r="H484" i="47"/>
  <c r="I483" i="47"/>
  <c r="J483" i="47" s="1"/>
  <c r="H483" i="47"/>
  <c r="I482" i="47"/>
  <c r="J482" i="47" s="1"/>
  <c r="H482" i="47"/>
  <c r="I481" i="47"/>
  <c r="J481" i="47" s="1"/>
  <c r="H481" i="47"/>
  <c r="I480" i="47"/>
  <c r="J480" i="47" s="1"/>
  <c r="H480" i="47"/>
  <c r="I479" i="47"/>
  <c r="J479" i="47" s="1"/>
  <c r="H479" i="47"/>
  <c r="I478" i="47"/>
  <c r="J478" i="47" s="1"/>
  <c r="H478" i="47"/>
  <c r="I477" i="47"/>
  <c r="J477" i="47" s="1"/>
  <c r="H477" i="47"/>
  <c r="I476" i="47"/>
  <c r="J476" i="47" s="1"/>
  <c r="H476" i="47"/>
  <c r="I475" i="47"/>
  <c r="J475" i="47" s="1"/>
  <c r="H475" i="47"/>
  <c r="I474" i="47"/>
  <c r="J474" i="47" s="1"/>
  <c r="H474" i="47"/>
  <c r="I473" i="47"/>
  <c r="J473" i="47" s="1"/>
  <c r="H473" i="47"/>
  <c r="I472" i="47"/>
  <c r="J472" i="47" s="1"/>
  <c r="H472" i="47"/>
  <c r="I471" i="47"/>
  <c r="J471" i="47" s="1"/>
  <c r="H471" i="47"/>
  <c r="I470" i="47"/>
  <c r="J470" i="47" s="1"/>
  <c r="H470" i="47"/>
  <c r="I469" i="47"/>
  <c r="J469" i="47" s="1"/>
  <c r="H469" i="47"/>
  <c r="I468" i="47"/>
  <c r="J468" i="47" s="1"/>
  <c r="H468" i="47"/>
  <c r="I467" i="47"/>
  <c r="J467" i="47" s="1"/>
  <c r="H467" i="47"/>
  <c r="I466" i="47"/>
  <c r="J466" i="47" s="1"/>
  <c r="H466" i="47"/>
  <c r="I465" i="47"/>
  <c r="J465" i="47" s="1"/>
  <c r="H465" i="47"/>
  <c r="I464" i="47"/>
  <c r="J464" i="47" s="1"/>
  <c r="H464" i="47"/>
  <c r="I463" i="47"/>
  <c r="J463" i="47" s="1"/>
  <c r="H463" i="47"/>
  <c r="I462" i="47"/>
  <c r="J462" i="47" s="1"/>
  <c r="H462" i="47"/>
  <c r="I461" i="47"/>
  <c r="J461" i="47" s="1"/>
  <c r="H461" i="47"/>
  <c r="I460" i="47"/>
  <c r="J460" i="47" s="1"/>
  <c r="H460" i="47"/>
  <c r="I459" i="47"/>
  <c r="J459" i="47" s="1"/>
  <c r="H459" i="47"/>
  <c r="I458" i="47"/>
  <c r="J458" i="47" s="1"/>
  <c r="H458" i="47"/>
  <c r="I457" i="47"/>
  <c r="J457" i="47" s="1"/>
  <c r="H457" i="47"/>
  <c r="I456" i="47"/>
  <c r="J456" i="47" s="1"/>
  <c r="H456" i="47"/>
  <c r="I455" i="47"/>
  <c r="J455" i="47" s="1"/>
  <c r="H455" i="47"/>
  <c r="I454" i="47"/>
  <c r="J454" i="47" s="1"/>
  <c r="H454" i="47"/>
  <c r="I453" i="47"/>
  <c r="J453" i="47" s="1"/>
  <c r="H453" i="47"/>
  <c r="I452" i="47"/>
  <c r="J452" i="47" s="1"/>
  <c r="H452" i="47"/>
  <c r="I451" i="47"/>
  <c r="J451" i="47" s="1"/>
  <c r="H451" i="47"/>
  <c r="I450" i="47"/>
  <c r="J450" i="47" s="1"/>
  <c r="H450" i="47"/>
  <c r="I449" i="47"/>
  <c r="J449" i="47" s="1"/>
  <c r="H449" i="47"/>
  <c r="I448" i="47"/>
  <c r="J448" i="47" s="1"/>
  <c r="H448" i="47"/>
  <c r="I447" i="47"/>
  <c r="J447" i="47" s="1"/>
  <c r="H447" i="47"/>
  <c r="I446" i="47"/>
  <c r="J446" i="47" s="1"/>
  <c r="H446" i="47"/>
  <c r="I445" i="47"/>
  <c r="J445" i="47" s="1"/>
  <c r="H445" i="47"/>
  <c r="I444" i="47"/>
  <c r="J444" i="47" s="1"/>
  <c r="H444" i="47"/>
  <c r="I443" i="47"/>
  <c r="J443" i="47" s="1"/>
  <c r="H443" i="47"/>
  <c r="I442" i="47"/>
  <c r="J442" i="47" s="1"/>
  <c r="H442" i="47"/>
  <c r="I441" i="47"/>
  <c r="J441" i="47" s="1"/>
  <c r="H441" i="47"/>
  <c r="I440" i="47"/>
  <c r="J440" i="47" s="1"/>
  <c r="H440" i="47"/>
  <c r="I439" i="47"/>
  <c r="J439" i="47" s="1"/>
  <c r="H439" i="47"/>
  <c r="I438" i="47"/>
  <c r="J438" i="47" s="1"/>
  <c r="H438" i="47"/>
  <c r="I437" i="47"/>
  <c r="J437" i="47" s="1"/>
  <c r="H437" i="47"/>
  <c r="I436" i="47"/>
  <c r="J436" i="47" s="1"/>
  <c r="H436" i="47"/>
  <c r="I435" i="47"/>
  <c r="J435" i="47" s="1"/>
  <c r="H435" i="47"/>
  <c r="I434" i="47"/>
  <c r="J434" i="47" s="1"/>
  <c r="H434" i="47"/>
  <c r="I433" i="47"/>
  <c r="J433" i="47" s="1"/>
  <c r="H433" i="47"/>
  <c r="I432" i="47"/>
  <c r="J432" i="47" s="1"/>
  <c r="H432" i="47"/>
  <c r="I431" i="47"/>
  <c r="J431" i="47" s="1"/>
  <c r="H431" i="47"/>
  <c r="I430" i="47"/>
  <c r="J430" i="47" s="1"/>
  <c r="H430" i="47"/>
  <c r="I429" i="47"/>
  <c r="J429" i="47" s="1"/>
  <c r="H429" i="47"/>
  <c r="I428" i="47"/>
  <c r="J428" i="47" s="1"/>
  <c r="H428" i="47"/>
  <c r="I427" i="47"/>
  <c r="J427" i="47" s="1"/>
  <c r="H427" i="47"/>
  <c r="I426" i="47"/>
  <c r="J426" i="47" s="1"/>
  <c r="H426" i="47"/>
  <c r="I425" i="47"/>
  <c r="J425" i="47" s="1"/>
  <c r="H425" i="47"/>
  <c r="I424" i="47"/>
  <c r="J424" i="47" s="1"/>
  <c r="H424" i="47"/>
  <c r="I423" i="47"/>
  <c r="J423" i="47" s="1"/>
  <c r="H423" i="47"/>
  <c r="I422" i="47"/>
  <c r="J422" i="47" s="1"/>
  <c r="H422" i="47"/>
  <c r="I421" i="47"/>
  <c r="J421" i="47" s="1"/>
  <c r="H421" i="47"/>
  <c r="I420" i="47"/>
  <c r="J420" i="47" s="1"/>
  <c r="H420" i="47"/>
  <c r="I419" i="47"/>
  <c r="J419" i="47" s="1"/>
  <c r="H419" i="47"/>
  <c r="J418" i="47"/>
  <c r="I418" i="47"/>
  <c r="H418" i="47"/>
  <c r="I417" i="47"/>
  <c r="J417" i="47" s="1"/>
  <c r="H417" i="47"/>
  <c r="I416" i="47"/>
  <c r="J416" i="47" s="1"/>
  <c r="H416" i="47"/>
  <c r="I415" i="47"/>
  <c r="J415" i="47" s="1"/>
  <c r="H415" i="47"/>
  <c r="I414" i="47"/>
  <c r="J414" i="47" s="1"/>
  <c r="H414" i="47"/>
  <c r="I413" i="47"/>
  <c r="J413" i="47" s="1"/>
  <c r="H413" i="47"/>
  <c r="I412" i="47"/>
  <c r="J412" i="47" s="1"/>
  <c r="H412" i="47"/>
  <c r="I411" i="47"/>
  <c r="J411" i="47" s="1"/>
  <c r="H411" i="47"/>
  <c r="I410" i="47"/>
  <c r="J410" i="47" s="1"/>
  <c r="H410" i="47"/>
  <c r="I409" i="47"/>
  <c r="J409" i="47" s="1"/>
  <c r="H409" i="47"/>
  <c r="I408" i="47"/>
  <c r="J408" i="47" s="1"/>
  <c r="H408" i="47"/>
  <c r="I407" i="47"/>
  <c r="J407" i="47" s="1"/>
  <c r="H407" i="47"/>
  <c r="I406" i="47"/>
  <c r="J406" i="47" s="1"/>
  <c r="H406" i="47"/>
  <c r="I405" i="47"/>
  <c r="J405" i="47" s="1"/>
  <c r="H405" i="47"/>
  <c r="I404" i="47"/>
  <c r="J404" i="47" s="1"/>
  <c r="H404" i="47"/>
  <c r="I403" i="47"/>
  <c r="J403" i="47" s="1"/>
  <c r="H403" i="47"/>
  <c r="I402" i="47"/>
  <c r="J402" i="47" s="1"/>
  <c r="H402" i="47"/>
  <c r="I401" i="47"/>
  <c r="J401" i="47" s="1"/>
  <c r="H401" i="47"/>
  <c r="I400" i="47"/>
  <c r="J400" i="47" s="1"/>
  <c r="H400" i="47"/>
  <c r="I399" i="47"/>
  <c r="J399" i="47" s="1"/>
  <c r="H399" i="47"/>
  <c r="I398" i="47"/>
  <c r="J398" i="47" s="1"/>
  <c r="H398" i="47"/>
  <c r="I397" i="47"/>
  <c r="J397" i="47" s="1"/>
  <c r="H397" i="47"/>
  <c r="I396" i="47"/>
  <c r="J396" i="47" s="1"/>
  <c r="H396" i="47"/>
  <c r="I395" i="47"/>
  <c r="J395" i="47" s="1"/>
  <c r="H395" i="47"/>
  <c r="I394" i="47"/>
  <c r="J394" i="47" s="1"/>
  <c r="H394" i="47"/>
  <c r="I393" i="47"/>
  <c r="J393" i="47" s="1"/>
  <c r="H393" i="47"/>
  <c r="I392" i="47"/>
  <c r="J392" i="47" s="1"/>
  <c r="H392" i="47"/>
  <c r="I391" i="47"/>
  <c r="J391" i="47" s="1"/>
  <c r="H391" i="47"/>
  <c r="I390" i="47"/>
  <c r="J390" i="47" s="1"/>
  <c r="H390" i="47"/>
  <c r="I389" i="47"/>
  <c r="J389" i="47" s="1"/>
  <c r="H389" i="47"/>
  <c r="I388" i="47"/>
  <c r="J388" i="47" s="1"/>
  <c r="H388" i="47"/>
  <c r="I387" i="47"/>
  <c r="J387" i="47" s="1"/>
  <c r="H387" i="47"/>
  <c r="I386" i="47"/>
  <c r="J386" i="47" s="1"/>
  <c r="H386" i="47"/>
  <c r="I385" i="47"/>
  <c r="J385" i="47" s="1"/>
  <c r="H385" i="47"/>
  <c r="I384" i="47"/>
  <c r="J384" i="47" s="1"/>
  <c r="H384" i="47"/>
  <c r="I383" i="47"/>
  <c r="J383" i="47" s="1"/>
  <c r="H383" i="47"/>
  <c r="I382" i="47"/>
  <c r="J382" i="47" s="1"/>
  <c r="H382" i="47"/>
  <c r="I381" i="47"/>
  <c r="J381" i="47" s="1"/>
  <c r="H381" i="47"/>
  <c r="I380" i="47"/>
  <c r="J380" i="47" s="1"/>
  <c r="H380" i="47"/>
  <c r="I379" i="47"/>
  <c r="J379" i="47" s="1"/>
  <c r="H379" i="47"/>
  <c r="I378" i="47"/>
  <c r="J378" i="47" s="1"/>
  <c r="H378" i="47"/>
  <c r="I377" i="47"/>
  <c r="J377" i="47" s="1"/>
  <c r="H377" i="47"/>
  <c r="I376" i="47"/>
  <c r="J376" i="47" s="1"/>
  <c r="H376" i="47"/>
  <c r="I375" i="47"/>
  <c r="J375" i="47" s="1"/>
  <c r="H375" i="47"/>
  <c r="I374" i="47"/>
  <c r="J374" i="47" s="1"/>
  <c r="H374" i="47"/>
  <c r="I373" i="47"/>
  <c r="J373" i="47" s="1"/>
  <c r="H373" i="47"/>
  <c r="I372" i="47"/>
  <c r="J372" i="47" s="1"/>
  <c r="H372" i="47"/>
  <c r="I371" i="47"/>
  <c r="J371" i="47" s="1"/>
  <c r="H371" i="47"/>
  <c r="I370" i="47"/>
  <c r="J370" i="47" s="1"/>
  <c r="H370" i="47"/>
  <c r="I369" i="47"/>
  <c r="J369" i="47" s="1"/>
  <c r="H369" i="47"/>
  <c r="I368" i="47"/>
  <c r="J368" i="47" s="1"/>
  <c r="H368" i="47"/>
  <c r="I367" i="47"/>
  <c r="J367" i="47" s="1"/>
  <c r="H367" i="47"/>
  <c r="I366" i="47"/>
  <c r="J366" i="47" s="1"/>
  <c r="H366" i="47"/>
  <c r="I365" i="47"/>
  <c r="J365" i="47" s="1"/>
  <c r="H365" i="47"/>
  <c r="I364" i="47"/>
  <c r="J364" i="47" s="1"/>
  <c r="H364" i="47"/>
  <c r="I363" i="47"/>
  <c r="J363" i="47" s="1"/>
  <c r="H363" i="47"/>
  <c r="I362" i="47"/>
  <c r="J362" i="47" s="1"/>
  <c r="H362" i="47"/>
  <c r="I361" i="47"/>
  <c r="J361" i="47" s="1"/>
  <c r="H361" i="47"/>
  <c r="I360" i="47"/>
  <c r="J360" i="47" s="1"/>
  <c r="H360" i="47"/>
  <c r="I359" i="47"/>
  <c r="J359" i="47" s="1"/>
  <c r="H359" i="47"/>
  <c r="I358" i="47"/>
  <c r="J358" i="47" s="1"/>
  <c r="H358" i="47"/>
  <c r="I357" i="47"/>
  <c r="J357" i="47" s="1"/>
  <c r="H357" i="47"/>
  <c r="I356" i="47"/>
  <c r="J356" i="47" s="1"/>
  <c r="H356" i="47"/>
  <c r="I355" i="47"/>
  <c r="J355" i="47" s="1"/>
  <c r="H355" i="47"/>
  <c r="I354" i="47"/>
  <c r="J354" i="47" s="1"/>
  <c r="H354" i="47"/>
  <c r="I353" i="47"/>
  <c r="J353" i="47" s="1"/>
  <c r="H353" i="47"/>
  <c r="I352" i="47"/>
  <c r="J352" i="47" s="1"/>
  <c r="H352" i="47"/>
  <c r="I351" i="47"/>
  <c r="J351" i="47" s="1"/>
  <c r="H351" i="47"/>
  <c r="I350" i="47"/>
  <c r="J350" i="47" s="1"/>
  <c r="H350" i="47"/>
  <c r="I349" i="47"/>
  <c r="J349" i="47" s="1"/>
  <c r="H349" i="47"/>
  <c r="I348" i="47"/>
  <c r="J348" i="47" s="1"/>
  <c r="H348" i="47"/>
  <c r="I347" i="47"/>
  <c r="J347" i="47" s="1"/>
  <c r="H347" i="47"/>
  <c r="I346" i="47"/>
  <c r="J346" i="47" s="1"/>
  <c r="H346" i="47"/>
  <c r="I345" i="47"/>
  <c r="J345" i="47" s="1"/>
  <c r="H345" i="47"/>
  <c r="I344" i="47"/>
  <c r="J344" i="47" s="1"/>
  <c r="H344" i="47"/>
  <c r="I343" i="47"/>
  <c r="J343" i="47" s="1"/>
  <c r="H343" i="47"/>
  <c r="I342" i="47"/>
  <c r="J342" i="47" s="1"/>
  <c r="H342" i="47"/>
  <c r="I341" i="47"/>
  <c r="J341" i="47" s="1"/>
  <c r="H341" i="47"/>
  <c r="I340" i="47"/>
  <c r="J340" i="47" s="1"/>
  <c r="H340" i="47"/>
  <c r="I339" i="47"/>
  <c r="J339" i="47" s="1"/>
  <c r="H339" i="47"/>
  <c r="I338" i="47"/>
  <c r="J338" i="47" s="1"/>
  <c r="H338" i="47"/>
  <c r="I337" i="47"/>
  <c r="J337" i="47" s="1"/>
  <c r="H337" i="47"/>
  <c r="I336" i="47"/>
  <c r="J336" i="47" s="1"/>
  <c r="H336" i="47"/>
  <c r="I335" i="47"/>
  <c r="J335" i="47" s="1"/>
  <c r="H335" i="47"/>
  <c r="I334" i="47"/>
  <c r="J334" i="47" s="1"/>
  <c r="H334" i="47"/>
  <c r="I333" i="47"/>
  <c r="J333" i="47" s="1"/>
  <c r="H333" i="47"/>
  <c r="I332" i="47"/>
  <c r="J332" i="47" s="1"/>
  <c r="H332" i="47"/>
  <c r="I331" i="47"/>
  <c r="J331" i="47" s="1"/>
  <c r="H331" i="47"/>
  <c r="I330" i="47"/>
  <c r="J330" i="47" s="1"/>
  <c r="H330" i="47"/>
  <c r="I329" i="47"/>
  <c r="J329" i="47" s="1"/>
  <c r="H329" i="47"/>
  <c r="I328" i="47"/>
  <c r="J328" i="47" s="1"/>
  <c r="H328" i="47"/>
  <c r="I327" i="47"/>
  <c r="J327" i="47" s="1"/>
  <c r="H327" i="47"/>
  <c r="I326" i="47"/>
  <c r="J326" i="47" s="1"/>
  <c r="H326" i="47"/>
  <c r="I325" i="47"/>
  <c r="J325" i="47" s="1"/>
  <c r="H325" i="47"/>
  <c r="I324" i="47"/>
  <c r="J324" i="47" s="1"/>
  <c r="H324" i="47"/>
  <c r="I323" i="47"/>
  <c r="J323" i="47" s="1"/>
  <c r="H323" i="47"/>
  <c r="I322" i="47"/>
  <c r="J322" i="47" s="1"/>
  <c r="H322" i="47"/>
  <c r="I321" i="47"/>
  <c r="J321" i="47" s="1"/>
  <c r="H321" i="47"/>
  <c r="I320" i="47"/>
  <c r="J320" i="47" s="1"/>
  <c r="H320" i="47"/>
  <c r="I319" i="47"/>
  <c r="J319" i="47" s="1"/>
  <c r="H319" i="47"/>
  <c r="I318" i="47"/>
  <c r="J318" i="47" s="1"/>
  <c r="H318" i="47"/>
  <c r="I317" i="47"/>
  <c r="J317" i="47" s="1"/>
  <c r="H317" i="47"/>
  <c r="I316" i="47"/>
  <c r="J316" i="47" s="1"/>
  <c r="H316" i="47"/>
  <c r="I315" i="47"/>
  <c r="J315" i="47" s="1"/>
  <c r="H315" i="47"/>
  <c r="I314" i="47"/>
  <c r="J314" i="47" s="1"/>
  <c r="H314" i="47"/>
  <c r="I313" i="47"/>
  <c r="J313" i="47" s="1"/>
  <c r="H313" i="47"/>
  <c r="I312" i="47"/>
  <c r="J312" i="47" s="1"/>
  <c r="H312" i="47"/>
  <c r="I311" i="47"/>
  <c r="J311" i="47" s="1"/>
  <c r="H311" i="47"/>
  <c r="I310" i="47"/>
  <c r="J310" i="47" s="1"/>
  <c r="H310" i="47"/>
  <c r="I309" i="47"/>
  <c r="J309" i="47" s="1"/>
  <c r="H309" i="47"/>
  <c r="I308" i="47"/>
  <c r="J308" i="47" s="1"/>
  <c r="H308" i="47"/>
  <c r="I307" i="47"/>
  <c r="J307" i="47" s="1"/>
  <c r="H307" i="47"/>
  <c r="I306" i="47"/>
  <c r="J306" i="47" s="1"/>
  <c r="H306" i="47"/>
  <c r="I305" i="47"/>
  <c r="J305" i="47" s="1"/>
  <c r="H305" i="47"/>
  <c r="I304" i="47"/>
  <c r="J304" i="47" s="1"/>
  <c r="H304" i="47"/>
  <c r="I303" i="47"/>
  <c r="J303" i="47" s="1"/>
  <c r="H303" i="47"/>
  <c r="I302" i="47"/>
  <c r="J302" i="47" s="1"/>
  <c r="H302" i="47"/>
  <c r="I301" i="47"/>
  <c r="J301" i="47" s="1"/>
  <c r="H301" i="47"/>
  <c r="I300" i="47"/>
  <c r="J300" i="47" s="1"/>
  <c r="H300" i="47"/>
  <c r="I299" i="47"/>
  <c r="J299" i="47" s="1"/>
  <c r="H299" i="47"/>
  <c r="I298" i="47"/>
  <c r="J298" i="47" s="1"/>
  <c r="H298" i="47"/>
  <c r="I297" i="47"/>
  <c r="J297" i="47" s="1"/>
  <c r="H297" i="47"/>
  <c r="I296" i="47"/>
  <c r="J296" i="47" s="1"/>
  <c r="H296" i="47"/>
  <c r="I295" i="47"/>
  <c r="J295" i="47" s="1"/>
  <c r="H295" i="47"/>
  <c r="I294" i="47"/>
  <c r="J294" i="47" s="1"/>
  <c r="H294" i="47"/>
  <c r="I293" i="47"/>
  <c r="J293" i="47" s="1"/>
  <c r="H293" i="47"/>
  <c r="I292" i="47"/>
  <c r="J292" i="47" s="1"/>
  <c r="I291" i="47"/>
  <c r="J291" i="47" s="1"/>
  <c r="I290" i="47"/>
  <c r="J290" i="47" s="1"/>
  <c r="I289" i="47"/>
  <c r="J289" i="47" s="1"/>
  <c r="H289" i="47"/>
  <c r="I288" i="47"/>
  <c r="E288" i="47"/>
  <c r="H288" i="47" s="1"/>
  <c r="I287" i="47"/>
  <c r="J287" i="47" s="1"/>
  <c r="H287" i="47"/>
  <c r="I286" i="47"/>
  <c r="E286" i="47"/>
  <c r="H286" i="47" s="1"/>
  <c r="I285" i="47"/>
  <c r="E285" i="47"/>
  <c r="I284" i="47"/>
  <c r="E284" i="47"/>
  <c r="H284" i="47" s="1"/>
  <c r="I283" i="47"/>
  <c r="E283" i="47"/>
  <c r="H283" i="47" s="1"/>
  <c r="I282" i="47"/>
  <c r="J282" i="47" s="1"/>
  <c r="H282" i="47"/>
  <c r="I281" i="47"/>
  <c r="J281" i="47" s="1"/>
  <c r="H281" i="47"/>
  <c r="A281" i="47"/>
  <c r="A282" i="47" s="1"/>
  <c r="A283" i="47" s="1"/>
  <c r="A284" i="47" s="1"/>
  <c r="A285" i="47" s="1"/>
  <c r="A286" i="47" s="1"/>
  <c r="A287" i="47" s="1"/>
  <c r="A288" i="47" s="1"/>
  <c r="A289" i="47" s="1"/>
  <c r="A513" i="47" s="1"/>
  <c r="A514" i="47" s="1"/>
  <c r="I280" i="47"/>
  <c r="J280" i="47" s="1"/>
  <c r="H280" i="47"/>
  <c r="I279" i="47"/>
  <c r="J279" i="47" s="1"/>
  <c r="H279" i="47"/>
  <c r="A279" i="47"/>
  <c r="I278" i="47"/>
  <c r="J278" i="47" s="1"/>
  <c r="H278" i="47"/>
  <c r="I277" i="47"/>
  <c r="J277" i="47" s="1"/>
  <c r="H277" i="47"/>
  <c r="I276" i="47"/>
  <c r="J276" i="47" s="1"/>
  <c r="H276" i="47"/>
  <c r="I275" i="47"/>
  <c r="J275" i="47" s="1"/>
  <c r="H275" i="47"/>
  <c r="I274" i="47"/>
  <c r="J274" i="47" s="1"/>
  <c r="E274" i="47"/>
  <c r="H274" i="47" s="1"/>
  <c r="I273" i="47"/>
  <c r="E273" i="47"/>
  <c r="H273" i="47" s="1"/>
  <c r="I272" i="47"/>
  <c r="J272" i="47" s="1"/>
  <c r="H272" i="47"/>
  <c r="A272" i="47"/>
  <c r="A273" i="47" s="1"/>
  <c r="A274" i="47" s="1"/>
  <c r="A275" i="47" s="1"/>
  <c r="A276" i="47" s="1"/>
  <c r="I271" i="47"/>
  <c r="J271" i="47" s="1"/>
  <c r="H271" i="47"/>
  <c r="I270" i="47"/>
  <c r="J270" i="47" s="1"/>
  <c r="H270" i="47"/>
  <c r="I269" i="47"/>
  <c r="J269" i="47" s="1"/>
  <c r="H269" i="47"/>
  <c r="I268" i="47"/>
  <c r="J268" i="47" s="1"/>
  <c r="H268" i="47"/>
  <c r="I267" i="47"/>
  <c r="E267" i="47"/>
  <c r="H267" i="47" s="1"/>
  <c r="I266" i="47"/>
  <c r="J266" i="47" s="1"/>
  <c r="H266" i="47"/>
  <c r="I265" i="47"/>
  <c r="J265" i="47" s="1"/>
  <c r="H265" i="47"/>
  <c r="I264" i="47"/>
  <c r="J264" i="47" s="1"/>
  <c r="H264" i="47"/>
  <c r="I263" i="47"/>
  <c r="J263" i="47" s="1"/>
  <c r="H263" i="47"/>
  <c r="I262" i="47"/>
  <c r="J262" i="47" s="1"/>
  <c r="H262" i="47"/>
  <c r="I261" i="47"/>
  <c r="E261" i="47"/>
  <c r="I260" i="47"/>
  <c r="J260" i="47" s="1"/>
  <c r="H260" i="47"/>
  <c r="I259" i="47"/>
  <c r="J259" i="47" s="1"/>
  <c r="H259" i="47"/>
  <c r="I258" i="47"/>
  <c r="J258" i="47" s="1"/>
  <c r="H258" i="47"/>
  <c r="I257" i="47"/>
  <c r="E257" i="47"/>
  <c r="H257" i="47" s="1"/>
  <c r="I256" i="47"/>
  <c r="E256" i="47"/>
  <c r="H256" i="47" s="1"/>
  <c r="I255" i="47"/>
  <c r="J255" i="47" s="1"/>
  <c r="H255" i="47"/>
  <c r="A255" i="47"/>
  <c r="A256" i="47" s="1"/>
  <c r="A257" i="47" s="1"/>
  <c r="A258" i="47" s="1"/>
  <c r="A259" i="47" s="1"/>
  <c r="A261" i="47" s="1"/>
  <c r="A262" i="47" s="1"/>
  <c r="A263" i="47" s="1"/>
  <c r="A264" i="47" s="1"/>
  <c r="A265" i="47" s="1"/>
  <c r="A266" i="47" s="1"/>
  <c r="A267" i="47" s="1"/>
  <c r="A268" i="47" s="1"/>
  <c r="I254" i="47"/>
  <c r="J254" i="47" s="1"/>
  <c r="H254" i="47"/>
  <c r="I253" i="47"/>
  <c r="J253" i="47" s="1"/>
  <c r="H253" i="47"/>
  <c r="I252" i="47"/>
  <c r="E252" i="47"/>
  <c r="H252" i="47" s="1"/>
  <c r="I251" i="47"/>
  <c r="J251" i="47" s="1"/>
  <c r="H251" i="47"/>
  <c r="I250" i="47"/>
  <c r="J250" i="47" s="1"/>
  <c r="H250" i="47"/>
  <c r="I249" i="47"/>
  <c r="J249" i="47" s="1"/>
  <c r="H249" i="47"/>
  <c r="I248" i="47"/>
  <c r="J248" i="47" s="1"/>
  <c r="H248" i="47"/>
  <c r="I247" i="47"/>
  <c r="J247" i="47" s="1"/>
  <c r="H247" i="47"/>
  <c r="D247" i="47"/>
  <c r="A247" i="47"/>
  <c r="A248" i="47" s="1"/>
  <c r="A249" i="47" s="1"/>
  <c r="A250" i="47" s="1"/>
  <c r="A251" i="47" s="1"/>
  <c r="A252" i="47" s="1"/>
  <c r="I246" i="47"/>
  <c r="J246" i="47" s="1"/>
  <c r="H246" i="47"/>
  <c r="I245" i="47"/>
  <c r="J245" i="47" s="1"/>
  <c r="H245" i="47"/>
  <c r="I244" i="47"/>
  <c r="J244" i="47" s="1"/>
  <c r="H244" i="47"/>
  <c r="I243" i="47"/>
  <c r="J243" i="47" s="1"/>
  <c r="H243" i="47"/>
  <c r="I242" i="47"/>
  <c r="J242" i="47" s="1"/>
  <c r="H242" i="47"/>
  <c r="I241" i="47"/>
  <c r="J241" i="47" s="1"/>
  <c r="H241" i="47"/>
  <c r="I240" i="47"/>
  <c r="J240" i="47" s="1"/>
  <c r="H240" i="47"/>
  <c r="I239" i="47"/>
  <c r="J239" i="47" s="1"/>
  <c r="H239" i="47"/>
  <c r="I238" i="47"/>
  <c r="J238" i="47" s="1"/>
  <c r="H238" i="47"/>
  <c r="A238" i="47"/>
  <c r="A239" i="47" s="1"/>
  <c r="A240" i="47" s="1"/>
  <c r="A241" i="47" s="1"/>
  <c r="A242" i="47" s="1"/>
  <c r="A243" i="47" s="1"/>
  <c r="A244" i="47" s="1"/>
  <c r="I237" i="47"/>
  <c r="J237" i="47" s="1"/>
  <c r="H237" i="47"/>
  <c r="I236" i="47"/>
  <c r="J236" i="47" s="1"/>
  <c r="H236" i="47"/>
  <c r="I235" i="47"/>
  <c r="J235" i="47" s="1"/>
  <c r="H235" i="47"/>
  <c r="I234" i="47"/>
  <c r="J234" i="47" s="1"/>
  <c r="H234" i="47"/>
  <c r="I233" i="47"/>
  <c r="J233" i="47" s="1"/>
  <c r="H233" i="47"/>
  <c r="A233" i="47"/>
  <c r="A234" i="47" s="1"/>
  <c r="A235" i="47" s="1"/>
  <c r="I232" i="47"/>
  <c r="J232" i="47" s="1"/>
  <c r="H232" i="47"/>
  <c r="I231" i="47"/>
  <c r="J231" i="47" s="1"/>
  <c r="H231" i="47"/>
  <c r="I230" i="47"/>
  <c r="J230" i="47" s="1"/>
  <c r="H230" i="47"/>
  <c r="I229" i="47"/>
  <c r="J229" i="47" s="1"/>
  <c r="H229" i="47"/>
  <c r="I228" i="47"/>
  <c r="J228" i="47" s="1"/>
  <c r="H228" i="47"/>
  <c r="I227" i="47"/>
  <c r="J227" i="47" s="1"/>
  <c r="H227" i="47"/>
  <c r="I226" i="47"/>
  <c r="J226" i="47" s="1"/>
  <c r="H226" i="47"/>
  <c r="I225" i="47"/>
  <c r="J225" i="47" s="1"/>
  <c r="H225" i="47"/>
  <c r="A225" i="47"/>
  <c r="A226" i="47" s="1"/>
  <c r="A227" i="47" s="1"/>
  <c r="A228" i="47" s="1"/>
  <c r="A229" i="47" s="1"/>
  <c r="A230" i="47" s="1"/>
  <c r="I224" i="47"/>
  <c r="J224" i="47" s="1"/>
  <c r="H224" i="47"/>
  <c r="I223" i="47"/>
  <c r="J223" i="47" s="1"/>
  <c r="H223" i="47"/>
  <c r="I222" i="47"/>
  <c r="J222" i="47" s="1"/>
  <c r="H222" i="47"/>
  <c r="I221" i="47"/>
  <c r="J221" i="47" s="1"/>
  <c r="H221" i="47"/>
  <c r="I220" i="47"/>
  <c r="J220" i="47" s="1"/>
  <c r="H220" i="47"/>
  <c r="A220" i="47"/>
  <c r="A221" i="47" s="1"/>
  <c r="A222" i="47" s="1"/>
  <c r="I219" i="47"/>
  <c r="J219" i="47" s="1"/>
  <c r="H219" i="47"/>
  <c r="I218" i="47"/>
  <c r="J218" i="47" s="1"/>
  <c r="H218" i="47"/>
  <c r="I217" i="47"/>
  <c r="J217" i="47" s="1"/>
  <c r="H217" i="47"/>
  <c r="I216" i="47"/>
  <c r="J216" i="47" s="1"/>
  <c r="H216" i="47"/>
  <c r="I215" i="47"/>
  <c r="J215" i="47" s="1"/>
  <c r="H215" i="47"/>
  <c r="I214" i="47"/>
  <c r="J214" i="47" s="1"/>
  <c r="H214" i="47"/>
  <c r="I213" i="47"/>
  <c r="J213" i="47" s="1"/>
  <c r="H213" i="47"/>
  <c r="I212" i="47"/>
  <c r="J212" i="47" s="1"/>
  <c r="H212" i="47"/>
  <c r="A212" i="47"/>
  <c r="A213" i="47" s="1"/>
  <c r="A214" i="47" s="1"/>
  <c r="A215" i="47" s="1"/>
  <c r="A216" i="47" s="1"/>
  <c r="A217" i="47" s="1"/>
  <c r="I211" i="47"/>
  <c r="J211" i="47" s="1"/>
  <c r="H211" i="47"/>
  <c r="I210" i="47"/>
  <c r="J210" i="47" s="1"/>
  <c r="H210" i="47"/>
  <c r="I209" i="47"/>
  <c r="J209" i="47" s="1"/>
  <c r="H209" i="47"/>
  <c r="I208" i="47"/>
  <c r="J208" i="47" s="1"/>
  <c r="H208" i="47"/>
  <c r="I207" i="47"/>
  <c r="J207" i="47" s="1"/>
  <c r="H207" i="47"/>
  <c r="A207" i="47"/>
  <c r="A208" i="47" s="1"/>
  <c r="A209" i="47" s="1"/>
  <c r="I206" i="47"/>
  <c r="J206" i="47" s="1"/>
  <c r="H206" i="47"/>
  <c r="I205" i="47"/>
  <c r="J205" i="47" s="1"/>
  <c r="H205" i="47"/>
  <c r="I204" i="47"/>
  <c r="J204" i="47" s="1"/>
  <c r="H204" i="47"/>
  <c r="I203" i="47"/>
  <c r="J203" i="47" s="1"/>
  <c r="H203" i="47"/>
  <c r="I202" i="47"/>
  <c r="J202" i="47" s="1"/>
  <c r="H202" i="47"/>
  <c r="I201" i="47"/>
  <c r="J201" i="47" s="1"/>
  <c r="H201" i="47"/>
  <c r="I200" i="47"/>
  <c r="J200" i="47" s="1"/>
  <c r="H200" i="47"/>
  <c r="I199" i="47"/>
  <c r="J199" i="47" s="1"/>
  <c r="H199" i="47"/>
  <c r="A199" i="47"/>
  <c r="A200" i="47" s="1"/>
  <c r="A201" i="47" s="1"/>
  <c r="A202" i="47" s="1"/>
  <c r="A203" i="47" s="1"/>
  <c r="A204" i="47" s="1"/>
  <c r="I198" i="47"/>
  <c r="J198" i="47" s="1"/>
  <c r="H198" i="47"/>
  <c r="I197" i="47"/>
  <c r="J197" i="47" s="1"/>
  <c r="H197" i="47"/>
  <c r="I196" i="47"/>
  <c r="J196" i="47" s="1"/>
  <c r="H196" i="47"/>
  <c r="I195" i="47"/>
  <c r="J195" i="47" s="1"/>
  <c r="H195" i="47"/>
  <c r="I194" i="47"/>
  <c r="J194" i="47" s="1"/>
  <c r="H194" i="47"/>
  <c r="A194" i="47"/>
  <c r="A195" i="47" s="1"/>
  <c r="A196" i="47" s="1"/>
  <c r="I193" i="47"/>
  <c r="J193" i="47" s="1"/>
  <c r="H193" i="47"/>
  <c r="I192" i="47"/>
  <c r="J192" i="47" s="1"/>
  <c r="H192" i="47"/>
  <c r="I191" i="47"/>
  <c r="J191" i="47" s="1"/>
  <c r="H191" i="47"/>
  <c r="I190" i="47"/>
  <c r="J190" i="47" s="1"/>
  <c r="H190" i="47"/>
  <c r="I189" i="47"/>
  <c r="J189" i="47" s="1"/>
  <c r="H189" i="47"/>
  <c r="I188" i="47"/>
  <c r="J188" i="47" s="1"/>
  <c r="H188" i="47"/>
  <c r="I187" i="47"/>
  <c r="J187" i="47" s="1"/>
  <c r="H187" i="47"/>
  <c r="I186" i="47"/>
  <c r="J186" i="47" s="1"/>
  <c r="H186" i="47"/>
  <c r="A186" i="47"/>
  <c r="A187" i="47" s="1"/>
  <c r="A188" i="47" s="1"/>
  <c r="A189" i="47" s="1"/>
  <c r="A190" i="47" s="1"/>
  <c r="A191" i="47" s="1"/>
  <c r="I185" i="47"/>
  <c r="J185" i="47" s="1"/>
  <c r="H185" i="47"/>
  <c r="I184" i="47"/>
  <c r="J184" i="47" s="1"/>
  <c r="H184" i="47"/>
  <c r="I183" i="47"/>
  <c r="J183" i="47" s="1"/>
  <c r="H183" i="47"/>
  <c r="I182" i="47"/>
  <c r="E182" i="47"/>
  <c r="H182" i="47" s="1"/>
  <c r="I181" i="47"/>
  <c r="J181" i="47" s="1"/>
  <c r="H181" i="47"/>
  <c r="I180" i="47"/>
  <c r="J180" i="47" s="1"/>
  <c r="H180" i="47"/>
  <c r="I179" i="47"/>
  <c r="J179" i="47" s="1"/>
  <c r="I178" i="47"/>
  <c r="J178" i="47" s="1"/>
  <c r="H178" i="47"/>
  <c r="I177" i="47"/>
  <c r="J177" i="47" s="1"/>
  <c r="H177" i="47"/>
  <c r="I176" i="47"/>
  <c r="J176" i="47" s="1"/>
  <c r="H176" i="47"/>
  <c r="I175" i="47"/>
  <c r="J175" i="47" s="1"/>
  <c r="H175" i="47"/>
  <c r="I174" i="47"/>
  <c r="J174" i="47" s="1"/>
  <c r="H174" i="47"/>
  <c r="A174" i="47"/>
  <c r="A175" i="47" s="1"/>
  <c r="A176" i="47" s="1"/>
  <c r="A177" i="47" s="1"/>
  <c r="A178" i="47" s="1"/>
  <c r="A180" i="47" s="1"/>
  <c r="A181" i="47" s="1"/>
  <c r="A182" i="47" s="1"/>
  <c r="A183" i="47" s="1"/>
  <c r="I173" i="47"/>
  <c r="J173" i="47" s="1"/>
  <c r="H173" i="47"/>
  <c r="I172" i="47"/>
  <c r="J172" i="47" s="1"/>
  <c r="H172" i="47"/>
  <c r="I171" i="47"/>
  <c r="J171" i="47" s="1"/>
  <c r="H171" i="47"/>
  <c r="I170" i="47"/>
  <c r="E170" i="47"/>
  <c r="H170" i="47" s="1"/>
  <c r="I169" i="47"/>
  <c r="J169" i="47" s="1"/>
  <c r="H169" i="47"/>
  <c r="I168" i="47"/>
  <c r="J168" i="47" s="1"/>
  <c r="H168" i="47"/>
  <c r="I167" i="47"/>
  <c r="J167" i="47" s="1"/>
  <c r="H167" i="47"/>
  <c r="I166" i="47"/>
  <c r="J166" i="47" s="1"/>
  <c r="H166" i="47"/>
  <c r="I165" i="47"/>
  <c r="J165" i="47" s="1"/>
  <c r="H165" i="47"/>
  <c r="I164" i="47"/>
  <c r="J164" i="47" s="1"/>
  <c r="H164" i="47"/>
  <c r="I163" i="47"/>
  <c r="J163" i="47" s="1"/>
  <c r="H163" i="47"/>
  <c r="I162" i="47"/>
  <c r="J162" i="47" s="1"/>
  <c r="H162" i="47"/>
  <c r="I161" i="47"/>
  <c r="J161" i="47" s="1"/>
  <c r="H161" i="47"/>
  <c r="I160" i="47"/>
  <c r="J160" i="47" s="1"/>
  <c r="H160" i="47"/>
  <c r="A160" i="47"/>
  <c r="A161" i="47" s="1"/>
  <c r="A162" i="47" s="1"/>
  <c r="A163" i="47" s="1"/>
  <c r="A164" i="47" s="1"/>
  <c r="A165" i="47" s="1"/>
  <c r="A166" i="47" s="1"/>
  <c r="A167" i="47" s="1"/>
  <c r="A168" i="47" s="1"/>
  <c r="A169" i="47" s="1"/>
  <c r="A170" i="47" s="1"/>
  <c r="A171" i="47" s="1"/>
  <c r="I159" i="47"/>
  <c r="J159" i="47" s="1"/>
  <c r="H159" i="47"/>
  <c r="I158" i="47"/>
  <c r="J158" i="47" s="1"/>
  <c r="H158" i="47"/>
  <c r="I157" i="47"/>
  <c r="E157" i="47"/>
  <c r="H157" i="47" s="1"/>
  <c r="I156" i="47"/>
  <c r="J156" i="47" s="1"/>
  <c r="H156" i="47"/>
  <c r="A156" i="47"/>
  <c r="A157" i="47" s="1"/>
  <c r="I155" i="47"/>
  <c r="J155" i="47" s="1"/>
  <c r="H155" i="47"/>
  <c r="I154" i="47"/>
  <c r="J154" i="47" s="1"/>
  <c r="H154" i="47"/>
  <c r="I153" i="47"/>
  <c r="J153" i="47" s="1"/>
  <c r="H153" i="47"/>
  <c r="I152" i="47"/>
  <c r="J152" i="47" s="1"/>
  <c r="H152" i="47"/>
  <c r="I151" i="47"/>
  <c r="J151" i="47" s="1"/>
  <c r="H151" i="47"/>
  <c r="I150" i="47"/>
  <c r="J150" i="47" s="1"/>
  <c r="H150" i="47"/>
  <c r="I149" i="47"/>
  <c r="J149" i="47" s="1"/>
  <c r="H149" i="47"/>
  <c r="I148" i="47"/>
  <c r="J148" i="47" s="1"/>
  <c r="H148" i="47"/>
  <c r="A148" i="47"/>
  <c r="A149" i="47" s="1"/>
  <c r="A150" i="47" s="1"/>
  <c r="A151" i="47" s="1"/>
  <c r="A152" i="47" s="1"/>
  <c r="A153" i="47" s="1"/>
  <c r="I147" i="47"/>
  <c r="J147" i="47" s="1"/>
  <c r="H147" i="47"/>
  <c r="I146" i="47"/>
  <c r="J146" i="47" s="1"/>
  <c r="H146" i="47"/>
  <c r="I145" i="47"/>
  <c r="J145" i="47" s="1"/>
  <c r="H145" i="47"/>
  <c r="I144" i="47"/>
  <c r="E144" i="47"/>
  <c r="H144" i="47" s="1"/>
  <c r="I143" i="47"/>
  <c r="J143" i="47" s="1"/>
  <c r="H143" i="47"/>
  <c r="I142" i="47"/>
  <c r="J142" i="47" s="1"/>
  <c r="H142" i="47"/>
  <c r="I141" i="47"/>
  <c r="J141" i="47" s="1"/>
  <c r="I140" i="47"/>
  <c r="J140" i="47" s="1"/>
  <c r="H140" i="47"/>
  <c r="I139" i="47"/>
  <c r="J139" i="47" s="1"/>
  <c r="H139" i="47"/>
  <c r="I138" i="47"/>
  <c r="J138" i="47" s="1"/>
  <c r="H138" i="47"/>
  <c r="I137" i="47"/>
  <c r="J137" i="47" s="1"/>
  <c r="H137" i="47"/>
  <c r="A137" i="47"/>
  <c r="A138" i="47" s="1"/>
  <c r="A139" i="47" s="1"/>
  <c r="A140" i="47" s="1"/>
  <c r="A142" i="47" s="1"/>
  <c r="A143" i="47" s="1"/>
  <c r="A144" i="47" s="1"/>
  <c r="A145" i="47" s="1"/>
  <c r="I136" i="47"/>
  <c r="J136" i="47" s="1"/>
  <c r="H136" i="47"/>
  <c r="I135" i="47"/>
  <c r="J135" i="47" s="1"/>
  <c r="H135" i="47"/>
  <c r="I134" i="47"/>
  <c r="E134" i="47"/>
  <c r="A134" i="47"/>
  <c r="I133" i="47"/>
  <c r="J133" i="47" s="1"/>
  <c r="H133" i="47"/>
  <c r="I132" i="47"/>
  <c r="J132" i="47" s="1"/>
  <c r="H132" i="47"/>
  <c r="I131" i="47"/>
  <c r="J131" i="47" s="1"/>
  <c r="H131" i="47"/>
  <c r="I130" i="47"/>
  <c r="E130" i="47"/>
  <c r="H130" i="47" s="1"/>
  <c r="I129" i="47"/>
  <c r="J129" i="47" s="1"/>
  <c r="H129" i="47"/>
  <c r="I128" i="47"/>
  <c r="J128" i="47" s="1"/>
  <c r="H128" i="47"/>
  <c r="I127" i="47"/>
  <c r="J127" i="47" s="1"/>
  <c r="H127" i="47"/>
  <c r="I126" i="47"/>
  <c r="J126" i="47" s="1"/>
  <c r="H126" i="47"/>
  <c r="A126" i="47"/>
  <c r="A127" i="47" s="1"/>
  <c r="A128" i="47" s="1"/>
  <c r="A129" i="47" s="1"/>
  <c r="A130" i="47" s="1"/>
  <c r="A131" i="47" s="1"/>
  <c r="I125" i="47"/>
  <c r="J125" i="47" s="1"/>
  <c r="H125" i="47"/>
  <c r="I124" i="47"/>
  <c r="J124" i="47" s="1"/>
  <c r="H124" i="47"/>
  <c r="I123" i="47"/>
  <c r="J123" i="47" s="1"/>
  <c r="H123" i="47"/>
  <c r="I122" i="47"/>
  <c r="J122" i="47" s="1"/>
  <c r="H122" i="47"/>
  <c r="I121" i="47"/>
  <c r="J121" i="47" s="1"/>
  <c r="H121" i="47"/>
  <c r="I120" i="47"/>
  <c r="J120" i="47" s="1"/>
  <c r="H120" i="47"/>
  <c r="I119" i="47"/>
  <c r="J119" i="47" s="1"/>
  <c r="H119" i="47"/>
  <c r="I118" i="47"/>
  <c r="J118" i="47" s="1"/>
  <c r="H118" i="47"/>
  <c r="A118" i="47"/>
  <c r="A119" i="47" s="1"/>
  <c r="A120" i="47" s="1"/>
  <c r="A121" i="47" s="1"/>
  <c r="A122" i="47" s="1"/>
  <c r="A123" i="47" s="1"/>
  <c r="I117" i="47"/>
  <c r="J117" i="47" s="1"/>
  <c r="H117" i="47"/>
  <c r="I116" i="47"/>
  <c r="J116" i="47" s="1"/>
  <c r="H116" i="47"/>
  <c r="I115" i="47"/>
  <c r="J115" i="47" s="1"/>
  <c r="H115" i="47"/>
  <c r="I114" i="47"/>
  <c r="J114" i="47" s="1"/>
  <c r="H114" i="47"/>
  <c r="I113" i="47"/>
  <c r="J113" i="47" s="1"/>
  <c r="H113" i="47"/>
  <c r="I112" i="47"/>
  <c r="J112" i="47" s="1"/>
  <c r="H112" i="47"/>
  <c r="A112" i="47"/>
  <c r="A113" i="47" s="1"/>
  <c r="A114" i="47" s="1"/>
  <c r="A115" i="47" s="1"/>
  <c r="I111" i="47"/>
  <c r="J111" i="47" s="1"/>
  <c r="H111" i="47"/>
  <c r="I110" i="47"/>
  <c r="J110" i="47" s="1"/>
  <c r="H110" i="47"/>
  <c r="I109" i="47"/>
  <c r="J109" i="47" s="1"/>
  <c r="H109" i="47"/>
  <c r="I108" i="47"/>
  <c r="E108" i="47"/>
  <c r="H108" i="47" s="1"/>
  <c r="I107" i="47"/>
  <c r="J107" i="47" s="1"/>
  <c r="H107" i="47"/>
  <c r="I106" i="47"/>
  <c r="J106" i="47" s="1"/>
  <c r="H106" i="47"/>
  <c r="I105" i="47"/>
  <c r="J105" i="47" s="1"/>
  <c r="H105" i="47"/>
  <c r="I104" i="47"/>
  <c r="J104" i="47" s="1"/>
  <c r="H104" i="47"/>
  <c r="A104" i="47"/>
  <c r="A105" i="47" s="1"/>
  <c r="A106" i="47" s="1"/>
  <c r="A107" i="47" s="1"/>
  <c r="A108" i="47" s="1"/>
  <c r="A109" i="47" s="1"/>
  <c r="I103" i="47"/>
  <c r="J103" i="47" s="1"/>
  <c r="H103" i="47"/>
  <c r="I102" i="47"/>
  <c r="J102" i="47" s="1"/>
  <c r="H102" i="47"/>
  <c r="I101" i="47"/>
  <c r="J101" i="47" s="1"/>
  <c r="H101" i="47"/>
  <c r="I100" i="47"/>
  <c r="E100" i="47"/>
  <c r="I99" i="47"/>
  <c r="J99" i="47" s="1"/>
  <c r="H99" i="47"/>
  <c r="I98" i="47"/>
  <c r="J98" i="47" s="1"/>
  <c r="H98" i="47"/>
  <c r="I97" i="47"/>
  <c r="J97" i="47" s="1"/>
  <c r="H97" i="47"/>
  <c r="I96" i="47"/>
  <c r="J96" i="47" s="1"/>
  <c r="H96" i="47"/>
  <c r="A96" i="47"/>
  <c r="A97" i="47" s="1"/>
  <c r="A98" i="47" s="1"/>
  <c r="A99" i="47" s="1"/>
  <c r="A100" i="47" s="1"/>
  <c r="A101" i="47" s="1"/>
  <c r="I95" i="47"/>
  <c r="J95" i="47" s="1"/>
  <c r="H95" i="47"/>
  <c r="I94" i="47"/>
  <c r="J94" i="47" s="1"/>
  <c r="H94" i="47"/>
  <c r="I93" i="47"/>
  <c r="E93" i="47"/>
  <c r="H93" i="47" s="1"/>
  <c r="I92" i="47"/>
  <c r="J92" i="47" s="1"/>
  <c r="H92" i="47"/>
  <c r="I91" i="47"/>
  <c r="J91" i="47" s="1"/>
  <c r="H91" i="47"/>
  <c r="I90" i="47"/>
  <c r="J90" i="47" s="1"/>
  <c r="H90" i="47"/>
  <c r="I89" i="47"/>
  <c r="J89" i="47" s="1"/>
  <c r="H89" i="47"/>
  <c r="I88" i="47"/>
  <c r="J88" i="47" s="1"/>
  <c r="H88" i="47"/>
  <c r="I87" i="47"/>
  <c r="J87" i="47" s="1"/>
  <c r="H87" i="47"/>
  <c r="I86" i="47"/>
  <c r="J86" i="47" s="1"/>
  <c r="H86" i="47"/>
  <c r="I85" i="47"/>
  <c r="J85" i="47" s="1"/>
  <c r="H85" i="47"/>
  <c r="I84" i="47"/>
  <c r="J84" i="47" s="1"/>
  <c r="H84" i="47"/>
  <c r="I83" i="47"/>
  <c r="J83" i="47" s="1"/>
  <c r="H83" i="47"/>
  <c r="A83" i="47"/>
  <c r="A84" i="47" s="1"/>
  <c r="A85" i="47" s="1"/>
  <c r="A86" i="47" s="1"/>
  <c r="A87" i="47" s="1"/>
  <c r="A88" i="47" s="1"/>
  <c r="A89" i="47" s="1"/>
  <c r="A90" i="47" s="1"/>
  <c r="A91" i="47" s="1"/>
  <c r="A92" i="47" s="1"/>
  <c r="A93" i="47" s="1"/>
  <c r="I82" i="47"/>
  <c r="J82" i="47" s="1"/>
  <c r="H82" i="47"/>
  <c r="I81" i="47"/>
  <c r="J81" i="47" s="1"/>
  <c r="H81" i="47"/>
  <c r="I80" i="47"/>
  <c r="J80" i="47" s="1"/>
  <c r="H80" i="47"/>
  <c r="I79" i="47"/>
  <c r="E79" i="47"/>
  <c r="H79" i="47" s="1"/>
  <c r="I78" i="47"/>
  <c r="J78" i="47" s="1"/>
  <c r="H78" i="47"/>
  <c r="I77" i="47"/>
  <c r="J77" i="47" s="1"/>
  <c r="H77" i="47"/>
  <c r="I76" i="47"/>
  <c r="J76" i="47" s="1"/>
  <c r="H76" i="47"/>
  <c r="I75" i="47"/>
  <c r="J75" i="47" s="1"/>
  <c r="H75" i="47"/>
  <c r="A75" i="47"/>
  <c r="A76" i="47" s="1"/>
  <c r="A77" i="47" s="1"/>
  <c r="A78" i="47" s="1"/>
  <c r="A79" i="47" s="1"/>
  <c r="A80" i="47" s="1"/>
  <c r="I74" i="47"/>
  <c r="J74" i="47" s="1"/>
  <c r="H74" i="47"/>
  <c r="I73" i="47"/>
  <c r="J73" i="47" s="1"/>
  <c r="H73" i="47"/>
  <c r="I72" i="47"/>
  <c r="E72" i="47"/>
  <c r="H72" i="47" s="1"/>
  <c r="I71" i="47"/>
  <c r="J71" i="47" s="1"/>
  <c r="H71" i="47"/>
  <c r="I70" i="47"/>
  <c r="J70" i="47" s="1"/>
  <c r="H70" i="47"/>
  <c r="D70" i="47"/>
  <c r="I69" i="47"/>
  <c r="J69" i="47" s="1"/>
  <c r="H69" i="47"/>
  <c r="A69" i="47"/>
  <c r="A70" i="47" s="1"/>
  <c r="A71" i="47" s="1"/>
  <c r="A72" i="47" s="1"/>
  <c r="I68" i="47"/>
  <c r="J68" i="47" s="1"/>
  <c r="H68" i="47"/>
  <c r="I67" i="47"/>
  <c r="J67" i="47" s="1"/>
  <c r="H67" i="47"/>
  <c r="I66" i="47"/>
  <c r="E66" i="47"/>
  <c r="I65" i="47"/>
  <c r="J65" i="47" s="1"/>
  <c r="H65" i="47"/>
  <c r="I64" i="47"/>
  <c r="J64" i="47" s="1"/>
  <c r="H64" i="47"/>
  <c r="I63" i="47"/>
  <c r="J63" i="47" s="1"/>
  <c r="H63" i="47"/>
  <c r="I62" i="47"/>
  <c r="J62" i="47" s="1"/>
  <c r="H62" i="47"/>
  <c r="I61" i="47"/>
  <c r="J61" i="47" s="1"/>
  <c r="H61" i="47"/>
  <c r="I60" i="47"/>
  <c r="J60" i="47" s="1"/>
  <c r="H60" i="47"/>
  <c r="I59" i="47"/>
  <c r="J59" i="47" s="1"/>
  <c r="H59" i="47"/>
  <c r="A59" i="47"/>
  <c r="A60" i="47" s="1"/>
  <c r="A61" i="47" s="1"/>
  <c r="A62" i="47" s="1"/>
  <c r="A63" i="47" s="1"/>
  <c r="A64" i="47" s="1"/>
  <c r="A65" i="47" s="1"/>
  <c r="A66" i="47" s="1"/>
  <c r="I58" i="47"/>
  <c r="J58" i="47" s="1"/>
  <c r="H58" i="47"/>
  <c r="I57" i="47"/>
  <c r="J57" i="47" s="1"/>
  <c r="H57" i="47"/>
  <c r="I56" i="47"/>
  <c r="J56" i="47" s="1"/>
  <c r="H56" i="47"/>
  <c r="I55" i="47"/>
  <c r="J55" i="47" s="1"/>
  <c r="H55" i="47"/>
  <c r="I54" i="47"/>
  <c r="J54" i="47" s="1"/>
  <c r="H54" i="47"/>
  <c r="I53" i="47"/>
  <c r="J53" i="47" s="1"/>
  <c r="H53" i="47"/>
  <c r="I52" i="47"/>
  <c r="J52" i="47" s="1"/>
  <c r="H52" i="47"/>
  <c r="J51" i="47"/>
  <c r="I51" i="47"/>
  <c r="H51" i="47"/>
  <c r="I50" i="47"/>
  <c r="J50" i="47" s="1"/>
  <c r="H50" i="47"/>
  <c r="A50" i="47"/>
  <c r="A51" i="47" s="1"/>
  <c r="A52" i="47" s="1"/>
  <c r="A53" i="47" s="1"/>
  <c r="A54" i="47" s="1"/>
  <c r="A55" i="47" s="1"/>
  <c r="A56" i="47" s="1"/>
  <c r="I49" i="47"/>
  <c r="J49" i="47" s="1"/>
  <c r="H49" i="47"/>
  <c r="I48" i="47"/>
  <c r="J48" i="47" s="1"/>
  <c r="H48" i="47"/>
  <c r="I47" i="47"/>
  <c r="E47" i="47"/>
  <c r="H47" i="47" s="1"/>
  <c r="I46" i="47"/>
  <c r="J46" i="47" s="1"/>
  <c r="H46" i="47"/>
  <c r="A46" i="47"/>
  <c r="A47" i="47" s="1"/>
  <c r="I45" i="47"/>
  <c r="J45" i="47" s="1"/>
  <c r="H45" i="47"/>
  <c r="I44" i="47"/>
  <c r="J44" i="47" s="1"/>
  <c r="H44" i="47"/>
  <c r="I43" i="47"/>
  <c r="E43" i="47"/>
  <c r="H43" i="47" s="1"/>
  <c r="I42" i="47"/>
  <c r="J42" i="47" s="1"/>
  <c r="H42" i="47"/>
  <c r="I41" i="47"/>
  <c r="J41" i="47" s="1"/>
  <c r="H41" i="47"/>
  <c r="D41" i="47"/>
  <c r="I40" i="47"/>
  <c r="J40" i="47" s="1"/>
  <c r="H40" i="47"/>
  <c r="I39" i="47"/>
  <c r="J39" i="47" s="1"/>
  <c r="H39" i="47"/>
  <c r="I38" i="47"/>
  <c r="J38" i="47" s="1"/>
  <c r="H38" i="47"/>
  <c r="I37" i="47"/>
  <c r="J37" i="47" s="1"/>
  <c r="H37" i="47"/>
  <c r="I36" i="47"/>
  <c r="J36" i="47" s="1"/>
  <c r="H36" i="47"/>
  <c r="I35" i="47"/>
  <c r="J35" i="47" s="1"/>
  <c r="H35" i="47"/>
  <c r="A35" i="47"/>
  <c r="A36" i="47" s="1"/>
  <c r="A37" i="47" s="1"/>
  <c r="A38" i="47" s="1"/>
  <c r="A39" i="47" s="1"/>
  <c r="A40" i="47" s="1"/>
  <c r="A41" i="47" s="1"/>
  <c r="A42" i="47" s="1"/>
  <c r="A43" i="47" s="1"/>
  <c r="I34" i="47"/>
  <c r="J34" i="47" s="1"/>
  <c r="H34" i="47"/>
  <c r="I33" i="47"/>
  <c r="J33" i="47" s="1"/>
  <c r="H33" i="47"/>
  <c r="I32" i="47"/>
  <c r="J32" i="47" s="1"/>
  <c r="H32" i="47"/>
  <c r="I31" i="47"/>
  <c r="J31" i="47" s="1"/>
  <c r="H31" i="47"/>
  <c r="I30" i="47"/>
  <c r="J30" i="47" s="1"/>
  <c r="H30" i="47"/>
  <c r="I29" i="47"/>
  <c r="J29" i="47" s="1"/>
  <c r="H29" i="47"/>
  <c r="I28" i="47"/>
  <c r="J28" i="47" s="1"/>
  <c r="H28" i="47"/>
  <c r="I27" i="47"/>
  <c r="J27" i="47" s="1"/>
  <c r="H27" i="47"/>
  <c r="I26" i="47"/>
  <c r="J26" i="47" s="1"/>
  <c r="H26" i="47"/>
  <c r="I25" i="47"/>
  <c r="J25" i="47" s="1"/>
  <c r="H25" i="47"/>
  <c r="I24" i="47"/>
  <c r="J24" i="47" s="1"/>
  <c r="H24" i="47"/>
  <c r="I23" i="47"/>
  <c r="J23" i="47" s="1"/>
  <c r="H23" i="47"/>
  <c r="I22" i="47"/>
  <c r="J22" i="47" s="1"/>
  <c r="H22" i="47"/>
  <c r="A22" i="47"/>
  <c r="A23" i="47" s="1"/>
  <c r="A24" i="47" s="1"/>
  <c r="A25" i="47" s="1"/>
  <c r="A26" i="47" s="1"/>
  <c r="A27" i="47" s="1"/>
  <c r="A28" i="47" s="1"/>
  <c r="A29" i="47" s="1"/>
  <c r="A30" i="47" s="1"/>
  <c r="A31" i="47" s="1"/>
  <c r="A32" i="47" s="1"/>
  <c r="I21" i="47"/>
  <c r="J21" i="47" s="1"/>
  <c r="H21" i="47"/>
  <c r="I20" i="47"/>
  <c r="J20" i="47" s="1"/>
  <c r="H20" i="47"/>
  <c r="I19" i="47"/>
  <c r="J19" i="47" s="1"/>
  <c r="H19" i="47"/>
  <c r="I18" i="47"/>
  <c r="E18" i="47"/>
  <c r="H18" i="47" s="1"/>
  <c r="I17" i="47"/>
  <c r="E17" i="47"/>
  <c r="H17" i="47" s="1"/>
  <c r="I16" i="47"/>
  <c r="I15" i="47"/>
  <c r="I14" i="47"/>
  <c r="I13" i="47"/>
  <c r="E13" i="47"/>
  <c r="E14" i="47" s="1"/>
  <c r="I12" i="47"/>
  <c r="J12" i="47" s="1"/>
  <c r="H12" i="47"/>
  <c r="I11" i="47"/>
  <c r="E11" i="47"/>
  <c r="H11" i="47" s="1"/>
  <c r="I10" i="47"/>
  <c r="E10" i="47"/>
  <c r="H10" i="47" s="1"/>
  <c r="A10" i="47"/>
  <c r="A11" i="47" s="1"/>
  <c r="A12" i="47" s="1"/>
  <c r="A13" i="47" s="1"/>
  <c r="A14" i="47" s="1"/>
  <c r="A15" i="47" s="1"/>
  <c r="A16" i="47" s="1"/>
  <c r="A17" i="47" s="1"/>
  <c r="A18" i="47" s="1"/>
  <c r="A19" i="47" s="1"/>
  <c r="E9" i="47"/>
  <c r="J9" i="47" s="1"/>
  <c r="J256" i="47" l="1"/>
  <c r="J548" i="47"/>
  <c r="J284" i="47"/>
  <c r="J100" i="47"/>
  <c r="J72" i="47"/>
  <c r="J542" i="47"/>
  <c r="J18" i="47"/>
  <c r="J47" i="47"/>
  <c r="J252" i="47"/>
  <c r="J17" i="47"/>
  <c r="J257" i="47"/>
  <c r="J286" i="47"/>
  <c r="J130" i="47"/>
  <c r="J144" i="47"/>
  <c r="J273" i="47"/>
  <c r="J134" i="47"/>
  <c r="J261" i="47"/>
  <c r="J10" i="47"/>
  <c r="J285" i="47"/>
  <c r="J170" i="47"/>
  <c r="H13" i="47"/>
  <c r="J13" i="47"/>
  <c r="J66" i="47"/>
  <c r="J79" i="47"/>
  <c r="J43" i="47"/>
  <c r="J521" i="47"/>
  <c r="J288" i="47"/>
  <c r="J157" i="47"/>
  <c r="J108" i="47"/>
  <c r="J182" i="47"/>
  <c r="J267" i="47"/>
  <c r="J93" i="47"/>
  <c r="J283" i="47"/>
  <c r="J11" i="47"/>
  <c r="H14" i="47"/>
  <c r="E15" i="47"/>
  <c r="J14" i="47"/>
  <c r="J15" i="47"/>
  <c r="H66" i="47"/>
  <c r="H100" i="47"/>
  <c r="H134" i="47"/>
  <c r="H261" i="47"/>
  <c r="H285" i="47"/>
  <c r="H9" i="47"/>
  <c r="E16" i="47" l="1"/>
  <c r="H15" i="47"/>
  <c r="J16" i="47" l="1"/>
  <c r="J595" i="47" s="1"/>
  <c r="H16" i="47"/>
  <c r="H595" i="47" s="1"/>
  <c r="G26" i="30" l="1"/>
  <c r="C40" i="43"/>
  <c r="D40" i="43" s="1"/>
  <c r="E40" i="43" s="1"/>
  <c r="G40" i="43" s="1"/>
  <c r="D39" i="43"/>
  <c r="E39" i="43" s="1"/>
  <c r="G39" i="43" s="1"/>
  <c r="D38" i="43"/>
  <c r="G37" i="43"/>
  <c r="G36" i="43"/>
  <c r="G35" i="43"/>
  <c r="F34" i="43"/>
  <c r="C34" i="43"/>
  <c r="H33" i="43"/>
  <c r="C33" i="43"/>
  <c r="D33" i="43" s="1"/>
  <c r="D32" i="43"/>
  <c r="E32" i="43" s="1"/>
  <c r="G32" i="43" s="1"/>
  <c r="D30" i="43"/>
  <c r="E30" i="43" s="1"/>
  <c r="G30" i="43" s="1"/>
  <c r="D29" i="43"/>
  <c r="E29" i="43" s="1"/>
  <c r="G29" i="43" s="1"/>
  <c r="D28" i="43"/>
  <c r="E28" i="43" s="1"/>
  <c r="G28" i="43" s="1"/>
  <c r="D27" i="43"/>
  <c r="E27" i="43" s="1"/>
  <c r="G27" i="43" s="1"/>
  <c r="F26" i="43"/>
  <c r="H25" i="43"/>
  <c r="C25" i="43"/>
  <c r="C11" i="43" s="1"/>
  <c r="D24" i="43"/>
  <c r="E24" i="43" s="1"/>
  <c r="G24" i="43" s="1"/>
  <c r="D23" i="43"/>
  <c r="E23" i="43" s="1"/>
  <c r="G23" i="43" s="1"/>
  <c r="D22" i="43"/>
  <c r="E22" i="43" s="1"/>
  <c r="G22" i="43" s="1"/>
  <c r="D21" i="43"/>
  <c r="E21" i="43" s="1"/>
  <c r="G21" i="43" s="1"/>
  <c r="D19" i="43"/>
  <c r="E19" i="43" s="1"/>
  <c r="G19" i="43" s="1"/>
  <c r="D18" i="43"/>
  <c r="E18" i="43" s="1"/>
  <c r="G18" i="43" s="1"/>
  <c r="D17" i="43"/>
  <c r="E17" i="43" s="1"/>
  <c r="G17" i="43" s="1"/>
  <c r="D16" i="43"/>
  <c r="E16" i="43" s="1"/>
  <c r="D15" i="43"/>
  <c r="E15" i="43" s="1"/>
  <c r="G15" i="43" s="1"/>
  <c r="D14" i="43"/>
  <c r="E14" i="43" s="1"/>
  <c r="G14" i="43" s="1"/>
  <c r="D13" i="43"/>
  <c r="E13" i="43" s="1"/>
  <c r="F12" i="43"/>
  <c r="F11" i="43" s="1"/>
  <c r="A5" i="43"/>
  <c r="A4" i="43"/>
  <c r="A3" i="43"/>
  <c r="D31" i="43"/>
  <c r="D20" i="43"/>
  <c r="E20" i="43" s="1"/>
  <c r="G20" i="43" s="1"/>
  <c r="D382" i="39"/>
  <c r="D375" i="39"/>
  <c r="D374" i="39"/>
  <c r="D372" i="39"/>
  <c r="D360" i="39"/>
  <c r="D359" i="39"/>
  <c r="D354" i="39"/>
  <c r="D355" i="39" s="1"/>
  <c r="D336" i="39"/>
  <c r="D334" i="39"/>
  <c r="D327" i="39"/>
  <c r="D324" i="39"/>
  <c r="D320" i="39"/>
  <c r="D321" i="39" s="1"/>
  <c r="D312" i="39"/>
  <c r="D309" i="39"/>
  <c r="D308" i="39"/>
  <c r="D307" i="39"/>
  <c r="D306" i="39"/>
  <c r="D302" i="39"/>
  <c r="D299" i="39"/>
  <c r="D310" i="39" s="1"/>
  <c r="D285" i="39"/>
  <c r="D356" i="39" s="1"/>
  <c r="D284" i="39"/>
  <c r="D280" i="39"/>
  <c r="D352" i="39" s="1"/>
  <c r="D275" i="39"/>
  <c r="D347" i="39" s="1"/>
  <c r="D272" i="39"/>
  <c r="D265" i="39"/>
  <c r="D261" i="39"/>
  <c r="D259" i="39"/>
  <c r="D303" i="39" s="1"/>
  <c r="D251" i="39"/>
  <c r="D322" i="39" s="1"/>
  <c r="D231" i="39"/>
  <c r="D267" i="39" s="1"/>
  <c r="D333" i="39" s="1"/>
  <c r="D228" i="39"/>
  <c r="D264" i="39" s="1"/>
  <c r="D326" i="39" s="1"/>
  <c r="D227" i="39"/>
  <c r="D230" i="39" s="1"/>
  <c r="D332" i="39" s="1"/>
  <c r="D390" i="39" s="1"/>
  <c r="D214" i="39"/>
  <c r="D313" i="39" s="1"/>
  <c r="D378" i="39" s="1"/>
  <c r="D211" i="39"/>
  <c r="D208" i="39"/>
  <c r="D175" i="39"/>
  <c r="D185" i="39"/>
  <c r="D182" i="39"/>
  <c r="D335" i="39" s="1"/>
  <c r="D181" i="39"/>
  <c r="D178" i="39"/>
  <c r="D196" i="39"/>
  <c r="D158" i="39"/>
  <c r="D152" i="39"/>
  <c r="D206" i="39"/>
  <c r="D257" i="39" s="1"/>
  <c r="D368" i="39" s="1"/>
  <c r="D397" i="39" s="1"/>
  <c r="D202" i="39"/>
  <c r="D294" i="39" s="1"/>
  <c r="D200" i="39"/>
  <c r="D242" i="39" s="1"/>
  <c r="D293" i="39" s="1"/>
  <c r="D344" i="39" s="1"/>
  <c r="D364" i="39" s="1"/>
  <c r="D365" i="39" s="1"/>
  <c r="D199" i="39"/>
  <c r="D241" i="39" s="1"/>
  <c r="D292" i="39" s="1"/>
  <c r="D343" i="39" s="1"/>
  <c r="D363" i="39" s="1"/>
  <c r="D395" i="39" s="1"/>
  <c r="D197" i="39"/>
  <c r="D198" i="39" s="1"/>
  <c r="D240" i="39" s="1"/>
  <c r="D186" i="39"/>
  <c r="D233" i="39" s="1"/>
  <c r="D253" i="39" s="1"/>
  <c r="D179" i="39"/>
  <c r="D193" i="39"/>
  <c r="D238" i="39" s="1"/>
  <c r="D270" i="39" s="1"/>
  <c r="D339" i="39" s="1"/>
  <c r="D190" i="39"/>
  <c r="D236" i="39" s="1"/>
  <c r="D269" i="39" s="1"/>
  <c r="D338" i="39" s="1"/>
  <c r="D189" i="39"/>
  <c r="D188" i="39"/>
  <c r="D187" i="39"/>
  <c r="D177" i="39"/>
  <c r="D174" i="39"/>
  <c r="D171" i="39"/>
  <c r="D283" i="39" s="1"/>
  <c r="D170" i="39"/>
  <c r="D168" i="39"/>
  <c r="D173" i="39"/>
  <c r="D172" i="39"/>
  <c r="D147" i="39"/>
  <c r="D167" i="39"/>
  <c r="D159" i="39"/>
  <c r="D166" i="39"/>
  <c r="D225" i="39" s="1"/>
  <c r="D163" i="39"/>
  <c r="D388" i="39" s="1"/>
  <c r="D162" i="39"/>
  <c r="D224" i="39" s="1"/>
  <c r="D386" i="39" s="1"/>
  <c r="D160" i="39"/>
  <c r="D384" i="39" s="1"/>
  <c r="D157" i="39"/>
  <c r="D319" i="39" s="1"/>
  <c r="D156" i="39"/>
  <c r="D223" i="39" s="1"/>
  <c r="D250" i="39" s="1"/>
  <c r="D155" i="39"/>
  <c r="D222" i="39" s="1"/>
  <c r="D282" i="39" s="1"/>
  <c r="D353" i="39" s="1"/>
  <c r="D154" i="39"/>
  <c r="D249" i="39" s="1"/>
  <c r="D281" i="39" s="1"/>
  <c r="D316" i="39" s="1"/>
  <c r="D380" i="39" s="1"/>
  <c r="D153" i="39"/>
  <c r="D151" i="39"/>
  <c r="D221" i="39" s="1"/>
  <c r="D279" i="39" s="1"/>
  <c r="D315" i="39" s="1"/>
  <c r="D148" i="39"/>
  <c r="D215" i="39" s="1"/>
  <c r="D278" i="39" s="1"/>
  <c r="D314" i="39" s="1"/>
  <c r="D350" i="39" s="1"/>
  <c r="D145" i="39"/>
  <c r="D143" i="39"/>
  <c r="D141" i="39"/>
  <c r="D213" i="39" s="1"/>
  <c r="D247" i="39" s="1"/>
  <c r="D277" i="39" s="1"/>
  <c r="D311" i="39" s="1"/>
  <c r="D349" i="39" s="1"/>
  <c r="D377" i="39" s="1"/>
  <c r="D140" i="39"/>
  <c r="D212" i="39" s="1"/>
  <c r="D246" i="39" s="1"/>
  <c r="D260" i="39" s="1"/>
  <c r="D276" i="39" s="1"/>
  <c r="D348" i="39" s="1"/>
  <c r="D376" i="39" s="1"/>
  <c r="D135" i="39"/>
  <c r="D133" i="39"/>
  <c r="D134" i="39"/>
  <c r="D210" i="39" s="1"/>
  <c r="D130" i="39"/>
  <c r="D204" i="39" s="1"/>
  <c r="D243" i="39" s="1"/>
  <c r="D115" i="39"/>
  <c r="D195" i="39" s="1"/>
  <c r="D237" i="39" s="1"/>
  <c r="D114" i="39"/>
  <c r="D194" i="39" s="1"/>
  <c r="D111" i="39"/>
  <c r="D191" i="39" s="1"/>
  <c r="D112" i="39"/>
  <c r="D192" i="39" s="1"/>
  <c r="D235" i="39" s="1"/>
  <c r="D90" i="39"/>
  <c r="D83" i="39"/>
  <c r="D81" i="39"/>
  <c r="D77" i="39"/>
  <c r="D76" i="39"/>
  <c r="K45" i="42"/>
  <c r="N45" i="42" s="1"/>
  <c r="J45" i="42"/>
  <c r="K41" i="42"/>
  <c r="N41" i="42" s="1"/>
  <c r="L35" i="42"/>
  <c r="L34" i="42" s="1"/>
  <c r="M34" i="42"/>
  <c r="J33" i="42"/>
  <c r="L33" i="42" s="1"/>
  <c r="L32" i="42" s="1"/>
  <c r="M32" i="42"/>
  <c r="J31" i="42"/>
  <c r="L31" i="42" s="1"/>
  <c r="L30" i="42" s="1"/>
  <c r="M30" i="42"/>
  <c r="L29" i="42"/>
  <c r="L28" i="42" s="1"/>
  <c r="O28" i="42"/>
  <c r="M28" i="42"/>
  <c r="L27" i="42"/>
  <c r="L26" i="42" s="1"/>
  <c r="O26" i="42"/>
  <c r="M26" i="42"/>
  <c r="I25" i="42"/>
  <c r="L25" i="42" s="1"/>
  <c r="L24" i="42" s="1"/>
  <c r="M24" i="42"/>
  <c r="I23" i="42"/>
  <c r="L23" i="42" s="1"/>
  <c r="L22" i="42" s="1"/>
  <c r="M22" i="42"/>
  <c r="J21" i="42"/>
  <c r="I21" i="42"/>
  <c r="M20" i="42"/>
  <c r="J19" i="42"/>
  <c r="I19" i="42"/>
  <c r="M18" i="42"/>
  <c r="L17" i="42"/>
  <c r="L16" i="42" s="1"/>
  <c r="M16" i="42"/>
  <c r="D14" i="42"/>
  <c r="D12" i="42"/>
  <c r="J11" i="42"/>
  <c r="L11" i="42" s="1"/>
  <c r="L10" i="42" s="1"/>
  <c r="N10" i="42" s="1"/>
  <c r="P10" i="42" s="1"/>
  <c r="D10" i="42"/>
  <c r="E842" i="41"/>
  <c r="E790" i="41"/>
  <c r="E778" i="41"/>
  <c r="E770" i="41"/>
  <c r="E766" i="41"/>
  <c r="E765" i="41"/>
  <c r="E730" i="41"/>
  <c r="E676" i="41"/>
  <c r="E619" i="41"/>
  <c r="E618" i="41"/>
  <c r="E605" i="41"/>
  <c r="E562" i="41"/>
  <c r="E558" i="41"/>
  <c r="E545" i="41"/>
  <c r="E529" i="41"/>
  <c r="E527" i="41"/>
  <c r="E526" i="41"/>
  <c r="E524" i="41"/>
  <c r="E523" i="41"/>
  <c r="S61" i="41"/>
  <c r="E61" i="41"/>
  <c r="U60" i="41"/>
  <c r="E506" i="40"/>
  <c r="D499" i="40"/>
  <c r="D498" i="40"/>
  <c r="E496" i="40"/>
  <c r="D496" i="40"/>
  <c r="E495" i="40"/>
  <c r="D495" i="40"/>
  <c r="E494" i="40"/>
  <c r="D494" i="40"/>
  <c r="E493" i="40"/>
  <c r="D493" i="40"/>
  <c r="E492" i="40"/>
  <c r="D492" i="40"/>
  <c r="E486" i="40"/>
  <c r="D486" i="40"/>
  <c r="E472" i="40"/>
  <c r="D472" i="40"/>
  <c r="E471" i="40"/>
  <c r="D471" i="40"/>
  <c r="E470" i="40"/>
  <c r="D470" i="40"/>
  <c r="E469" i="40"/>
  <c r="D469" i="40"/>
  <c r="E468" i="40"/>
  <c r="D468" i="40"/>
  <c r="E467" i="40"/>
  <c r="D467" i="40"/>
  <c r="E466" i="40"/>
  <c r="D466" i="40"/>
  <c r="E465" i="40"/>
  <c r="D465" i="40"/>
  <c r="E464" i="40"/>
  <c r="E463" i="40"/>
  <c r="E462" i="40"/>
  <c r="E461" i="40"/>
  <c r="D461" i="40"/>
  <c r="E460" i="40"/>
  <c r="D460" i="40"/>
  <c r="E454" i="40"/>
  <c r="D454" i="40"/>
  <c r="E452" i="40"/>
  <c r="D452" i="40"/>
  <c r="E451" i="40"/>
  <c r="D451" i="40"/>
  <c r="E410" i="40"/>
  <c r="D410" i="40"/>
  <c r="E407" i="40"/>
  <c r="D407" i="40"/>
  <c r="E406" i="40"/>
  <c r="D406" i="40"/>
  <c r="E404" i="40"/>
  <c r="D404" i="40"/>
  <c r="E403" i="40"/>
  <c r="D403" i="40"/>
  <c r="E399" i="40"/>
  <c r="D399" i="40"/>
  <c r="E398" i="40"/>
  <c r="D398" i="40"/>
  <c r="E397" i="40"/>
  <c r="D397" i="40"/>
  <c r="E396" i="40"/>
  <c r="D396" i="40"/>
  <c r="D395" i="40"/>
  <c r="E382" i="40"/>
  <c r="D382" i="40"/>
  <c r="E377" i="40"/>
  <c r="D377" i="40"/>
  <c r="E373" i="40"/>
  <c r="E372" i="40"/>
  <c r="D372" i="40"/>
  <c r="E371" i="40"/>
  <c r="D371" i="40"/>
  <c r="E370" i="40"/>
  <c r="D370" i="40"/>
  <c r="E369" i="40"/>
  <c r="D369" i="40"/>
  <c r="E368" i="40"/>
  <c r="D368" i="40"/>
  <c r="E366" i="40"/>
  <c r="D366" i="40"/>
  <c r="E364" i="40"/>
  <c r="D364" i="40"/>
  <c r="E354" i="40"/>
  <c r="E353" i="40"/>
  <c r="D353" i="40"/>
  <c r="E352" i="40"/>
  <c r="D352" i="40"/>
  <c r="E351" i="40"/>
  <c r="D351" i="40"/>
  <c r="E350" i="40"/>
  <c r="D350" i="40"/>
  <c r="E349" i="40"/>
  <c r="D349" i="40"/>
  <c r="E347" i="40"/>
  <c r="D347" i="40"/>
  <c r="E346" i="40"/>
  <c r="D346" i="40"/>
  <c r="E326" i="40"/>
  <c r="D326" i="40"/>
  <c r="E314" i="40"/>
  <c r="D314" i="40"/>
  <c r="E312" i="40"/>
  <c r="D312" i="40"/>
  <c r="E311" i="40"/>
  <c r="D311" i="40"/>
  <c r="E310" i="40"/>
  <c r="D310" i="40"/>
  <c r="E309" i="40"/>
  <c r="D309" i="40"/>
  <c r="E308" i="40"/>
  <c r="D308" i="40"/>
  <c r="E307" i="40"/>
  <c r="D307" i="40"/>
  <c r="E306" i="40"/>
  <c r="D306" i="40"/>
  <c r="E305" i="40"/>
  <c r="D305" i="40"/>
  <c r="E304" i="40"/>
  <c r="D304" i="40"/>
  <c r="E303" i="40"/>
  <c r="D303" i="40"/>
  <c r="E302" i="40"/>
  <c r="D302" i="40"/>
  <c r="E301" i="40"/>
  <c r="D301" i="40"/>
  <c r="E300" i="40"/>
  <c r="D300" i="40"/>
  <c r="E299" i="40"/>
  <c r="D299" i="40"/>
  <c r="E298" i="40"/>
  <c r="D298" i="40"/>
  <c r="E297" i="40"/>
  <c r="D297" i="40"/>
  <c r="E296" i="40"/>
  <c r="D296" i="40"/>
  <c r="E295" i="40"/>
  <c r="D295" i="40"/>
  <c r="E294" i="40"/>
  <c r="D294" i="40"/>
  <c r="E293" i="40"/>
  <c r="D293" i="40"/>
  <c r="E292" i="40"/>
  <c r="D292" i="40"/>
  <c r="E291" i="40"/>
  <c r="D291" i="40"/>
  <c r="E290" i="40"/>
  <c r="D290" i="40"/>
  <c r="E289" i="40"/>
  <c r="D289" i="40"/>
  <c r="E288" i="40"/>
  <c r="D288" i="40"/>
  <c r="E287" i="40"/>
  <c r="D287" i="40"/>
  <c r="E286" i="40"/>
  <c r="D286" i="40"/>
  <c r="E285" i="40"/>
  <c r="D285" i="40"/>
  <c r="E284" i="40"/>
  <c r="D284" i="40"/>
  <c r="E283" i="40"/>
  <c r="D283" i="40"/>
  <c r="E282" i="40"/>
  <c r="D282" i="40"/>
  <c r="E281" i="40"/>
  <c r="D281" i="40"/>
  <c r="E280" i="40"/>
  <c r="D280" i="40"/>
  <c r="E279" i="40"/>
  <c r="D279" i="40"/>
  <c r="E278" i="40"/>
  <c r="D278" i="40"/>
  <c r="E277" i="40"/>
  <c r="D277" i="40"/>
  <c r="E276" i="40"/>
  <c r="D276" i="40"/>
  <c r="E275" i="40"/>
  <c r="D275" i="40"/>
  <c r="E274" i="40"/>
  <c r="D274" i="40"/>
  <c r="E273" i="40"/>
  <c r="D273" i="40"/>
  <c r="E272" i="40"/>
  <c r="D272" i="40"/>
  <c r="E271" i="40"/>
  <c r="D271" i="40"/>
  <c r="E270" i="40"/>
  <c r="D270" i="40"/>
  <c r="E269" i="40"/>
  <c r="E268" i="40"/>
  <c r="E267" i="40"/>
  <c r="D267" i="40"/>
  <c r="E266" i="40"/>
  <c r="D266" i="40"/>
  <c r="E265" i="40"/>
  <c r="D265" i="40"/>
  <c r="E264" i="40"/>
  <c r="D264" i="40"/>
  <c r="E263" i="40"/>
  <c r="D263" i="40"/>
  <c r="E262" i="40"/>
  <c r="D262" i="40"/>
  <c r="E261" i="40"/>
  <c r="D261" i="40"/>
  <c r="E247" i="40"/>
  <c r="D247" i="40"/>
  <c r="E246" i="40"/>
  <c r="D246" i="40"/>
  <c r="E245" i="40"/>
  <c r="D245" i="40"/>
  <c r="E244" i="40"/>
  <c r="D244" i="40"/>
  <c r="E243" i="40"/>
  <c r="D243" i="40"/>
  <c r="E242" i="40"/>
  <c r="D242" i="40"/>
  <c r="E241" i="40"/>
  <c r="D241" i="40"/>
  <c r="E240" i="40"/>
  <c r="D240" i="40"/>
  <c r="E239" i="40"/>
  <c r="D239" i="40"/>
  <c r="E238" i="40"/>
  <c r="D238" i="40"/>
  <c r="E237" i="40"/>
  <c r="D237" i="40"/>
  <c r="E236" i="40"/>
  <c r="D236" i="40"/>
  <c r="E235" i="40"/>
  <c r="D235" i="40"/>
  <c r="E234" i="40"/>
  <c r="D234" i="40"/>
  <c r="E223" i="40"/>
  <c r="D223" i="40"/>
  <c r="E221" i="40"/>
  <c r="D221" i="40"/>
  <c r="E219" i="40"/>
  <c r="D219" i="40"/>
  <c r="E218" i="40"/>
  <c r="D218" i="40"/>
  <c r="E212" i="40"/>
  <c r="D212" i="40"/>
  <c r="E211" i="40"/>
  <c r="D211" i="40"/>
  <c r="E210" i="40"/>
  <c r="D210" i="40"/>
  <c r="E209" i="40"/>
  <c r="D209" i="40"/>
  <c r="E208" i="40"/>
  <c r="D208" i="40"/>
  <c r="E206" i="40"/>
  <c r="D206" i="40"/>
  <c r="E205" i="40"/>
  <c r="D205" i="40"/>
  <c r="E204" i="40"/>
  <c r="D204" i="40"/>
  <c r="E203" i="40"/>
  <c r="D203" i="40"/>
  <c r="E202" i="40"/>
  <c r="D202" i="40"/>
  <c r="E201" i="40"/>
  <c r="D201" i="40"/>
  <c r="E200" i="40"/>
  <c r="D200" i="40"/>
  <c r="E199" i="40"/>
  <c r="D199" i="40"/>
  <c r="E193" i="40"/>
  <c r="D193" i="40"/>
  <c r="E186" i="40"/>
  <c r="D186" i="40"/>
  <c r="D178" i="40"/>
  <c r="E177" i="40"/>
  <c r="D177" i="40"/>
  <c r="E160" i="40"/>
  <c r="D160" i="40"/>
  <c r="H156" i="40"/>
  <c r="E156" i="40"/>
  <c r="E155" i="40"/>
  <c r="D155" i="40"/>
  <c r="E152" i="40"/>
  <c r="D152" i="40"/>
  <c r="D150" i="40"/>
  <c r="E91" i="40"/>
  <c r="D91" i="40"/>
  <c r="E90" i="40"/>
  <c r="D90" i="40"/>
  <c r="E89" i="40"/>
  <c r="D89" i="40"/>
  <c r="E88" i="40"/>
  <c r="D88" i="40"/>
  <c r="E87" i="40"/>
  <c r="D87" i="40"/>
  <c r="E86" i="40"/>
  <c r="D86" i="40"/>
  <c r="E85" i="40"/>
  <c r="D85" i="40"/>
  <c r="E84" i="40"/>
  <c r="D84" i="40"/>
  <c r="E83" i="40"/>
  <c r="D83" i="40"/>
  <c r="E82" i="40"/>
  <c r="D82" i="40"/>
  <c r="E55" i="40"/>
  <c r="D55" i="40"/>
  <c r="E25" i="40"/>
  <c r="D25" i="40"/>
  <c r="E24" i="40"/>
  <c r="D24" i="40"/>
  <c r="E23" i="40"/>
  <c r="D23" i="40"/>
  <c r="E16" i="40"/>
  <c r="D16" i="40"/>
  <c r="F40" i="38"/>
  <c r="G40" i="38" s="1"/>
  <c r="G39" i="38"/>
  <c r="F38" i="38"/>
  <c r="G38" i="38" s="1"/>
  <c r="F37" i="38"/>
  <c r="F36" i="38"/>
  <c r="G36" i="38" s="1"/>
  <c r="E34" i="38"/>
  <c r="D34" i="38"/>
  <c r="C34" i="38"/>
  <c r="D32" i="38"/>
  <c r="D30" i="38"/>
  <c r="E30" i="38" s="1"/>
  <c r="G30" i="38" s="1"/>
  <c r="C28" i="38"/>
  <c r="D28" i="38" s="1"/>
  <c r="C27" i="38"/>
  <c r="D27" i="38" s="1"/>
  <c r="E27" i="38" s="1"/>
  <c r="G27" i="38" s="1"/>
  <c r="F26" i="38"/>
  <c r="C25" i="38"/>
  <c r="D25" i="38" s="1"/>
  <c r="D24" i="38"/>
  <c r="E24" i="38" s="1"/>
  <c r="G24" i="38" s="1"/>
  <c r="C23" i="38"/>
  <c r="C22" i="38"/>
  <c r="D22" i="38" s="1"/>
  <c r="D21" i="38"/>
  <c r="E21" i="38" s="1"/>
  <c r="G21" i="38" s="1"/>
  <c r="D20" i="38"/>
  <c r="E20" i="38" s="1"/>
  <c r="G20" i="38" s="1"/>
  <c r="D19" i="38"/>
  <c r="E19" i="38" s="1"/>
  <c r="G19" i="38" s="1"/>
  <c r="D18" i="38"/>
  <c r="E18" i="38" s="1"/>
  <c r="G18" i="38" s="1"/>
  <c r="D17" i="38"/>
  <c r="D16" i="38"/>
  <c r="E16" i="38" s="1"/>
  <c r="G16" i="38" s="1"/>
  <c r="D15" i="38"/>
  <c r="E15" i="38" s="1"/>
  <c r="G15" i="38" s="1"/>
  <c r="F12" i="38"/>
  <c r="F11" i="38" s="1"/>
  <c r="A5" i="38"/>
  <c r="A4" i="38"/>
  <c r="A3" i="38"/>
  <c r="D14" i="38"/>
  <c r="G14" i="36"/>
  <c r="G15" i="36"/>
  <c r="G16" i="36"/>
  <c r="D11" i="36"/>
  <c r="E11" i="36" s="1"/>
  <c r="G11" i="36" s="1"/>
  <c r="D12" i="36"/>
  <c r="E12" i="36" s="1"/>
  <c r="F8" i="18"/>
  <c r="A37" i="4"/>
  <c r="A38" i="4"/>
  <c r="A39" i="4"/>
  <c r="A40" i="4"/>
  <c r="A41" i="4"/>
  <c r="G21" i="8"/>
  <c r="AB21" i="8" s="1"/>
  <c r="F21" i="8" s="1"/>
  <c r="D21" i="8" s="1"/>
  <c r="P35" i="4"/>
  <c r="Q35" i="4" s="1"/>
  <c r="R35" i="4" s="1"/>
  <c r="P44" i="4"/>
  <c r="Q44" i="4" s="1"/>
  <c r="R44" i="4" s="1"/>
  <c r="P57" i="4"/>
  <c r="Q57" i="4" s="1"/>
  <c r="A14" i="4"/>
  <c r="K57" i="4"/>
  <c r="J57" i="4" s="1"/>
  <c r="I57" i="4"/>
  <c r="H57" i="4" s="1"/>
  <c r="F57" i="4"/>
  <c r="C59" i="4"/>
  <c r="C60" i="4"/>
  <c r="C61" i="4"/>
  <c r="C62" i="4"/>
  <c r="C63" i="4"/>
  <c r="C64" i="4"/>
  <c r="A59" i="4"/>
  <c r="A60" i="4"/>
  <c r="A61" i="4"/>
  <c r="A62" i="4"/>
  <c r="A63" i="4"/>
  <c r="A64" i="4"/>
  <c r="Q65" i="4"/>
  <c r="R65" i="4" s="1"/>
  <c r="A4" i="37"/>
  <c r="A3" i="37"/>
  <c r="F321" i="37"/>
  <c r="G321" i="37" s="1"/>
  <c r="G319" i="37"/>
  <c r="G318" i="37"/>
  <c r="G316" i="37"/>
  <c r="G315" i="37"/>
  <c r="G314" i="37"/>
  <c r="G312" i="37"/>
  <c r="G311" i="37"/>
  <c r="G310" i="37"/>
  <c r="G309" i="37"/>
  <c r="G308" i="37"/>
  <c r="G307" i="37"/>
  <c r="G305" i="37"/>
  <c r="G304" i="37"/>
  <c r="E302" i="37"/>
  <c r="G302" i="37" s="1"/>
  <c r="E301" i="37"/>
  <c r="G301" i="37" s="1"/>
  <c r="E300" i="37"/>
  <c r="G300" i="37" s="1"/>
  <c r="G298" i="37"/>
  <c r="E297" i="37"/>
  <c r="G297" i="37" s="1"/>
  <c r="A297" i="37"/>
  <c r="A298" i="37" s="1"/>
  <c r="A299" i="37" s="1"/>
  <c r="A300" i="37" s="1"/>
  <c r="A301" i="37" s="1"/>
  <c r="A302" i="37" s="1"/>
  <c r="E296" i="37"/>
  <c r="E299" i="37" s="1"/>
  <c r="G299" i="37" s="1"/>
  <c r="G294" i="37"/>
  <c r="G293" i="37"/>
  <c r="G292" i="37"/>
  <c r="G291" i="37"/>
  <c r="G290" i="37"/>
  <c r="G289" i="37"/>
  <c r="G288" i="37"/>
  <c r="G287" i="37"/>
  <c r="G286" i="37"/>
  <c r="G285" i="37"/>
  <c r="G284" i="37"/>
  <c r="G283" i="37"/>
  <c r="G282" i="37"/>
  <c r="G281" i="37"/>
  <c r="G280" i="37"/>
  <c r="G279" i="37"/>
  <c r="G277" i="37"/>
  <c r="G276" i="37"/>
  <c r="G275" i="37"/>
  <c r="G273" i="37"/>
  <c r="G272" i="37"/>
  <c r="G271" i="37"/>
  <c r="G270" i="37"/>
  <c r="G269" i="37"/>
  <c r="G267" i="37"/>
  <c r="G266" i="37"/>
  <c r="G265" i="37"/>
  <c r="G263" i="37"/>
  <c r="G262" i="37"/>
  <c r="G261" i="37"/>
  <c r="E260" i="37"/>
  <c r="G260" i="37" s="1"/>
  <c r="G259" i="37"/>
  <c r="G258" i="37"/>
  <c r="G256" i="37"/>
  <c r="G255" i="37"/>
  <c r="G254" i="37"/>
  <c r="E253" i="37"/>
  <c r="G253" i="37" s="1"/>
  <c r="G252" i="37"/>
  <c r="G251" i="37"/>
  <c r="G249" i="37"/>
  <c r="G248" i="37"/>
  <c r="G247" i="37"/>
  <c r="E243" i="37"/>
  <c r="G243" i="37" s="1"/>
  <c r="E242" i="37"/>
  <c r="G242" i="37" s="1"/>
  <c r="E241" i="37"/>
  <c r="G241" i="37" s="1"/>
  <c r="E240" i="37"/>
  <c r="G240" i="37" s="1"/>
  <c r="E239" i="37"/>
  <c r="G239" i="37" s="1"/>
  <c r="G236" i="37"/>
  <c r="G235" i="37"/>
  <c r="G233" i="37"/>
  <c r="G232" i="37"/>
  <c r="G231" i="37"/>
  <c r="G229" i="37"/>
  <c r="G227" i="37"/>
  <c r="G226" i="37"/>
  <c r="G225" i="37"/>
  <c r="G224" i="37"/>
  <c r="G223" i="37"/>
  <c r="G222" i="37"/>
  <c r="G221" i="37"/>
  <c r="E220" i="37"/>
  <c r="G220" i="37" s="1"/>
  <c r="G219" i="37"/>
  <c r="G218" i="37"/>
  <c r="G217" i="37"/>
  <c r="A217" i="37"/>
  <c r="A218" i="37" s="1"/>
  <c r="G216" i="37"/>
  <c r="G215" i="37"/>
  <c r="G213" i="37"/>
  <c r="E212" i="37"/>
  <c r="G212" i="37" s="1"/>
  <c r="E211" i="37"/>
  <c r="G211" i="37" s="1"/>
  <c r="E210" i="37"/>
  <c r="G210" i="37" s="1"/>
  <c r="E209" i="37"/>
  <c r="G209" i="37" s="1"/>
  <c r="G208" i="37"/>
  <c r="G207" i="37"/>
  <c r="E206" i="37"/>
  <c r="G206" i="37" s="1"/>
  <c r="G205" i="37"/>
  <c r="G204" i="37"/>
  <c r="G203" i="37"/>
  <c r="A203" i="37"/>
  <c r="A204" i="37" s="1"/>
  <c r="G202" i="37"/>
  <c r="G201" i="37"/>
  <c r="E199" i="37"/>
  <c r="G199" i="37" s="1"/>
  <c r="G198" i="37"/>
  <c r="E197" i="37"/>
  <c r="G197" i="37" s="1"/>
  <c r="G195" i="37"/>
  <c r="E194" i="37"/>
  <c r="G194" i="37" s="1"/>
  <c r="A194" i="37"/>
  <c r="A195" i="37" s="1"/>
  <c r="A196" i="37" s="1"/>
  <c r="A197" i="37" s="1"/>
  <c r="A198" i="37" s="1"/>
  <c r="A199" i="37" s="1"/>
  <c r="E193" i="37"/>
  <c r="G193" i="37" s="1"/>
  <c r="G191" i="37"/>
  <c r="G190" i="37"/>
  <c r="G189" i="37"/>
  <c r="A189" i="37"/>
  <c r="A190" i="37" s="1"/>
  <c r="A191" i="37" s="1"/>
  <c r="G188" i="37"/>
  <c r="G186" i="37"/>
  <c r="G185" i="37"/>
  <c r="G183" i="37"/>
  <c r="G182" i="37"/>
  <c r="G181" i="37"/>
  <c r="G180" i="37"/>
  <c r="G179" i="37"/>
  <c r="A179" i="37"/>
  <c r="A180" i="37" s="1"/>
  <c r="A181" i="37" s="1"/>
  <c r="A182" i="37" s="1"/>
  <c r="A183" i="37" s="1"/>
  <c r="G178" i="37"/>
  <c r="G176" i="37"/>
  <c r="G175" i="37"/>
  <c r="G174" i="37"/>
  <c r="G173" i="37"/>
  <c r="G172" i="37"/>
  <c r="G171" i="37"/>
  <c r="E170" i="37"/>
  <c r="G170" i="37" s="1"/>
  <c r="G169" i="37"/>
  <c r="G167" i="37"/>
  <c r="G166" i="37"/>
  <c r="G165" i="37"/>
  <c r="G163" i="37"/>
  <c r="E159" i="37"/>
  <c r="E158" i="37"/>
  <c r="G158" i="37" s="1"/>
  <c r="E157" i="37"/>
  <c r="G157" i="37" s="1"/>
  <c r="E156" i="37"/>
  <c r="G156" i="37" s="1"/>
  <c r="E155" i="37"/>
  <c r="G155" i="37" s="1"/>
  <c r="G152" i="37"/>
  <c r="G151" i="37"/>
  <c r="G149" i="37"/>
  <c r="G148" i="37"/>
  <c r="G147" i="37"/>
  <c r="G145" i="37"/>
  <c r="G144" i="37"/>
  <c r="G142" i="37"/>
  <c r="G141" i="37"/>
  <c r="G140" i="37"/>
  <c r="G139" i="37"/>
  <c r="G137" i="37"/>
  <c r="G136" i="37"/>
  <c r="A136" i="37"/>
  <c r="A137" i="37" s="1"/>
  <c r="G135" i="37"/>
  <c r="A135" i="37"/>
  <c r="G134" i="37"/>
  <c r="G133" i="37"/>
  <c r="G132" i="37"/>
  <c r="G131" i="37"/>
  <c r="A131" i="37"/>
  <c r="A132" i="37" s="1"/>
  <c r="A133" i="37" s="1"/>
  <c r="A134" i="37" s="1"/>
  <c r="G130" i="37"/>
  <c r="G128" i="37"/>
  <c r="G126" i="37"/>
  <c r="G125" i="37"/>
  <c r="G124" i="37"/>
  <c r="G123" i="37"/>
  <c r="G122" i="37"/>
  <c r="G121" i="37"/>
  <c r="G119" i="37"/>
  <c r="G118" i="37"/>
  <c r="G117" i="37"/>
  <c r="G116" i="37"/>
  <c r="G115" i="37"/>
  <c r="E114" i="37"/>
  <c r="G114" i="37" s="1"/>
  <c r="A114" i="37"/>
  <c r="A115" i="37" s="1"/>
  <c r="A116" i="37" s="1"/>
  <c r="A117" i="37" s="1"/>
  <c r="A118" i="37" s="1"/>
  <c r="A119" i="37" s="1"/>
  <c r="E113" i="37"/>
  <c r="G113" i="37" s="1"/>
  <c r="G110" i="37"/>
  <c r="G109" i="37"/>
  <c r="G108" i="37"/>
  <c r="G106" i="37"/>
  <c r="G105" i="37"/>
  <c r="G104" i="37"/>
  <c r="G103" i="37"/>
  <c r="G102" i="37"/>
  <c r="G101" i="37"/>
  <c r="E100" i="37"/>
  <c r="G100" i="37" s="1"/>
  <c r="G98" i="37"/>
  <c r="G97" i="37"/>
  <c r="G95" i="37"/>
  <c r="G94" i="37"/>
  <c r="G93" i="37"/>
  <c r="G92" i="37"/>
  <c r="G91" i="37"/>
  <c r="G90" i="37"/>
  <c r="G89" i="37"/>
  <c r="G88" i="37"/>
  <c r="G87" i="37"/>
  <c r="G86" i="37"/>
  <c r="G85" i="37"/>
  <c r="G84" i="37"/>
  <c r="A84" i="37"/>
  <c r="A85" i="37" s="1"/>
  <c r="A86" i="37" s="1"/>
  <c r="A87" i="37" s="1"/>
  <c r="A88" i="37" s="1"/>
  <c r="A89" i="37" s="1"/>
  <c r="A90" i="37" s="1"/>
  <c r="A91" i="37" s="1"/>
  <c r="A92" i="37" s="1"/>
  <c r="A93" i="37" s="1"/>
  <c r="A94" i="37" s="1"/>
  <c r="A95" i="37" s="1"/>
  <c r="A97" i="37" s="1"/>
  <c r="A98" i="37" s="1"/>
  <c r="G83" i="37"/>
  <c r="G82" i="37"/>
  <c r="G81" i="37"/>
  <c r="G80" i="37"/>
  <c r="G79" i="37"/>
  <c r="G78" i="37"/>
  <c r="G77" i="37"/>
  <c r="G76" i="37"/>
  <c r="G75" i="37"/>
  <c r="G74" i="37"/>
  <c r="G73" i="37"/>
  <c r="G72" i="37"/>
  <c r="G71" i="37"/>
  <c r="G70" i="37"/>
  <c r="G69" i="37"/>
  <c r="G68" i="37"/>
  <c r="G67" i="37"/>
  <c r="G66" i="37"/>
  <c r="G64" i="37"/>
  <c r="G63" i="37"/>
  <c r="G61" i="37"/>
  <c r="G60" i="37"/>
  <c r="A60" i="37"/>
  <c r="A61" i="37" s="1"/>
  <c r="G59" i="37"/>
  <c r="G57" i="37"/>
  <c r="G55" i="37"/>
  <c r="G54" i="37"/>
  <c r="G53" i="37"/>
  <c r="G52" i="37"/>
  <c r="G50" i="37"/>
  <c r="G49" i="37"/>
  <c r="G48" i="37"/>
  <c r="G47" i="37"/>
  <c r="G46" i="37"/>
  <c r="G45" i="37"/>
  <c r="G44" i="37"/>
  <c r="G43" i="37"/>
  <c r="G42" i="37"/>
  <c r="G40" i="37"/>
  <c r="G39" i="37"/>
  <c r="G37" i="37"/>
  <c r="G36" i="37"/>
  <c r="G35" i="37"/>
  <c r="G34" i="37"/>
  <c r="G33" i="37"/>
  <c r="G32" i="37"/>
  <c r="G31" i="37"/>
  <c r="G29" i="37"/>
  <c r="G28" i="37"/>
  <c r="G27" i="37"/>
  <c r="G26" i="37"/>
  <c r="G25" i="37"/>
  <c r="G24" i="37"/>
  <c r="G23" i="37"/>
  <c r="G22" i="37"/>
  <c r="G21" i="37"/>
  <c r="G19" i="37"/>
  <c r="G18" i="37"/>
  <c r="G17" i="37"/>
  <c r="G16" i="37"/>
  <c r="G15" i="37"/>
  <c r="G14" i="37"/>
  <c r="G13" i="37"/>
  <c r="A13" i="37"/>
  <c r="A14" i="37" s="1"/>
  <c r="A15" i="37" s="1"/>
  <c r="A16" i="37" s="1"/>
  <c r="A17" i="37" s="1"/>
  <c r="A18" i="37" s="1"/>
  <c r="A19" i="37" s="1"/>
  <c r="A21" i="37" s="1"/>
  <c r="A22" i="37" s="1"/>
  <c r="A23" i="37" s="1"/>
  <c r="A24" i="37" s="1"/>
  <c r="A25" i="37" s="1"/>
  <c r="A26" i="37" s="1"/>
  <c r="A27" i="37" s="1"/>
  <c r="A28" i="37" s="1"/>
  <c r="A29" i="37" s="1"/>
  <c r="A31" i="37" s="1"/>
  <c r="A32" i="37" s="1"/>
  <c r="A33" i="37" s="1"/>
  <c r="A34" i="37" s="1"/>
  <c r="A35" i="37" s="1"/>
  <c r="A36" i="37" s="1"/>
  <c r="A37" i="37" s="1"/>
  <c r="G12" i="37"/>
  <c r="C110" i="4"/>
  <c r="C111" i="4"/>
  <c r="C115" i="4"/>
  <c r="C121" i="4"/>
  <c r="C124" i="4"/>
  <c r="C129" i="4"/>
  <c r="C130" i="4"/>
  <c r="C132" i="4"/>
  <c r="C133" i="4"/>
  <c r="A129" i="4"/>
  <c r="A130" i="4"/>
  <c r="A132" i="4"/>
  <c r="A133" i="4"/>
  <c r="Q101" i="4"/>
  <c r="P135" i="4"/>
  <c r="R135" i="4" s="1"/>
  <c r="P43" i="4"/>
  <c r="A43" i="4" s="1"/>
  <c r="S2" i="4"/>
  <c r="K299" i="9"/>
  <c r="L299" i="9" s="1"/>
  <c r="L300" i="9" s="1"/>
  <c r="L301" i="9" s="1"/>
  <c r="L302" i="9" s="1"/>
  <c r="L303" i="9" s="1"/>
  <c r="D299" i="9"/>
  <c r="D300" i="9" s="1"/>
  <c r="D301" i="9" s="1"/>
  <c r="D302" i="9" s="1"/>
  <c r="D303" i="9" s="1"/>
  <c r="C300" i="9"/>
  <c r="C301" i="9" s="1"/>
  <c r="C302" i="9" s="1"/>
  <c r="C303" i="9" s="1"/>
  <c r="J300" i="9"/>
  <c r="J301" i="9" s="1"/>
  <c r="J302" i="9" s="1"/>
  <c r="J303" i="9" s="1"/>
  <c r="I300" i="9"/>
  <c r="I301" i="9" s="1"/>
  <c r="I302" i="9" s="1"/>
  <c r="I303" i="9" s="1"/>
  <c r="H300" i="9"/>
  <c r="H301" i="9" s="1"/>
  <c r="H302" i="9" s="1"/>
  <c r="H303" i="9" s="1"/>
  <c r="G300" i="9"/>
  <c r="G301" i="9" s="1"/>
  <c r="G302" i="9" s="1"/>
  <c r="G303" i="9" s="1"/>
  <c r="F300" i="9"/>
  <c r="F301" i="9" s="1"/>
  <c r="F302" i="9" s="1"/>
  <c r="F303" i="9" s="1"/>
  <c r="E300" i="9"/>
  <c r="E301" i="9" s="1"/>
  <c r="E302" i="9" s="1"/>
  <c r="E303" i="9" s="1"/>
  <c r="J289" i="9"/>
  <c r="J290" i="9" s="1"/>
  <c r="J291" i="9" s="1"/>
  <c r="J292" i="9" s="1"/>
  <c r="I289" i="9"/>
  <c r="I290" i="9" s="1"/>
  <c r="I291" i="9" s="1"/>
  <c r="I292" i="9" s="1"/>
  <c r="H289" i="9"/>
  <c r="H290" i="9" s="1"/>
  <c r="H291" i="9" s="1"/>
  <c r="H292" i="9" s="1"/>
  <c r="G289" i="9"/>
  <c r="G290" i="9" s="1"/>
  <c r="G291" i="9" s="1"/>
  <c r="G292" i="9" s="1"/>
  <c r="F289" i="9"/>
  <c r="F290" i="9" s="1"/>
  <c r="F291" i="9" s="1"/>
  <c r="F292" i="9" s="1"/>
  <c r="E289" i="9"/>
  <c r="E290" i="9" s="1"/>
  <c r="E291" i="9" s="1"/>
  <c r="E292" i="9" s="1"/>
  <c r="D288" i="9"/>
  <c r="D289" i="9" s="1"/>
  <c r="D290" i="9" s="1"/>
  <c r="D291" i="9" s="1"/>
  <c r="D292" i="9" s="1"/>
  <c r="C289" i="9"/>
  <c r="C290" i="9" s="1"/>
  <c r="C291" i="9" s="1"/>
  <c r="C292" i="9" s="1"/>
  <c r="F22" i="36"/>
  <c r="A5" i="36"/>
  <c r="A4" i="36"/>
  <c r="A3" i="36"/>
  <c r="J104" i="4"/>
  <c r="H104" i="4"/>
  <c r="P102" i="4"/>
  <c r="R102" i="4" s="1"/>
  <c r="T85" i="4"/>
  <c r="S85" i="4"/>
  <c r="Q33" i="4"/>
  <c r="R33" i="4" s="1"/>
  <c r="E13" i="36"/>
  <c r="G13" i="36" s="1"/>
  <c r="P36" i="4"/>
  <c r="A36" i="4" s="1"/>
  <c r="P27" i="4"/>
  <c r="Q27" i="4" s="1"/>
  <c r="R27" i="4" s="1"/>
  <c r="A56" i="4"/>
  <c r="A69" i="4"/>
  <c r="A70" i="4"/>
  <c r="A71" i="4"/>
  <c r="A48" i="4"/>
  <c r="A49" i="4"/>
  <c r="A50" i="4"/>
  <c r="A51" i="4"/>
  <c r="A52" i="4"/>
  <c r="A29" i="4"/>
  <c r="K35" i="4"/>
  <c r="J35" i="4" s="1"/>
  <c r="I35" i="4"/>
  <c r="H35" i="4" s="1"/>
  <c r="F35" i="4"/>
  <c r="K34" i="4"/>
  <c r="J34" i="4" s="1"/>
  <c r="I34" i="4"/>
  <c r="H34" i="4" s="1"/>
  <c r="F34" i="4"/>
  <c r="K36" i="4"/>
  <c r="J36" i="4" s="1"/>
  <c r="I36" i="4"/>
  <c r="H36" i="4" s="1"/>
  <c r="F36" i="4"/>
  <c r="Q55" i="4"/>
  <c r="R55" i="4" s="1"/>
  <c r="P34" i="4"/>
  <c r="Q36" i="4"/>
  <c r="R36" i="4" s="1"/>
  <c r="P106" i="4"/>
  <c r="R106" i="4" s="1"/>
  <c r="P107" i="4"/>
  <c r="P77" i="4"/>
  <c r="A77" i="4" s="1"/>
  <c r="P76" i="4"/>
  <c r="A76" i="4" s="1"/>
  <c r="P31" i="4"/>
  <c r="A31" i="4" s="1"/>
  <c r="C28" i="18"/>
  <c r="C29" i="18"/>
  <c r="D29" i="18" s="1"/>
  <c r="B74" i="4"/>
  <c r="A110" i="4"/>
  <c r="A111" i="4"/>
  <c r="A115" i="4"/>
  <c r="J75" i="4"/>
  <c r="H75" i="4"/>
  <c r="J74" i="4"/>
  <c r="H74" i="4"/>
  <c r="E74" i="4"/>
  <c r="J73" i="4"/>
  <c r="H73" i="4"/>
  <c r="I70" i="4"/>
  <c r="H70" i="4" s="1"/>
  <c r="J70" i="4"/>
  <c r="D37" i="8"/>
  <c r="C37" i="8"/>
  <c r="J69" i="4"/>
  <c r="I69" i="4"/>
  <c r="H69" i="4" s="1"/>
  <c r="D36" i="8"/>
  <c r="C36" i="8"/>
  <c r="J71" i="4"/>
  <c r="H71" i="4"/>
  <c r="I59" i="4"/>
  <c r="H59" i="4" s="1"/>
  <c r="J59" i="4"/>
  <c r="D27" i="8"/>
  <c r="C27" i="8"/>
  <c r="D26" i="8"/>
  <c r="C26" i="8"/>
  <c r="AV26" i="8"/>
  <c r="AT26" i="8" s="1"/>
  <c r="AR26" i="8" s="1"/>
  <c r="AP26" i="8" s="1"/>
  <c r="AN26" i="8" s="1"/>
  <c r="AL26" i="8" s="1"/>
  <c r="AJ26" i="8" s="1"/>
  <c r="AH26" i="8" s="1"/>
  <c r="AW26" i="8"/>
  <c r="AU26" i="8" s="1"/>
  <c r="AS26" i="8" s="1"/>
  <c r="AQ26" i="8" s="1"/>
  <c r="AO26" i="8" s="1"/>
  <c r="AM26" i="8" s="1"/>
  <c r="AK26" i="8" s="1"/>
  <c r="AI26" i="8" s="1"/>
  <c r="R49" i="4"/>
  <c r="Q71" i="4"/>
  <c r="R71" i="4" s="1"/>
  <c r="C38" i="4"/>
  <c r="C39" i="4"/>
  <c r="C40" i="4"/>
  <c r="C41" i="4"/>
  <c r="C48" i="4"/>
  <c r="C50" i="4"/>
  <c r="C51" i="4"/>
  <c r="C52" i="4"/>
  <c r="D83" i="4" s="1"/>
  <c r="Q28" i="4"/>
  <c r="R28" i="4" s="1"/>
  <c r="P25" i="4"/>
  <c r="C25" i="4" s="1"/>
  <c r="F77" i="8"/>
  <c r="D77" i="8" s="1"/>
  <c r="Q53" i="4"/>
  <c r="R53" i="4" s="1"/>
  <c r="C26" i="4"/>
  <c r="A26" i="4"/>
  <c r="C8" i="18"/>
  <c r="O329" i="9"/>
  <c r="P329" i="9" s="1"/>
  <c r="N329" i="9"/>
  <c r="L329" i="9"/>
  <c r="K329" i="9"/>
  <c r="I329" i="9"/>
  <c r="H329" i="9"/>
  <c r="F329" i="9"/>
  <c r="G329" i="9" s="1"/>
  <c r="J325" i="9"/>
  <c r="P324" i="9"/>
  <c r="P325" i="9"/>
  <c r="P326" i="9"/>
  <c r="P327" i="9"/>
  <c r="P328" i="9"/>
  <c r="P323" i="9"/>
  <c r="M328" i="9"/>
  <c r="M327" i="9"/>
  <c r="M326" i="9"/>
  <c r="M325" i="9"/>
  <c r="M324" i="9"/>
  <c r="M323" i="9"/>
  <c r="M322" i="9"/>
  <c r="J328" i="9"/>
  <c r="J327" i="9"/>
  <c r="J326" i="9"/>
  <c r="J324" i="9"/>
  <c r="J323" i="9"/>
  <c r="J322" i="9"/>
  <c r="G323" i="9"/>
  <c r="G324" i="9"/>
  <c r="G325" i="9"/>
  <c r="G326" i="9"/>
  <c r="G327" i="9"/>
  <c r="G328" i="9"/>
  <c r="P322" i="9"/>
  <c r="G322" i="9"/>
  <c r="B128" i="4"/>
  <c r="H128" i="4"/>
  <c r="B126" i="4"/>
  <c r="H126" i="4"/>
  <c r="H125" i="4"/>
  <c r="B125" i="4"/>
  <c r="G281" i="9"/>
  <c r="E281" i="9"/>
  <c r="D281" i="9"/>
  <c r="C281" i="9"/>
  <c r="B281" i="9"/>
  <c r="G280" i="9"/>
  <c r="E280" i="9"/>
  <c r="D280" i="9"/>
  <c r="C280" i="9"/>
  <c r="B280" i="9"/>
  <c r="G279" i="9"/>
  <c r="E279" i="9"/>
  <c r="D279" i="9"/>
  <c r="C279" i="9"/>
  <c r="B279" i="9"/>
  <c r="G278" i="9"/>
  <c r="E278" i="9"/>
  <c r="D278" i="9"/>
  <c r="C278" i="9"/>
  <c r="B278" i="9"/>
  <c r="G277" i="9"/>
  <c r="E277" i="9"/>
  <c r="D277" i="9"/>
  <c r="C277" i="9"/>
  <c r="B277" i="9"/>
  <c r="G276" i="9"/>
  <c r="E276" i="9"/>
  <c r="D276" i="9"/>
  <c r="C276" i="9"/>
  <c r="B276" i="9"/>
  <c r="Q273" i="9"/>
  <c r="Q272" i="9"/>
  <c r="G269" i="9"/>
  <c r="E269" i="9"/>
  <c r="D269" i="9"/>
  <c r="C269" i="9"/>
  <c r="B269" i="9"/>
  <c r="G268" i="9"/>
  <c r="E268" i="9"/>
  <c r="D268" i="9"/>
  <c r="C268" i="9"/>
  <c r="B268" i="9"/>
  <c r="G267" i="9"/>
  <c r="E267" i="9"/>
  <c r="D267" i="9"/>
  <c r="C267" i="9"/>
  <c r="B267" i="9"/>
  <c r="G266" i="9"/>
  <c r="E266" i="9"/>
  <c r="D266" i="9"/>
  <c r="C266" i="9"/>
  <c r="B266" i="9"/>
  <c r="G265" i="9"/>
  <c r="E265" i="9"/>
  <c r="D265" i="9"/>
  <c r="C265" i="9"/>
  <c r="B265" i="9"/>
  <c r="G264" i="9"/>
  <c r="E264" i="9"/>
  <c r="D264" i="9"/>
  <c r="C264" i="9"/>
  <c r="B264" i="9"/>
  <c r="G257" i="9"/>
  <c r="E257" i="9"/>
  <c r="D257" i="9"/>
  <c r="C257" i="9"/>
  <c r="B257" i="9"/>
  <c r="G256" i="9"/>
  <c r="E256" i="9"/>
  <c r="D256" i="9"/>
  <c r="C256" i="9"/>
  <c r="B256" i="9"/>
  <c r="G255" i="9"/>
  <c r="E255" i="9"/>
  <c r="D255" i="9"/>
  <c r="C255" i="9"/>
  <c r="B255" i="9"/>
  <c r="G254" i="9"/>
  <c r="E254" i="9"/>
  <c r="D254" i="9"/>
  <c r="C254" i="9"/>
  <c r="B254" i="9"/>
  <c r="G253" i="9"/>
  <c r="E253" i="9"/>
  <c r="D253" i="9"/>
  <c r="C253" i="9"/>
  <c r="B253" i="9"/>
  <c r="G252" i="9"/>
  <c r="E252" i="9"/>
  <c r="D252" i="9"/>
  <c r="C252" i="9"/>
  <c r="B252" i="9"/>
  <c r="Q249" i="9"/>
  <c r="Q248" i="9"/>
  <c r="G246" i="9"/>
  <c r="G245" i="9"/>
  <c r="G244" i="9"/>
  <c r="G243" i="9"/>
  <c r="G242" i="9"/>
  <c r="G241" i="9"/>
  <c r="E246" i="9"/>
  <c r="D246" i="9"/>
  <c r="C246" i="9"/>
  <c r="B246" i="9"/>
  <c r="E245" i="9"/>
  <c r="D245" i="9"/>
  <c r="C245" i="9"/>
  <c r="B245" i="9"/>
  <c r="E244" i="9"/>
  <c r="D244" i="9"/>
  <c r="C244" i="9"/>
  <c r="B244" i="9"/>
  <c r="E243" i="9"/>
  <c r="D243" i="9"/>
  <c r="C243" i="9"/>
  <c r="B243" i="9"/>
  <c r="E242" i="9"/>
  <c r="D242" i="9"/>
  <c r="C242" i="9"/>
  <c r="B242" i="9"/>
  <c r="E241" i="9"/>
  <c r="D241" i="9"/>
  <c r="C241" i="9"/>
  <c r="B241" i="9"/>
  <c r="G230" i="9"/>
  <c r="G231" i="9"/>
  <c r="G232" i="9"/>
  <c r="G233" i="9"/>
  <c r="G234" i="9"/>
  <c r="G229" i="9"/>
  <c r="E230" i="9"/>
  <c r="E231" i="9"/>
  <c r="E232" i="9"/>
  <c r="E233" i="9"/>
  <c r="E234" i="9"/>
  <c r="E229" i="9"/>
  <c r="D230" i="9"/>
  <c r="D231" i="9"/>
  <c r="D232" i="9"/>
  <c r="D233" i="9"/>
  <c r="D234" i="9"/>
  <c r="D229" i="9"/>
  <c r="C230" i="9"/>
  <c r="C231" i="9"/>
  <c r="C232" i="9"/>
  <c r="C233" i="9"/>
  <c r="C234" i="9"/>
  <c r="C229" i="9"/>
  <c r="B230" i="9"/>
  <c r="B231" i="9"/>
  <c r="B232" i="9"/>
  <c r="B233" i="9"/>
  <c r="B234" i="9"/>
  <c r="B229" i="9"/>
  <c r="J112" i="4"/>
  <c r="H112" i="4"/>
  <c r="E112" i="4"/>
  <c r="H80" i="4"/>
  <c r="J80" i="4"/>
  <c r="P30" i="4"/>
  <c r="Q30" i="4" s="1"/>
  <c r="R30" i="4" s="1"/>
  <c r="A121" i="4"/>
  <c r="Q218" i="9"/>
  <c r="Q219" i="9"/>
  <c r="Q220" i="9"/>
  <c r="Q221" i="9"/>
  <c r="Q222" i="9"/>
  <c r="Q223" i="9"/>
  <c r="Q224" i="9"/>
  <c r="Q225" i="9"/>
  <c r="Q226" i="9"/>
  <c r="Q217" i="9"/>
  <c r="Q20" i="4"/>
  <c r="R20" i="4" s="1"/>
  <c r="P116" i="4"/>
  <c r="A116" i="4" s="1"/>
  <c r="P117" i="4"/>
  <c r="A117" i="4" s="1"/>
  <c r="H9" i="18"/>
  <c r="A89" i="4"/>
  <c r="A90" i="4"/>
  <c r="A91" i="4"/>
  <c r="A92" i="4"/>
  <c r="A93" i="4"/>
  <c r="A94" i="4"/>
  <c r="A97" i="4"/>
  <c r="P83" i="4"/>
  <c r="A83" i="4" s="1"/>
  <c r="Q52" i="4"/>
  <c r="R52" i="4" s="1"/>
  <c r="Q38" i="4"/>
  <c r="R38" i="4" s="1"/>
  <c r="R101" i="4"/>
  <c r="Q115" i="4"/>
  <c r="R115" i="4" s="1"/>
  <c r="Q121" i="4"/>
  <c r="R121" i="4" s="1"/>
  <c r="Q129" i="4"/>
  <c r="R129" i="4" s="1"/>
  <c r="Q130" i="4"/>
  <c r="R130" i="4" s="1"/>
  <c r="Q132" i="4"/>
  <c r="R132" i="4" s="1"/>
  <c r="Q133" i="4"/>
  <c r="R133" i="4" s="1"/>
  <c r="Q26" i="4"/>
  <c r="R26" i="4" s="1"/>
  <c r="Q29" i="4"/>
  <c r="R29" i="4" s="1"/>
  <c r="I46" i="4"/>
  <c r="H46" i="4" s="1"/>
  <c r="K46" i="4"/>
  <c r="J46" i="4" s="1"/>
  <c r="I45" i="4"/>
  <c r="H45" i="4" s="1"/>
  <c r="K45" i="4"/>
  <c r="J45" i="4" s="1"/>
  <c r="K50" i="4"/>
  <c r="J50" i="4" s="1"/>
  <c r="I50" i="4"/>
  <c r="H50" i="4" s="1"/>
  <c r="K51" i="4"/>
  <c r="J51" i="4" s="1"/>
  <c r="I51" i="4"/>
  <c r="H51" i="4" s="1"/>
  <c r="F51" i="4"/>
  <c r="F114" i="4"/>
  <c r="E114" i="4" s="1"/>
  <c r="R103" i="4"/>
  <c r="J103" i="4"/>
  <c r="H103" i="4"/>
  <c r="I58" i="4"/>
  <c r="H58" i="4" s="1"/>
  <c r="K58" i="4"/>
  <c r="J58" i="4" s="1"/>
  <c r="P72" i="4"/>
  <c r="P87" i="4"/>
  <c r="A87" i="4" s="1"/>
  <c r="J102" i="4"/>
  <c r="H102" i="4"/>
  <c r="F113" i="4"/>
  <c r="E113" i="4" s="1"/>
  <c r="P118" i="4"/>
  <c r="Q21" i="4"/>
  <c r="R21" i="4" s="1"/>
  <c r="Q22" i="4"/>
  <c r="R22" i="4" s="1"/>
  <c r="H108" i="4"/>
  <c r="J108" i="4"/>
  <c r="J105" i="4"/>
  <c r="H105" i="4"/>
  <c r="S147" i="4"/>
  <c r="T339" i="4"/>
  <c r="K288" i="9"/>
  <c r="K289" i="9" s="1"/>
  <c r="K290" i="9" s="1"/>
  <c r="K291" i="9" s="1"/>
  <c r="K292" i="9" s="1"/>
  <c r="B123" i="4"/>
  <c r="H123" i="4"/>
  <c r="J123" i="4"/>
  <c r="J23" i="10"/>
  <c r="A3" i="8"/>
  <c r="A4" i="8"/>
  <c r="AV25" i="8"/>
  <c r="AT25" i="8" s="1"/>
  <c r="AR25" i="8" s="1"/>
  <c r="AP25" i="8" s="1"/>
  <c r="AN25" i="8" s="1"/>
  <c r="AL25" i="8" s="1"/>
  <c r="AJ25" i="8" s="1"/>
  <c r="AH25" i="8" s="1"/>
  <c r="AW25" i="8"/>
  <c r="AU25" i="8" s="1"/>
  <c r="AS25" i="8" s="1"/>
  <c r="AQ25" i="8" s="1"/>
  <c r="AO25" i="8" s="1"/>
  <c r="AM25" i="8" s="1"/>
  <c r="AK25" i="8" s="1"/>
  <c r="AI25" i="8" s="1"/>
  <c r="A1" i="18"/>
  <c r="A2" i="18"/>
  <c r="A3" i="4"/>
  <c r="A4" i="4"/>
  <c r="B29" i="4"/>
  <c r="B30" i="4"/>
  <c r="B39" i="4"/>
  <c r="B40" i="4"/>
  <c r="B41" i="4"/>
  <c r="B45" i="4"/>
  <c r="B46" i="4"/>
  <c r="B47" i="4"/>
  <c r="H47" i="4"/>
  <c r="J47" i="4"/>
  <c r="B48" i="4"/>
  <c r="B49" i="4"/>
  <c r="B60" i="4"/>
  <c r="B61" i="4"/>
  <c r="B62" i="4"/>
  <c r="B63" i="4"/>
  <c r="B64" i="4"/>
  <c r="H66" i="4"/>
  <c r="J66" i="4"/>
  <c r="B67" i="4"/>
  <c r="F67" i="4"/>
  <c r="I67" i="4"/>
  <c r="H67" i="4" s="1"/>
  <c r="J67" i="4"/>
  <c r="H68" i="4"/>
  <c r="J68" i="4"/>
  <c r="B72" i="4"/>
  <c r="H78" i="4"/>
  <c r="J78" i="4"/>
  <c r="B79" i="4"/>
  <c r="H79" i="4"/>
  <c r="J79" i="4"/>
  <c r="H82" i="4"/>
  <c r="J82" i="4"/>
  <c r="H83" i="4"/>
  <c r="J83" i="4"/>
  <c r="H84" i="4"/>
  <c r="J84" i="4"/>
  <c r="B87" i="4"/>
  <c r="B89" i="4"/>
  <c r="C89" i="4"/>
  <c r="B90" i="4"/>
  <c r="C90" i="4"/>
  <c r="B91" i="4"/>
  <c r="C91" i="4"/>
  <c r="B92" i="4"/>
  <c r="C92" i="4"/>
  <c r="B93" i="4"/>
  <c r="C93" i="4"/>
  <c r="B94" i="4"/>
  <c r="C94" i="4"/>
  <c r="B96" i="4"/>
  <c r="B97" i="4"/>
  <c r="C97" i="4"/>
  <c r="R97" i="4"/>
  <c r="B98" i="4"/>
  <c r="B100" i="4"/>
  <c r="H100" i="4"/>
  <c r="J100" i="4"/>
  <c r="B101" i="4"/>
  <c r="R110" i="4"/>
  <c r="R111" i="4"/>
  <c r="H113" i="4"/>
  <c r="J113" i="4"/>
  <c r="H114" i="4"/>
  <c r="J114" i="4"/>
  <c r="B115" i="4"/>
  <c r="B116" i="4"/>
  <c r="B118" i="4"/>
  <c r="B119" i="4"/>
  <c r="J119" i="4"/>
  <c r="B120" i="4"/>
  <c r="S121" i="4"/>
  <c r="T121" i="4"/>
  <c r="B122" i="4"/>
  <c r="H122" i="4"/>
  <c r="J122" i="4"/>
  <c r="B129" i="4"/>
  <c r="B130" i="4"/>
  <c r="B131" i="4"/>
  <c r="B132" i="4"/>
  <c r="B133" i="4"/>
  <c r="D133" i="4"/>
  <c r="F133" i="4"/>
  <c r="N133" i="4"/>
  <c r="B139" i="4"/>
  <c r="F139" i="4"/>
  <c r="N139" i="4"/>
  <c r="B143" i="4"/>
  <c r="B145" i="4"/>
  <c r="Q88" i="4"/>
  <c r="R88" i="4" s="1"/>
  <c r="Q50" i="4"/>
  <c r="R50" i="4" s="1"/>
  <c r="T50" i="4" s="1"/>
  <c r="Q51" i="4"/>
  <c r="R51" i="4" s="1"/>
  <c r="T51" i="4"/>
  <c r="A88" i="4"/>
  <c r="C88" i="4"/>
  <c r="O20" i="4"/>
  <c r="Q42" i="4"/>
  <c r="R42" i="4" s="1"/>
  <c r="E80" i="4"/>
  <c r="H136" i="4"/>
  <c r="E77" i="8"/>
  <c r="C77" i="8" s="1"/>
  <c r="P131" i="4"/>
  <c r="A131" i="4" s="1"/>
  <c r="G55" i="8"/>
  <c r="AA55" i="8" s="1"/>
  <c r="G62" i="8"/>
  <c r="F62" i="8" s="1"/>
  <c r="D62" i="8" s="1"/>
  <c r="G63" i="8"/>
  <c r="AA63" i="8" s="1"/>
  <c r="G77" i="8"/>
  <c r="Q37" i="4"/>
  <c r="R37" i="4" s="1"/>
  <c r="Q32" i="4"/>
  <c r="R32" i="4" s="1"/>
  <c r="D8" i="18"/>
  <c r="Q56" i="4"/>
  <c r="R56" i="4" s="1"/>
  <c r="E8" i="18"/>
  <c r="C29" i="4"/>
  <c r="G27" i="8"/>
  <c r="G36" i="8" s="1"/>
  <c r="H36" i="8" s="1"/>
  <c r="I36" i="8" s="1"/>
  <c r="F69" i="4" s="1"/>
  <c r="G26" i="8"/>
  <c r="Q59" i="4"/>
  <c r="R59" i="4" s="1"/>
  <c r="T59" i="4" s="1"/>
  <c r="Q69" i="4"/>
  <c r="R69" i="4" s="1"/>
  <c r="Q70" i="4"/>
  <c r="R70" i="4" s="1"/>
  <c r="C37" i="4"/>
  <c r="Q13" i="4"/>
  <c r="R13" i="4" s="1"/>
  <c r="C31" i="4"/>
  <c r="C49" i="4"/>
  <c r="C56" i="4"/>
  <c r="C69" i="4"/>
  <c r="C70" i="4"/>
  <c r="C71" i="4"/>
  <c r="A53" i="4"/>
  <c r="C53" i="4"/>
  <c r="A55" i="4"/>
  <c r="C55" i="4"/>
  <c r="C43" i="4"/>
  <c r="A32" i="4"/>
  <c r="C32" i="4"/>
  <c r="D36" i="4" s="1"/>
  <c r="C42" i="4"/>
  <c r="A65" i="4"/>
  <c r="C65" i="4"/>
  <c r="A42" i="4"/>
  <c r="P137" i="4"/>
  <c r="C137" i="4" s="1"/>
  <c r="C31" i="18"/>
  <c r="D31" i="18" s="1"/>
  <c r="E14" i="38"/>
  <c r="G14" i="38" s="1"/>
  <c r="D205" i="39"/>
  <c r="D268" i="39"/>
  <c r="D287" i="39" s="1"/>
  <c r="D337" i="39" s="1"/>
  <c r="D358" i="39" s="1"/>
  <c r="D392" i="39" s="1"/>
  <c r="E31" i="43"/>
  <c r="G31" i="43" s="1"/>
  <c r="G16" i="43"/>
  <c r="E32" i="38"/>
  <c r="G32" i="38" s="1"/>
  <c r="C12" i="38"/>
  <c r="D13" i="38"/>
  <c r="E17" i="38"/>
  <c r="G17" i="38" s="1"/>
  <c r="D29" i="38"/>
  <c r="E29" i="38" s="1"/>
  <c r="G29" i="38" s="1"/>
  <c r="D31" i="38"/>
  <c r="E31" i="38" s="1"/>
  <c r="G31" i="38" s="1"/>
  <c r="D33" i="38"/>
  <c r="E33" i="38" s="1"/>
  <c r="G33" i="38" s="1"/>
  <c r="J15" i="42"/>
  <c r="L15" i="42" s="1"/>
  <c r="L14" i="42" s="1"/>
  <c r="N14" i="42" s="1"/>
  <c r="P14" i="42" s="1"/>
  <c r="D325" i="39"/>
  <c r="D244" i="39"/>
  <c r="D256" i="39"/>
  <c r="D273" i="39" s="1"/>
  <c r="D296" i="39" s="1"/>
  <c r="D297" i="39" s="1"/>
  <c r="D345" i="39" s="1"/>
  <c r="D366" i="39" s="1"/>
  <c r="Q87" i="4" l="1"/>
  <c r="R87" i="4" s="1"/>
  <c r="N22" i="42"/>
  <c r="P22" i="42" s="1"/>
  <c r="C27" i="4"/>
  <c r="D34" i="4" s="1"/>
  <c r="C87" i="4"/>
  <c r="C83" i="4"/>
  <c r="M329" i="9"/>
  <c r="A106" i="4"/>
  <c r="Q31" i="4"/>
  <c r="C26" i="38"/>
  <c r="F35" i="38"/>
  <c r="G35" i="38" s="1"/>
  <c r="AA21" i="8"/>
  <c r="E21" i="8" s="1"/>
  <c r="C21" i="8" s="1"/>
  <c r="N24" i="42"/>
  <c r="P24" i="42" s="1"/>
  <c r="D201" i="39"/>
  <c r="J329" i="9"/>
  <c r="D12" i="38"/>
  <c r="G37" i="38"/>
  <c r="Q83" i="4"/>
  <c r="R83" i="4" s="1"/>
  <c r="B9" i="18"/>
  <c r="E28" i="18" s="1"/>
  <c r="H28" i="18" s="1"/>
  <c r="N30" i="42"/>
  <c r="P30" i="42" s="1"/>
  <c r="G296" i="37"/>
  <c r="D12" i="43"/>
  <c r="Q77" i="4"/>
  <c r="R77" i="4" s="1"/>
  <c r="L21" i="42"/>
  <c r="L20" i="42" s="1"/>
  <c r="N20" i="42" s="1"/>
  <c r="P20" i="42" s="1"/>
  <c r="F63" i="8"/>
  <c r="D63" i="8" s="1"/>
  <c r="Q25" i="4"/>
  <c r="R25" i="4" s="1"/>
  <c r="N26" i="42"/>
  <c r="P26" i="42" s="1"/>
  <c r="E196" i="37"/>
  <c r="G196" i="37" s="1"/>
  <c r="R31" i="4"/>
  <c r="N32" i="42"/>
  <c r="P32" i="42" s="1"/>
  <c r="A25" i="4"/>
  <c r="C11" i="38"/>
  <c r="C43" i="38" s="1"/>
  <c r="N16" i="42"/>
  <c r="P16" i="42" s="1"/>
  <c r="C106" i="4"/>
  <c r="L19" i="42"/>
  <c r="L18" i="42" s="1"/>
  <c r="N18" i="42" s="1"/>
  <c r="P18" i="42" s="1"/>
  <c r="E55" i="8"/>
  <c r="C55" i="8" s="1"/>
  <c r="H27" i="8"/>
  <c r="I27" i="8" s="1"/>
  <c r="F59" i="4" s="1"/>
  <c r="E59" i="4" s="1"/>
  <c r="D25" i="43"/>
  <c r="E25" i="43" s="1"/>
  <c r="G25" i="43" s="1"/>
  <c r="E28" i="38"/>
  <c r="E26" i="38" s="1"/>
  <c r="C131" i="4"/>
  <c r="R131" i="4"/>
  <c r="E33" i="43"/>
  <c r="D26" i="43"/>
  <c r="F44" i="43"/>
  <c r="F44" i="38"/>
  <c r="D17" i="36"/>
  <c r="E17" i="36" s="1"/>
  <c r="D20" i="36"/>
  <c r="E20" i="36" s="1"/>
  <c r="D239" i="39"/>
  <c r="C26" i="43"/>
  <c r="C43" i="43" s="1"/>
  <c r="J13" i="42"/>
  <c r="L13" i="42" s="1"/>
  <c r="L12" i="42" s="1"/>
  <c r="N12" i="42" s="1"/>
  <c r="P12" i="42" s="1"/>
  <c r="E25" i="38"/>
  <c r="G25" i="38" s="1"/>
  <c r="L288" i="9"/>
  <c r="L289" i="9" s="1"/>
  <c r="L290" i="9" s="1"/>
  <c r="L291" i="9" s="1"/>
  <c r="L292" i="9" s="1"/>
  <c r="C117" i="4"/>
  <c r="N34" i="42"/>
  <c r="G37" i="8"/>
  <c r="H37" i="8" s="1"/>
  <c r="I37" i="8" s="1"/>
  <c r="F70" i="4" s="1"/>
  <c r="E70" i="4" s="1"/>
  <c r="Q117" i="4"/>
  <c r="R117" i="4" s="1"/>
  <c r="D164" i="39"/>
  <c r="D165" i="39" s="1"/>
  <c r="F43" i="43"/>
  <c r="F55" i="8"/>
  <c r="D55" i="8" s="1"/>
  <c r="D18" i="36"/>
  <c r="E18" i="36" s="1"/>
  <c r="D19" i="36"/>
  <c r="E19" i="36" s="1"/>
  <c r="C36" i="4"/>
  <c r="R57" i="4"/>
  <c r="T57" i="4" s="1"/>
  <c r="G34" i="38"/>
  <c r="K300" i="9"/>
  <c r="K301" i="9" s="1"/>
  <c r="K302" i="9" s="1"/>
  <c r="K303" i="9" s="1"/>
  <c r="N28" i="42"/>
  <c r="P28" i="42" s="1"/>
  <c r="D396" i="39"/>
  <c r="D367" i="39"/>
  <c r="C107" i="4"/>
  <c r="A107" i="4"/>
  <c r="R107" i="4"/>
  <c r="A72" i="4"/>
  <c r="C72" i="4"/>
  <c r="Q72" i="4"/>
  <c r="R72" i="4" s="1"/>
  <c r="G13" i="43"/>
  <c r="G12" i="43" s="1"/>
  <c r="E12" i="43"/>
  <c r="C33" i="18"/>
  <c r="G12" i="36"/>
  <c r="G22" i="36" s="1"/>
  <c r="D379" i="39"/>
  <c r="D351" i="39"/>
  <c r="AB26" i="8"/>
  <c r="E26" i="8"/>
  <c r="F26" i="8"/>
  <c r="AG26" i="8" s="1"/>
  <c r="AA26" i="8"/>
  <c r="A30" i="4"/>
  <c r="C30" i="4"/>
  <c r="D23" i="38"/>
  <c r="D11" i="38" s="1"/>
  <c r="N43" i="42"/>
  <c r="E13" i="38"/>
  <c r="H21" i="8"/>
  <c r="I21" i="8" s="1"/>
  <c r="H77" i="8"/>
  <c r="I77" i="8" s="1"/>
  <c r="F134" i="4" s="1"/>
  <c r="Q116" i="4"/>
  <c r="R116" i="4" s="1"/>
  <c r="C116" i="4"/>
  <c r="F34" i="30"/>
  <c r="I6" i="142" s="1"/>
  <c r="J6" i="142" s="1"/>
  <c r="C118" i="4"/>
  <c r="Q118" i="4"/>
  <c r="R118" i="4" s="1"/>
  <c r="AB63" i="8"/>
  <c r="E63" i="8"/>
  <c r="C30" i="18"/>
  <c r="D28" i="18"/>
  <c r="A137" i="4"/>
  <c r="Q137" i="4"/>
  <c r="R137" i="4" s="1"/>
  <c r="A118" i="4"/>
  <c r="AB62" i="8"/>
  <c r="E62" i="8"/>
  <c r="AA62" i="8"/>
  <c r="A34" i="4"/>
  <c r="Q34" i="4"/>
  <c r="R34" i="4" s="1"/>
  <c r="C34" i="4"/>
  <c r="D34" i="43"/>
  <c r="E38" i="43"/>
  <c r="G159" i="37"/>
  <c r="E160" i="37"/>
  <c r="D26" i="38"/>
  <c r="E69" i="4"/>
  <c r="AB55" i="8"/>
  <c r="D317" i="39"/>
  <c r="Q76" i="4"/>
  <c r="R76" i="4" s="1"/>
  <c r="P127" i="4"/>
  <c r="E22" i="38"/>
  <c r="G22" i="38" s="1"/>
  <c r="A27" i="4"/>
  <c r="Q43" i="4"/>
  <c r="R43" i="4" s="1"/>
  <c r="E244" i="37"/>
  <c r="D323" i="39"/>
  <c r="G17" i="140" l="1"/>
  <c r="R17" i="140" s="1"/>
  <c r="D127" i="4"/>
  <c r="F34" i="38"/>
  <c r="F43" i="38" s="1"/>
  <c r="G28" i="18"/>
  <c r="E13" i="18"/>
  <c r="E15" i="18" s="1"/>
  <c r="E29" i="18"/>
  <c r="G29" i="18" s="1"/>
  <c r="E30" i="18"/>
  <c r="E32" i="18" s="1"/>
  <c r="E33" i="18" s="1"/>
  <c r="E11" i="43"/>
  <c r="G28" i="38"/>
  <c r="G26" i="38" s="1"/>
  <c r="G11" i="43"/>
  <c r="D11" i="43"/>
  <c r="D43" i="43" s="1"/>
  <c r="P34" i="42"/>
  <c r="O45" i="42"/>
  <c r="Q45" i="42" s="1"/>
  <c r="D22" i="36"/>
  <c r="P141" i="4" s="1"/>
  <c r="O41" i="42"/>
  <c r="Q41" i="42" s="1"/>
  <c r="D254" i="39"/>
  <c r="D255" i="39" s="1"/>
  <c r="D271" i="39"/>
  <c r="D290" i="39" s="1"/>
  <c r="E14" i="18"/>
  <c r="H13" i="18"/>
  <c r="H20" i="18"/>
  <c r="E23" i="38"/>
  <c r="G23" i="38" s="1"/>
  <c r="H55" i="8"/>
  <c r="I55" i="8" s="1"/>
  <c r="F100" i="4" s="1"/>
  <c r="E22" i="36"/>
  <c r="Q141" i="4" s="1"/>
  <c r="R141" i="4" s="1"/>
  <c r="G33" i="43"/>
  <c r="G26" i="43" s="1"/>
  <c r="E26" i="43"/>
  <c r="F45" i="4"/>
  <c r="E45" i="4" s="1"/>
  <c r="T21" i="8"/>
  <c r="P16" i="4"/>
  <c r="R146" i="4"/>
  <c r="P146" i="4" s="1"/>
  <c r="G13" i="38"/>
  <c r="G12" i="38" s="1"/>
  <c r="E12" i="38"/>
  <c r="D381" i="39"/>
  <c r="D318" i="39"/>
  <c r="C62" i="8"/>
  <c r="H62" i="8" s="1"/>
  <c r="I62" i="8" s="1"/>
  <c r="F119" i="4" s="1"/>
  <c r="P15" i="4"/>
  <c r="E134" i="4"/>
  <c r="P134" i="4"/>
  <c r="D33" i="18"/>
  <c r="E16" i="18"/>
  <c r="E17" i="18"/>
  <c r="E18" i="18" s="1"/>
  <c r="I28" i="18"/>
  <c r="AF26" i="8"/>
  <c r="H26" i="8"/>
  <c r="I26" i="8" s="1"/>
  <c r="C63" i="8"/>
  <c r="H63" i="8" s="1"/>
  <c r="I63" i="8" s="1"/>
  <c r="G38" i="43"/>
  <c r="G34" i="43" s="1"/>
  <c r="E34" i="43"/>
  <c r="G244" i="37"/>
  <c r="E245" i="37"/>
  <c r="G245" i="37" s="1"/>
  <c r="D43" i="38"/>
  <c r="A127" i="4"/>
  <c r="C127" i="4"/>
  <c r="R127" i="4"/>
  <c r="E161" i="37"/>
  <c r="G161" i="37" s="1"/>
  <c r="G160" i="37"/>
  <c r="C32" i="18"/>
  <c r="D30" i="18"/>
  <c r="G30" i="18" s="1"/>
  <c r="I21" i="142" l="1"/>
  <c r="J21" i="142" s="1"/>
  <c r="K21" i="142" s="1"/>
  <c r="I22" i="142"/>
  <c r="J22" i="142" s="1"/>
  <c r="K22" i="142" s="1"/>
  <c r="I18" i="142"/>
  <c r="J18" i="142" s="1"/>
  <c r="K18" i="142" s="1"/>
  <c r="R18" i="142"/>
  <c r="I31" i="142"/>
  <c r="K31" i="142" s="1"/>
  <c r="I32" i="142"/>
  <c r="K32" i="142" s="1"/>
  <c r="E31" i="18"/>
  <c r="G31" i="18" s="1"/>
  <c r="G33" i="18"/>
  <c r="G11" i="38"/>
  <c r="G43" i="38" s="1"/>
  <c r="G46" i="38" s="1"/>
  <c r="F108" i="4"/>
  <c r="G322" i="37"/>
  <c r="G43" i="43"/>
  <c r="G46" i="43" s="1"/>
  <c r="E11" i="38"/>
  <c r="E43" i="38" s="1"/>
  <c r="E43" i="43"/>
  <c r="D341" i="39"/>
  <c r="D291" i="39"/>
  <c r="F102" i="4"/>
  <c r="F120" i="4"/>
  <c r="F103" i="4"/>
  <c r="H34" i="18"/>
  <c r="G34" i="18"/>
  <c r="D32" i="18"/>
  <c r="G32" i="18" s="1"/>
  <c r="R134" i="4"/>
  <c r="A134" i="4"/>
  <c r="C134" i="4"/>
  <c r="Q146" i="4"/>
  <c r="Q16" i="4"/>
  <c r="R16" i="4" s="1"/>
  <c r="E108" i="4"/>
  <c r="P108" i="4"/>
  <c r="E100" i="4"/>
  <c r="T100" i="4"/>
  <c r="J55" i="8"/>
  <c r="T55" i="8" s="1"/>
  <c r="J11" i="8"/>
  <c r="P114" i="4"/>
  <c r="G42" i="8"/>
  <c r="J65" i="8"/>
  <c r="J70" i="8"/>
  <c r="J69" i="8"/>
  <c r="J66" i="8"/>
  <c r="P74" i="4"/>
  <c r="G40" i="8"/>
  <c r="P14" i="4"/>
  <c r="P85" i="4"/>
  <c r="J68" i="8"/>
  <c r="J64" i="8"/>
  <c r="Q15" i="4"/>
  <c r="D342" i="39" l="1"/>
  <c r="D361" i="39"/>
  <c r="R108" i="4"/>
  <c r="A108" i="4"/>
  <c r="C108" i="4"/>
  <c r="Q85" i="4"/>
  <c r="R85" i="4" s="1"/>
  <c r="AB42" i="8"/>
  <c r="F42" i="8" s="1"/>
  <c r="D42" i="8" s="1"/>
  <c r="AA42" i="8"/>
  <c r="E42" i="8" s="1"/>
  <c r="A114" i="4"/>
  <c r="C114" i="4"/>
  <c r="Q114" i="4"/>
  <c r="R114" i="4" s="1"/>
  <c r="Q14" i="4"/>
  <c r="R14" i="4" s="1"/>
  <c r="AA40" i="8"/>
  <c r="E40" i="8" s="1"/>
  <c r="AB40" i="8"/>
  <c r="F40" i="8" s="1"/>
  <c r="D40" i="8" s="1"/>
  <c r="A74" i="4"/>
  <c r="Q74" i="4"/>
  <c r="R74" i="4" s="1"/>
  <c r="C74" i="4"/>
  <c r="R15" i="4"/>
  <c r="D393" i="39" l="1"/>
  <c r="D362" i="39"/>
  <c r="D394" i="39" s="1"/>
  <c r="C40" i="8"/>
  <c r="H40" i="8" s="1"/>
  <c r="I40" i="8" s="1"/>
  <c r="F79" i="4" s="1"/>
  <c r="C42" i="8"/>
  <c r="H42" i="8" s="1"/>
  <c r="I42" i="8" s="1"/>
  <c r="K120" i="4"/>
  <c r="J120" i="4" s="1"/>
  <c r="K136" i="4"/>
  <c r="I119" i="4"/>
  <c r="I120" i="4"/>
  <c r="F83" i="4" l="1"/>
  <c r="F84" i="4"/>
  <c r="E79" i="4"/>
  <c r="P79" i="4"/>
  <c r="H120" i="4"/>
  <c r="E120" i="4" s="1"/>
  <c r="P120" i="4"/>
  <c r="P119" i="4"/>
  <c r="H119" i="4"/>
  <c r="E119" i="4"/>
  <c r="Q120" i="4" l="1"/>
  <c r="R120" i="4" s="1"/>
  <c r="Q119" i="4"/>
  <c r="R119" i="4" s="1"/>
  <c r="A79" i="4"/>
  <c r="C79" i="4"/>
  <c r="Q79" i="4"/>
  <c r="R79" i="4" s="1"/>
  <c r="E84" i="4"/>
  <c r="P84" i="4"/>
  <c r="Q84" i="4" l="1"/>
  <c r="R84" i="4" s="1"/>
  <c r="G27" i="30" l="1"/>
  <c r="G24" i="30" l="1"/>
  <c r="G25" i="30" l="1"/>
  <c r="D19" i="30" l="1"/>
  <c r="E19" i="30" s="1"/>
  <c r="G19" i="30" s="1"/>
  <c r="D18" i="30" l="1"/>
  <c r="E18" i="30" s="1"/>
  <c r="G18" i="30" s="1"/>
  <c r="D16" i="30" l="1"/>
  <c r="E16" i="30" s="1"/>
  <c r="G16" i="30" s="1"/>
  <c r="D15" i="30" l="1"/>
  <c r="E15" i="30" s="1"/>
  <c r="G15" i="30" s="1"/>
  <c r="G23" i="30" l="1"/>
  <c r="D13" i="30" l="1"/>
  <c r="E13" i="30" s="1"/>
  <c r="G13" i="30" s="1"/>
  <c r="D17" i="30" l="1"/>
  <c r="E17" i="30" s="1"/>
  <c r="G17" i="30" s="1"/>
  <c r="D11" i="30" l="1"/>
  <c r="E11" i="30" l="1"/>
  <c r="G11" i="30" l="1"/>
  <c r="D14" i="30" l="1"/>
  <c r="E14" i="30" s="1"/>
  <c r="G14" i="30" s="1"/>
  <c r="D12" i="30" l="1"/>
  <c r="D34" i="30" s="1"/>
  <c r="P12" i="4"/>
  <c r="P100" i="4" l="1"/>
  <c r="U57" i="4"/>
  <c r="P98" i="4"/>
  <c r="P138" i="4"/>
  <c r="G25" i="8"/>
  <c r="G69" i="8"/>
  <c r="G22" i="8"/>
  <c r="G68" i="8"/>
  <c r="R12" i="4"/>
  <c r="U58" i="4"/>
  <c r="P139" i="4"/>
  <c r="P80" i="4"/>
  <c r="P11" i="4"/>
  <c r="G65" i="8"/>
  <c r="G41" i="8"/>
  <c r="G35" i="8"/>
  <c r="Q12" i="4"/>
  <c r="Q11" i="4" s="1"/>
  <c r="P113" i="4"/>
  <c r="G70" i="8"/>
  <c r="G64" i="8"/>
  <c r="S83" i="4"/>
  <c r="G33" i="8"/>
  <c r="P112" i="4"/>
  <c r="G66" i="8"/>
  <c r="G39" i="8"/>
  <c r="G11" i="8"/>
  <c r="E12" i="30"/>
  <c r="E34" i="30" s="1"/>
  <c r="E66" i="8" l="1"/>
  <c r="AA66" i="8"/>
  <c r="AB66" i="8"/>
  <c r="F66" i="8"/>
  <c r="D66" i="8" s="1"/>
  <c r="F33" i="8"/>
  <c r="D33" i="8" s="1"/>
  <c r="E33" i="8"/>
  <c r="AB33" i="8"/>
  <c r="AA33" i="8"/>
  <c r="AA64" i="8"/>
  <c r="AB64" i="8"/>
  <c r="F64" i="8"/>
  <c r="D64" i="8" s="1"/>
  <c r="E64" i="8"/>
  <c r="C80" i="4"/>
  <c r="R80" i="4"/>
  <c r="Q80" i="4"/>
  <c r="A80" i="4"/>
  <c r="F41" i="8"/>
  <c r="D41" i="8" s="1"/>
  <c r="AB41" i="8"/>
  <c r="AA41" i="8"/>
  <c r="E41" i="8"/>
  <c r="AA39" i="8"/>
  <c r="AB39" i="8"/>
  <c r="E39" i="8"/>
  <c r="F39" i="8"/>
  <c r="D39" i="8" s="1"/>
  <c r="E70" i="8"/>
  <c r="F70" i="8"/>
  <c r="D70" i="8" s="1"/>
  <c r="AB70" i="8"/>
  <c r="AA70" i="8"/>
  <c r="AB68" i="8"/>
  <c r="AA68" i="8"/>
  <c r="E68" i="8"/>
  <c r="F68" i="8"/>
  <c r="D68" i="8" s="1"/>
  <c r="Q139" i="4"/>
  <c r="R139" i="4" s="1"/>
  <c r="C139" i="4"/>
  <c r="A139" i="4"/>
  <c r="E22" i="8"/>
  <c r="D22" i="8"/>
  <c r="C22" i="8"/>
  <c r="F22" i="8"/>
  <c r="AB69" i="8"/>
  <c r="F69" i="8"/>
  <c r="D69" i="8" s="1"/>
  <c r="AA69" i="8"/>
  <c r="E69" i="8"/>
  <c r="AA11" i="8"/>
  <c r="F11" i="8"/>
  <c r="D11" i="8" s="1"/>
  <c r="E11" i="8"/>
  <c r="AB11" i="8"/>
  <c r="AA25" i="8"/>
  <c r="AB25" i="8"/>
  <c r="E25" i="8"/>
  <c r="F25" i="8"/>
  <c r="AG25" i="8" s="1"/>
  <c r="D25" i="8" s="1"/>
  <c r="AA65" i="8"/>
  <c r="F65" i="8"/>
  <c r="D65" i="8" s="1"/>
  <c r="AB65" i="8"/>
  <c r="E65" i="8"/>
  <c r="R11" i="4"/>
  <c r="O11" i="4"/>
  <c r="Q138" i="4"/>
  <c r="C138" i="4"/>
  <c r="A138" i="4"/>
  <c r="R138" i="4"/>
  <c r="A113" i="4"/>
  <c r="C113" i="4"/>
  <c r="R113" i="4"/>
  <c r="Q113" i="4"/>
  <c r="A98" i="4"/>
  <c r="Q98" i="4"/>
  <c r="R98" i="4"/>
  <c r="C98" i="4"/>
  <c r="A112" i="4"/>
  <c r="Q112" i="4"/>
  <c r="C112" i="4"/>
  <c r="R112" i="4"/>
  <c r="G12" i="30"/>
  <c r="G10" i="30" s="1"/>
  <c r="F35" i="8"/>
  <c r="D35" i="8" s="1"/>
  <c r="AA35" i="8"/>
  <c r="AB35" i="8"/>
  <c r="E35" i="8"/>
  <c r="R100" i="4"/>
  <c r="A100" i="4"/>
  <c r="Q100" i="4"/>
  <c r="C100" i="4"/>
  <c r="M6" i="142" l="1"/>
  <c r="G16" i="140"/>
  <c r="AF25" i="8"/>
  <c r="C25" i="8" s="1"/>
  <c r="H25" i="8"/>
  <c r="I25" i="8" s="1"/>
  <c r="F58" i="4" s="1"/>
  <c r="C11" i="8"/>
  <c r="H11" i="8"/>
  <c r="I11" i="8" s="1"/>
  <c r="C35" i="8"/>
  <c r="H35" i="8"/>
  <c r="I35" i="8" s="1"/>
  <c r="C69" i="8"/>
  <c r="H69" i="8"/>
  <c r="I69" i="8" s="1"/>
  <c r="H39" i="8"/>
  <c r="I39" i="8" s="1"/>
  <c r="F78" i="4" s="1"/>
  <c r="C39" i="8"/>
  <c r="H64" i="8"/>
  <c r="I64" i="8" s="1"/>
  <c r="C64" i="8"/>
  <c r="H22" i="8"/>
  <c r="I22" i="8" s="1"/>
  <c r="C33" i="8"/>
  <c r="H33" i="8"/>
  <c r="I33" i="8" s="1"/>
  <c r="F66" i="4" s="1"/>
  <c r="A24" i="4"/>
  <c r="O14" i="4"/>
  <c r="A140" i="4"/>
  <c r="O146" i="4"/>
  <c r="A149" i="4"/>
  <c r="A150" i="4"/>
  <c r="A20" i="4"/>
  <c r="A23" i="4"/>
  <c r="A99" i="4"/>
  <c r="O15" i="4"/>
  <c r="C70" i="8"/>
  <c r="H70" i="8"/>
  <c r="I70" i="8" s="1"/>
  <c r="C65" i="8"/>
  <c r="H65" i="8"/>
  <c r="I65" i="8" s="1"/>
  <c r="P109" i="4"/>
  <c r="P73" i="4"/>
  <c r="P75" i="4"/>
  <c r="P104" i="4"/>
  <c r="S73" i="4"/>
  <c r="T73" i="4" s="1"/>
  <c r="H41" i="8"/>
  <c r="I41" i="8" s="1"/>
  <c r="F82" i="4" s="1"/>
  <c r="C41" i="8"/>
  <c r="C68" i="8"/>
  <c r="H68" i="8"/>
  <c r="I68" i="8" s="1"/>
  <c r="H66" i="8"/>
  <c r="I66" i="8" s="1"/>
  <c r="C66" i="8"/>
  <c r="R16" i="140" l="1"/>
  <c r="O17" i="140"/>
  <c r="O18" i="140" s="1"/>
  <c r="I30" i="142"/>
  <c r="K30" i="142" s="1"/>
  <c r="R14" i="142"/>
  <c r="M14" i="142" s="1"/>
  <c r="F14" i="142" s="1"/>
  <c r="I14" i="142" s="1"/>
  <c r="I24" i="142"/>
  <c r="R37" i="142"/>
  <c r="M37" i="142" s="1"/>
  <c r="F37" i="142" s="1"/>
  <c r="I37" i="142" s="1"/>
  <c r="K37" i="142" s="1"/>
  <c r="R20" i="142"/>
  <c r="M20" i="142" s="1"/>
  <c r="F20" i="142" s="1"/>
  <c r="I20" i="142" s="1"/>
  <c r="R38" i="142"/>
  <c r="M38" i="142" s="1"/>
  <c r="F38" i="142" s="1"/>
  <c r="I38" i="142" s="1"/>
  <c r="K38" i="142" s="1"/>
  <c r="M5" i="142"/>
  <c r="R15" i="142"/>
  <c r="M15" i="142" s="1"/>
  <c r="F15" i="142" s="1"/>
  <c r="I15" i="142" s="1"/>
  <c r="J15" i="142" s="1"/>
  <c r="K15" i="142" s="1"/>
  <c r="R16" i="142"/>
  <c r="M16" i="142" s="1"/>
  <c r="F16" i="142" s="1"/>
  <c r="I16" i="142" s="1"/>
  <c r="J16" i="142" s="1"/>
  <c r="K16" i="142" s="1"/>
  <c r="I29" i="142"/>
  <c r="K29" i="142" s="1"/>
  <c r="R17" i="142"/>
  <c r="M17" i="142" s="1"/>
  <c r="F17" i="142" s="1"/>
  <c r="I17" i="142" s="1"/>
  <c r="J17" i="142" s="1"/>
  <c r="K17" i="142" s="1"/>
  <c r="R7" i="142"/>
  <c r="E66" i="4"/>
  <c r="P66" i="4"/>
  <c r="A35" i="4"/>
  <c r="C35" i="4" s="1"/>
  <c r="A85" i="4"/>
  <c r="C85" i="4" s="1"/>
  <c r="A57" i="4"/>
  <c r="C57" i="4" s="1"/>
  <c r="A44" i="4"/>
  <c r="C44" i="4" s="1"/>
  <c r="A33" i="4"/>
  <c r="C33" i="4" s="1"/>
  <c r="A28" i="4"/>
  <c r="A84" i="4"/>
  <c r="C84" i="4" s="1"/>
  <c r="F128" i="4"/>
  <c r="T70" i="8"/>
  <c r="E78" i="4"/>
  <c r="P78" i="4"/>
  <c r="T69" i="8"/>
  <c r="F126" i="4"/>
  <c r="T68" i="8"/>
  <c r="F125" i="4"/>
  <c r="F50" i="4"/>
  <c r="F46" i="4"/>
  <c r="G34" i="30"/>
  <c r="I34" i="30" s="1"/>
  <c r="T66" i="8"/>
  <c r="F123" i="4"/>
  <c r="R104" i="4"/>
  <c r="A104" i="4"/>
  <c r="P99" i="4"/>
  <c r="O99" i="4" s="1"/>
  <c r="C104" i="4"/>
  <c r="Q104" i="4"/>
  <c r="Q99" i="4" s="1"/>
  <c r="F68" i="4"/>
  <c r="T35" i="8"/>
  <c r="C75" i="4"/>
  <c r="R75" i="4"/>
  <c r="A75" i="4"/>
  <c r="Q75" i="4"/>
  <c r="R73" i="4"/>
  <c r="Q73" i="4"/>
  <c r="C73" i="4"/>
  <c r="A73" i="4"/>
  <c r="T11" i="8"/>
  <c r="F23" i="4"/>
  <c r="A103" i="4"/>
  <c r="C103" i="4" s="1"/>
  <c r="A135" i="4"/>
  <c r="C135" i="4" s="1"/>
  <c r="A119" i="4"/>
  <c r="C119" i="4" s="1"/>
  <c r="A101" i="4"/>
  <c r="A102" i="4"/>
  <c r="C102" i="4" s="1"/>
  <c r="A120" i="4"/>
  <c r="C120" i="4" s="1"/>
  <c r="E82" i="4"/>
  <c r="S82" i="4"/>
  <c r="P82" i="4"/>
  <c r="R109" i="4"/>
  <c r="A109" i="4"/>
  <c r="C109" i="4"/>
  <c r="T64" i="8"/>
  <c r="F47" i="4"/>
  <c r="F122" i="4"/>
  <c r="T65" i="8"/>
  <c r="F105" i="4"/>
  <c r="E58" i="4"/>
  <c r="P58" i="4"/>
  <c r="J20" i="142" l="1"/>
  <c r="K20" i="142" s="1"/>
  <c r="R19" i="142"/>
  <c r="I34" i="142"/>
  <c r="K34" i="142" s="1"/>
  <c r="I40" i="142"/>
  <c r="K40" i="142" s="1"/>
  <c r="I33" i="142"/>
  <c r="K33" i="142" s="1"/>
  <c r="I19" i="142"/>
  <c r="J24" i="142"/>
  <c r="J23" i="142" s="1"/>
  <c r="I13" i="142"/>
  <c r="R13" i="142"/>
  <c r="I28" i="142"/>
  <c r="K28" i="142" s="1"/>
  <c r="J14" i="142"/>
  <c r="K14" i="142" s="1"/>
  <c r="I27" i="142"/>
  <c r="K27" i="142" s="1"/>
  <c r="R10" i="142"/>
  <c r="M10" i="142" s="1"/>
  <c r="F10" i="142" s="1"/>
  <c r="M7" i="142"/>
  <c r="K7" i="142" s="1"/>
  <c r="R9" i="142"/>
  <c r="M9" i="142" s="1"/>
  <c r="F9" i="142" s="1"/>
  <c r="R99" i="4"/>
  <c r="Q82" i="4"/>
  <c r="P96" i="4"/>
  <c r="A82" i="4"/>
  <c r="P95" i="4"/>
  <c r="P86" i="4"/>
  <c r="R82" i="4"/>
  <c r="P81" i="4"/>
  <c r="C82" i="4"/>
  <c r="E126" i="4"/>
  <c r="P126" i="4"/>
  <c r="Q78" i="4"/>
  <c r="A78" i="4"/>
  <c r="R78" i="4"/>
  <c r="C78" i="4"/>
  <c r="E47" i="4"/>
  <c r="P47" i="4"/>
  <c r="E68" i="4"/>
  <c r="P68" i="4"/>
  <c r="E125" i="4"/>
  <c r="P125" i="4"/>
  <c r="E23" i="4"/>
  <c r="P23" i="4"/>
  <c r="E46" i="4"/>
  <c r="P46" i="4"/>
  <c r="E105" i="4"/>
  <c r="P105" i="4"/>
  <c r="E122" i="4"/>
  <c r="P122" i="4"/>
  <c r="D99" i="4"/>
  <c r="C101" i="4"/>
  <c r="C28" i="4"/>
  <c r="D35" i="4" s="1"/>
  <c r="D24" i="4"/>
  <c r="A58" i="4"/>
  <c r="Q58" i="4"/>
  <c r="P54" i="4"/>
  <c r="R58" i="4"/>
  <c r="T58" i="4" s="1"/>
  <c r="C58" i="4"/>
  <c r="D54" i="4" s="1"/>
  <c r="E128" i="4"/>
  <c r="P128" i="4"/>
  <c r="E123" i="4"/>
  <c r="P123" i="4"/>
  <c r="P67" i="4"/>
  <c r="C66" i="4"/>
  <c r="D67" i="4" s="1"/>
  <c r="R66" i="4"/>
  <c r="Q66" i="4"/>
  <c r="A66" i="4"/>
  <c r="K24" i="142" l="1"/>
  <c r="K23" i="142" s="1"/>
  <c r="G20" i="140" s="1"/>
  <c r="R20" i="140" s="1"/>
  <c r="J13" i="142"/>
  <c r="K13" i="142" s="1"/>
  <c r="I8" i="142"/>
  <c r="I23" i="142"/>
  <c r="J19" i="142"/>
  <c r="J8" i="142" s="1"/>
  <c r="J41" i="142" s="1"/>
  <c r="G18" i="140"/>
  <c r="R18" i="140" s="1"/>
  <c r="A125" i="4"/>
  <c r="C125" i="4"/>
  <c r="R125" i="4"/>
  <c r="A105" i="4"/>
  <c r="C105" i="4"/>
  <c r="R105" i="4"/>
  <c r="A47" i="4"/>
  <c r="Q47" i="4"/>
  <c r="R47" i="4"/>
  <c r="C47" i="4"/>
  <c r="A46" i="4"/>
  <c r="R46" i="4"/>
  <c r="C46" i="4"/>
  <c r="Q46" i="4"/>
  <c r="P45" i="4"/>
  <c r="R68" i="4"/>
  <c r="Q68" i="4"/>
  <c r="A68" i="4"/>
  <c r="C68" i="4"/>
  <c r="R128" i="4"/>
  <c r="C128" i="4"/>
  <c r="A128" i="4"/>
  <c r="C86" i="4"/>
  <c r="Q86" i="4"/>
  <c r="R86" i="4"/>
  <c r="A86" i="4"/>
  <c r="O23" i="4"/>
  <c r="P136" i="4"/>
  <c r="R23" i="4"/>
  <c r="R95" i="4"/>
  <c r="Q95" i="4"/>
  <c r="C95" i="4"/>
  <c r="A95" i="4"/>
  <c r="C67" i="4"/>
  <c r="Q67" i="4"/>
  <c r="A67" i="4"/>
  <c r="R67" i="4"/>
  <c r="R81" i="4"/>
  <c r="A81" i="4"/>
  <c r="Q81" i="4"/>
  <c r="C81" i="4"/>
  <c r="C96" i="4"/>
  <c r="R96" i="4"/>
  <c r="A96" i="4"/>
  <c r="Q96" i="4"/>
  <c r="R126" i="4"/>
  <c r="C126" i="4"/>
  <c r="A126" i="4"/>
  <c r="D81" i="4"/>
  <c r="D96" i="4"/>
  <c r="E86" i="4"/>
  <c r="D95" i="4"/>
  <c r="Q54" i="4"/>
  <c r="R54" i="4"/>
  <c r="A54" i="4"/>
  <c r="C54" i="4"/>
  <c r="A123" i="4"/>
  <c r="C123" i="4"/>
  <c r="R123" i="4"/>
  <c r="R122" i="4"/>
  <c r="C122" i="4"/>
  <c r="A122" i="4"/>
  <c r="I41" i="142" l="1"/>
  <c r="K19" i="142"/>
  <c r="K8" i="142" s="1"/>
  <c r="C136" i="4"/>
  <c r="R136" i="4"/>
  <c r="A136" i="4"/>
  <c r="Q45" i="4"/>
  <c r="Q24" i="4" s="1"/>
  <c r="A45" i="4"/>
  <c r="R45" i="4"/>
  <c r="C45" i="4"/>
  <c r="P24" i="4"/>
  <c r="G19" i="140" l="1"/>
  <c r="R19" i="140" s="1"/>
  <c r="M8" i="142"/>
  <c r="K41" i="142"/>
  <c r="O24" i="4"/>
  <c r="P145" i="4"/>
  <c r="P140" i="4"/>
  <c r="R24" i="4"/>
  <c r="Q140" i="4"/>
  <c r="Q145" i="4"/>
  <c r="M43" i="142" l="1"/>
  <c r="N41" i="142"/>
  <c r="K42" i="142"/>
  <c r="R140" i="4"/>
  <c r="Q143" i="4"/>
  <c r="O140" i="4"/>
  <c r="P143" i="4"/>
  <c r="R145" i="4"/>
  <c r="A145" i="4"/>
  <c r="G21" i="140" l="1"/>
  <c r="R21" i="140" s="1"/>
  <c r="R13" i="140" s="1"/>
  <c r="K45" i="142"/>
  <c r="M46" i="142" s="1"/>
  <c r="N42" i="142"/>
  <c r="P150" i="4"/>
  <c r="A143" i="4"/>
  <c r="C13" i="18"/>
  <c r="R143" i="4"/>
  <c r="C14" i="18"/>
  <c r="Q150" i="4"/>
  <c r="S153" i="4"/>
  <c r="R336" i="4"/>
  <c r="K43" i="142" l="1"/>
  <c r="F43" i="142"/>
  <c r="H43" i="142" s="1"/>
  <c r="P142" i="4"/>
  <c r="O142" i="4" s="1"/>
  <c r="Q142" i="4"/>
  <c r="D14" i="18"/>
  <c r="G14" i="18" s="1"/>
  <c r="C16" i="18"/>
  <c r="C15" i="18"/>
  <c r="D13" i="18"/>
  <c r="G13" i="18" s="1"/>
  <c r="G19" i="18" s="1"/>
  <c r="P147" i="4" l="1"/>
  <c r="C17" i="18"/>
  <c r="D17" i="18" s="1"/>
  <c r="G17" i="18" s="1"/>
  <c r="D15" i="18"/>
  <c r="G15" i="18" s="1"/>
  <c r="H19" i="18" s="1"/>
  <c r="P144" i="4" s="1"/>
  <c r="D16" i="18"/>
  <c r="G16" i="18" s="1"/>
  <c r="C18" i="18"/>
  <c r="D18" i="18" s="1"/>
  <c r="G18" i="18" s="1"/>
  <c r="R142" i="4"/>
  <c r="R147" i="4" s="1"/>
  <c r="Q147" i="4"/>
  <c r="A144" i="4" l="1"/>
  <c r="R144" i="4"/>
  <c r="Q14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ĐOÀN CÔNG UẨN</author>
  </authors>
  <commentList>
    <comment ref="B161" authorId="0" shapeId="0" xr:uid="{00000000-0006-0000-0200-000001000000}">
      <text>
        <r>
          <rPr>
            <b/>
            <sz val="10"/>
            <color indexed="10"/>
            <rFont val="VNI-Aptima"/>
          </rPr>
          <t>- Coâng trình daân duïng (goïi taét laø DD) goàm:</t>
        </r>
        <r>
          <rPr>
            <sz val="10"/>
            <color indexed="81"/>
            <rFont val="VNI-Aptima"/>
          </rPr>
          <t xml:space="preserve"> nhaø ôû; coâng trình vaên hoaù; coâng trình giaùo duïc; coâng trình y teá; coâng trình thöông nghieäp; nhaø laøm vieäc; khaùch saïn, nhaø khaùch; nhaø phuïc vuï giao thoâng; nhaø phuïc vuï thoâng tin lieân laïc; thaùp thu, phaùt soùng vieãn thoâng, truyeàn thanh, truyeàn hình; saân vaän ñoäng; nhaø theå thao; coâng trình theå thao döôùi nöôùc.
</t>
        </r>
        <r>
          <rPr>
            <b/>
            <sz val="10"/>
            <color indexed="10"/>
            <rFont val="VNI-Aptima"/>
          </rPr>
          <t>- Coâng trình coâng nghieäp (goïi taét laø CN) goàm:</t>
        </r>
        <r>
          <rPr>
            <sz val="10"/>
            <color indexed="81"/>
            <rFont val="VNI-Aptima"/>
          </rPr>
          <t xml:space="preserve"> coâng trình khai thaùc than; quaëng; coâng trình khai thaùc daàu, khí ñoát; coâng trình coâng nghieäp hoaù chaát vaø hoaù daàu, cheá bieán khí; coâng trình kho xaêng, daàu, khí hoaù loûng, tuyeán oáng daãn khí, daàu; coâng trình luyeän kim; coâng trình cô khí cheá taïo; coâng nghieäp ñieän töû, tin hoïc; coâng trình naêng löôïng; coâng trình coâng nghieäp nheï; coâng trình cheá bieán thöïc phaåm; coâng trình coâng nghieäp vaät lieäu xaây döïng.          
</t>
        </r>
        <r>
          <rPr>
            <b/>
            <sz val="10"/>
            <color indexed="10"/>
            <rFont val="VNI-Aptima"/>
          </rPr>
          <t>- Coâng trình giao thoâng (goïi taét laø GT) goàm:</t>
        </r>
        <r>
          <rPr>
            <sz val="10"/>
            <color indexed="81"/>
            <rFont val="VNI-Aptima"/>
          </rPr>
          <t xml:space="preserve"> ñöôøng boä; ñöôøng saét; caàu; haàm; coâng trình ñöôøng thuyû; saân bay.  
</t>
        </r>
        <r>
          <rPr>
            <b/>
            <sz val="10"/>
            <color indexed="10"/>
            <rFont val="VNI-Aptima"/>
          </rPr>
          <t>- Coâng trình thuyû lôïi (goïi taét laø TL) goàm:</t>
        </r>
        <r>
          <rPr>
            <sz val="10"/>
            <color indexed="81"/>
            <rFont val="VNI-Aptima"/>
          </rPr>
          <t xml:space="preserve"> coâng trình hoà chöùa; coâng trình ñaäp; coâng trình thuyû noâng; coâng trình ñeâ, keø.
</t>
        </r>
        <r>
          <rPr>
            <b/>
            <sz val="10"/>
            <color indexed="10"/>
            <rFont val="VNI-Aptima"/>
          </rPr>
          <t>- Coâng trình haï taàng kyõ thuaät (goïi taét laø HTKT) goàm:</t>
        </r>
        <r>
          <rPr>
            <sz val="10"/>
            <color indexed="81"/>
            <rFont val="VNI-Aptima"/>
          </rPr>
          <t xml:space="preserve"> coâng trình caáp, thoaùt nöôùc; coâng trình xöû lyù chaát thaûi; caùp thoâng tin. 
</t>
        </r>
      </text>
    </comment>
    <comment ref="B168" authorId="0" shapeId="0" xr:uid="{00000000-0006-0000-0200-000002000000}">
      <text>
        <r>
          <rPr>
            <sz val="8"/>
            <color indexed="81"/>
            <rFont val="Tahoma"/>
            <family val="2"/>
          </rPr>
          <t xml:space="preserve">
</t>
        </r>
        <r>
          <rPr>
            <b/>
            <sz val="10"/>
            <color indexed="10"/>
            <rFont val="VNI-Aptima"/>
          </rPr>
          <t>khaùch saïn; tröôøng ñaïi hoïc quoác gia; coâng trình vaên hoaù caáp tænh, thaønh phoá, quoác gia; coâng trình töôïng ñaøi, ñaøi töôûng nieäm; beänh vieän trung öông, quoác teá; nhaø thi ñaáu theå thao coù maùi che; truï sôû laøm vieäc caáp nhaø nöôùc; trung taâm hoäi nghò quoác gia, quoác teá; thaùp truyeàn hình.</t>
        </r>
        <r>
          <rPr>
            <sz val="8"/>
            <color indexed="81"/>
            <rFont val="Tahoma"/>
            <family val="2"/>
          </rPr>
          <t xml:space="preserve">
</t>
        </r>
      </text>
    </comment>
    <comment ref="B169" authorId="0" shapeId="0" xr:uid="{00000000-0006-0000-0200-000003000000}">
      <text>
        <r>
          <rPr>
            <sz val="8"/>
            <color indexed="81"/>
            <rFont val="Tahoma"/>
            <family val="2"/>
          </rPr>
          <t xml:space="preserve">
</t>
        </r>
        <r>
          <rPr>
            <b/>
            <sz val="10"/>
            <color indexed="10"/>
            <rFont val="VNI-Aptima"/>
          </rPr>
          <t>Coâng trình ga haøng khoâng, ñaøi löu khoâng, ñaøi chæ huy</t>
        </r>
      </text>
    </comment>
    <comment ref="B170" authorId="0" shapeId="0" xr:uid="{00000000-0006-0000-0200-000004000000}">
      <text>
        <r>
          <rPr>
            <b/>
            <sz val="10"/>
            <color indexed="10"/>
            <rFont val="VNI-Aptima"/>
          </rPr>
          <t xml:space="preserve">Coâng trình ga haøng khoâng, ñaøi löu khoâng, ñaøi chæ huy
</t>
        </r>
      </text>
    </comment>
    <comment ref="B171" authorId="0" shapeId="0" xr:uid="{00000000-0006-0000-0200-000005000000}">
      <text>
        <r>
          <rPr>
            <b/>
            <sz val="10"/>
            <color indexed="10"/>
            <rFont val="VNI-Aptima"/>
          </rPr>
          <t xml:space="preserve">Coâng trình ga haøng khoâng, ñaøi löu khoâng, ñaøi chæ huy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Dat</author>
  </authors>
  <commentList>
    <comment ref="L9" authorId="0" shapeId="0" xr:uid="{0E476448-A2C0-4C43-BC08-848C42186A51}">
      <text>
        <r>
          <rPr>
            <b/>
            <sz val="15"/>
            <color indexed="81"/>
            <rFont val="Tahoma"/>
            <family val="2"/>
          </rPr>
          <t>=ROUND((I5+I6)*F9*1,15;0)</t>
        </r>
        <r>
          <rPr>
            <sz val="15"/>
            <color indexed="81"/>
            <rFont val="Tahoma"/>
            <family val="2"/>
          </rPr>
          <t xml:space="preserve">
</t>
        </r>
      </text>
    </comment>
    <comment ref="L10" authorId="0" shapeId="0" xr:uid="{9300BD73-C66A-4BBD-996A-42F3CA5D8FA7}">
      <text>
        <r>
          <rPr>
            <b/>
            <sz val="15"/>
            <color indexed="81"/>
            <rFont val="Tahoma"/>
            <family val="2"/>
          </rPr>
          <t>=ROUND(($I$5+$I$6)*F10;0)</t>
        </r>
        <r>
          <rPr>
            <sz val="15"/>
            <color indexed="81"/>
            <rFont val="Tahoma"/>
            <family val="2"/>
          </rPr>
          <t xml:space="preserve">
</t>
        </r>
      </text>
    </comment>
    <comment ref="B14" authorId="0" shapeId="0" xr:uid="{4FCFD873-D0E8-4DC0-9338-F0697BDD5455}">
      <text>
        <r>
          <rPr>
            <b/>
            <sz val="15"/>
            <color indexed="81"/>
            <rFont val="Tahoma"/>
            <family val="2"/>
          </rPr>
          <t>công trình cấp II</t>
        </r>
      </text>
    </comment>
    <comment ref="H14" authorId="0" shapeId="0" xr:uid="{DE0873C3-7E69-4F08-A9D7-124E36312F9C}">
      <text>
        <r>
          <rPr>
            <b/>
            <sz val="15"/>
            <color indexed="81"/>
            <rFont val="Tahoma"/>
            <family val="2"/>
          </rPr>
          <t>ko áp dụng hệ số điều chỉnh 1,2</t>
        </r>
      </text>
    </comment>
    <comment ref="M14" authorId="0" shapeId="0" xr:uid="{B9081880-EFFC-4E64-A0F7-A4329AEBA8F2}">
      <text>
        <r>
          <rPr>
            <b/>
            <sz val="15"/>
            <color indexed="81"/>
            <rFont val="Tahoma"/>
            <family val="2"/>
          </rPr>
          <t>công trình cấp II</t>
        </r>
      </text>
    </comment>
    <comment ref="F22" authorId="0" shapeId="0" xr:uid="{5B4747F5-C9C4-4799-977C-28D12D0552F4}">
      <text>
        <r>
          <rPr>
            <b/>
            <sz val="15"/>
            <color indexed="81"/>
            <rFont val="Tahoma"/>
            <family val="2"/>
          </rPr>
          <t>Biểu phí dịch vụ của VAAE ngày 01/01/2024</t>
        </r>
      </text>
    </comment>
    <comment ref="H25" authorId="0" shapeId="0" xr:uid="{E6E25436-3F6B-4020-8309-DDFF9B80F152}">
      <text>
        <r>
          <rPr>
            <b/>
            <sz val="10"/>
            <color indexed="81"/>
            <rFont val="Tahoma"/>
            <family val="2"/>
          </rPr>
          <t>4. Đối với những dự án đầu tư quy định phải được cơ quan nhà nước có thẩm quyền thẩm định, nhưng cơ quan nhà nước không đủ điều kiện thẩm định mà phải thuê chuyên gia, tư vấn thẩm tra phục vụ công tác thẩm định hoặc có yêu cầu chuyên gia, tư vấn thẩm tra hoặc đã có thẩm tra trước khi thẩm định thì cơ quan nhà nước chỉ được thu phí bằng 50% (năm mươi phần trăm) mức thu phí tương ứng quy định tại điểm 1, 2 Biểu mức thu ban hành kèm theo Thông tư này. Chi phí thuê chuyên gia, tư vấn thẩm tra thực hiện theo quy định của Bộ Xây dựng.</t>
        </r>
        <r>
          <rPr>
            <sz val="15"/>
            <color indexed="81"/>
            <rFont val="Tahoma"/>
            <family val="2"/>
          </rPr>
          <t xml:space="preserve">
</t>
        </r>
      </text>
    </comment>
    <comment ref="H35" authorId="0" shapeId="0" xr:uid="{4C18A9B4-CE3C-4B74-A008-147B4184B445}">
      <text>
        <r>
          <rPr>
            <b/>
            <sz val="15"/>
            <color indexed="81"/>
            <rFont val="Tahoma"/>
            <family val="2"/>
          </rPr>
          <t xml:space="preserve">d) Chi phí thiết bị chiếm tỷ trọng ≥ 50% trong giá trị cần thuê kiểm toán độc lập hoặc giá trị quyết toán do chủ đầu tư lập thì chi phí kiểm toán độc lập, chi phí thẩm tra, phê duyệt quyết toán được xác định bằng 70% </t>
        </r>
        <r>
          <rPr>
            <sz val="15"/>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I10" authorId="0" shapeId="0" xr:uid="{00000000-0006-0000-5C00-000001000000}">
      <text>
        <r>
          <rPr>
            <b/>
            <sz val="9"/>
            <color indexed="81"/>
            <rFont val="Tahoma"/>
            <family val="2"/>
          </rPr>
          <t>user:</t>
        </r>
        <r>
          <rPr>
            <sz val="9"/>
            <color indexed="81"/>
            <rFont val="Tahoma"/>
            <family val="2"/>
          </rPr>
          <t xml:space="preserve">
2Km đường lợi 5 và 36 km đường loại 3 quy đổi về đường loại 3: 2x1,5+36=39km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LAPTOP</author>
  </authors>
  <commentList>
    <comment ref="G3" authorId="0" shapeId="0" xr:uid="{00000000-0006-0000-5E00-000001000000}">
      <text>
        <r>
          <rPr>
            <b/>
            <sz val="9"/>
            <color indexed="81"/>
            <rFont val="Tahoma"/>
            <family val="2"/>
          </rPr>
          <t>LAPTOP:</t>
        </r>
        <r>
          <rPr>
            <sz val="9"/>
            <color indexed="81"/>
            <rFont val="Tahoma"/>
            <family val="2"/>
          </rPr>
          <t xml:space="preserve">
Quận 12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ĐOÀN CÔNG UẨN</author>
  </authors>
  <commentList>
    <comment ref="C25" authorId="0" shapeId="0" xr:uid="{00000000-0006-0000-6200-000001000000}">
      <text>
        <r>
          <rPr>
            <b/>
            <sz val="8"/>
            <color indexed="81"/>
            <rFont val="Tahoma"/>
            <family val="2"/>
          </rPr>
          <t>ĐOÀN CÔNG UẨN:</t>
        </r>
        <r>
          <rPr>
            <sz val="8"/>
            <color indexed="81"/>
            <rFont val="Tahoma"/>
            <family val="2"/>
          </rPr>
          <t xml:space="preserve">
DD</t>
        </r>
      </text>
    </comment>
    <comment ref="AH25" authorId="0" shapeId="0" xr:uid="{00000000-0006-0000-6200-000002000000}">
      <text>
        <r>
          <rPr>
            <b/>
            <sz val="8"/>
            <color indexed="81"/>
            <rFont val="Tahoma"/>
            <family val="2"/>
          </rPr>
          <t>ĐOÀN CÔNG UẨN:</t>
        </r>
        <r>
          <rPr>
            <sz val="8"/>
            <color indexed="81"/>
            <rFont val="Tahoma"/>
            <family val="2"/>
          </rPr>
          <t xml:space="preserve">
CN</t>
        </r>
      </text>
    </comment>
    <comment ref="AL25" authorId="0" shapeId="0" xr:uid="{00000000-0006-0000-6200-000003000000}">
      <text>
        <r>
          <rPr>
            <b/>
            <sz val="8"/>
            <color indexed="81"/>
            <rFont val="Tahoma"/>
            <family val="2"/>
          </rPr>
          <t>ĐOÀN CÔNG UẨN:</t>
        </r>
        <r>
          <rPr>
            <sz val="8"/>
            <color indexed="81"/>
            <rFont val="Tahoma"/>
            <family val="2"/>
          </rPr>
          <t xml:space="preserve">
GT</t>
        </r>
      </text>
    </comment>
    <comment ref="AP25" authorId="0" shapeId="0" xr:uid="{00000000-0006-0000-6200-000004000000}">
      <text>
        <r>
          <rPr>
            <b/>
            <sz val="8"/>
            <color indexed="81"/>
            <rFont val="Tahoma"/>
            <family val="2"/>
          </rPr>
          <t>ĐOÀN CÔNG UẨN:</t>
        </r>
        <r>
          <rPr>
            <sz val="8"/>
            <color indexed="81"/>
            <rFont val="Tahoma"/>
            <family val="2"/>
          </rPr>
          <t xml:space="preserve">
TL</t>
        </r>
      </text>
    </comment>
    <comment ref="AT25" authorId="0" shapeId="0" xr:uid="{00000000-0006-0000-6200-000005000000}">
      <text>
        <r>
          <rPr>
            <b/>
            <sz val="8"/>
            <color indexed="81"/>
            <rFont val="Tahoma"/>
            <family val="2"/>
          </rPr>
          <t>ĐOÀN CÔNG UẨN:</t>
        </r>
        <r>
          <rPr>
            <sz val="8"/>
            <color indexed="81"/>
            <rFont val="Tahoma"/>
            <family val="2"/>
          </rPr>
          <t xml:space="preserve">
HTKT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Cong Uan</author>
  </authors>
  <commentList>
    <comment ref="A325" authorId="0" shapeId="0" xr:uid="{00000000-0006-0000-6300-000001000000}">
      <text>
        <r>
          <rPr>
            <b/>
            <sz val="9"/>
            <color indexed="81"/>
            <rFont val="Tahoma"/>
            <family val="2"/>
            <charset val="163"/>
          </rPr>
          <t>Cong Uan:</t>
        </r>
        <r>
          <rPr>
            <sz val="9"/>
            <color indexed="81"/>
            <rFont val="Tahoma"/>
            <family val="2"/>
            <charset val="163"/>
          </rPr>
          <t xml:space="preserve">
hoa chat va dau khi</t>
        </r>
      </text>
    </comment>
    <comment ref="A327" authorId="0" shapeId="0" xr:uid="{00000000-0006-0000-6300-000002000000}">
      <text>
        <r>
          <rPr>
            <b/>
            <sz val="9"/>
            <color indexed="81"/>
            <rFont val="Tahoma"/>
            <family val="2"/>
            <charset val="163"/>
          </rPr>
          <t>Cong Uan:</t>
        </r>
        <r>
          <rPr>
            <sz val="9"/>
            <color indexed="81"/>
            <rFont val="Tahoma"/>
            <family val="2"/>
            <charset val="163"/>
          </rPr>
          <t xml:space="preserve">
Nang luong</t>
        </r>
      </text>
    </comment>
    <comment ref="A328" authorId="0" shapeId="0" xr:uid="{00000000-0006-0000-6300-000003000000}">
      <text>
        <r>
          <rPr>
            <b/>
            <sz val="9"/>
            <color indexed="81"/>
            <rFont val="Tahoma"/>
            <family val="2"/>
            <charset val="163"/>
          </rPr>
          <t>Cong Uan:</t>
        </r>
        <r>
          <rPr>
            <sz val="9"/>
            <color indexed="81"/>
            <rFont val="Tahoma"/>
            <family val="2"/>
            <charset val="163"/>
          </rPr>
          <t xml:space="preserve">
Cong trinh khac</t>
        </r>
      </text>
    </comment>
  </commentList>
</comments>
</file>

<file path=xl/sharedStrings.xml><?xml version="1.0" encoding="utf-8"?>
<sst xmlns="http://schemas.openxmlformats.org/spreadsheetml/2006/main" count="12037" uniqueCount="4638">
  <si>
    <t>CĂN CỨ ĐỂ LẬP DỰ TOÁN</t>
  </si>
  <si>
    <t>HỒ SƠ DỰ TOÁN ĐƯỢC LẬP DỰA TRÊN:</t>
  </si>
  <si>
    <t>1-/</t>
  </si>
  <si>
    <t>KHỐI LƯỢNG</t>
  </si>
  <si>
    <t>*</t>
  </si>
  <si>
    <r>
      <t xml:space="preserve">Hồ sơ thiết kế kỹ thuật công trình do C.TY TNHH THIẾT KẾ XÂY DỰNG </t>
    </r>
    <r>
      <rPr>
        <b/>
        <sz val="10"/>
        <rFont val="Segoe UI"/>
        <family val="2"/>
        <charset val="163"/>
      </rPr>
      <t>ĐIỂM KIẾN TRÚC</t>
    </r>
    <r>
      <rPr>
        <sz val="10"/>
        <rFont val="Segoe UI"/>
        <family val="2"/>
        <charset val="163"/>
      </rPr>
      <t xml:space="preserve"> lập;</t>
    </r>
  </si>
  <si>
    <t>2-/</t>
  </si>
  <si>
    <t>ĐƠN GIÁ</t>
  </si>
  <si>
    <t>Các bộ đơn giá xây dựng cơ bản, cây xanh, công viên... khu vực Thành phố Hồ Chí Minh;</t>
  </si>
  <si>
    <t>- Quyết định số 3384/2016/QĐ-UBND ban hành ngày 02-07-2016 của UBND TP. Hồ Chí Minh - Xây dựng, lắp đặt , sủa chữa, khảo sát;</t>
  </si>
  <si>
    <t>- Quyết định 89/2007/QĐ-UBND ban hành ngày 15-07-2007 của UBND TP. Hồ Chí Minh - Duy trì Hệ thống chiếu sáng công cộng …</t>
  </si>
  <si>
    <t>- Văn bản công bố 4845/UBND-ĐTMT ban hành ngày 28-09-2010 của UBND TP. Hồ Chí Minh - Duy trì cây xanh</t>
  </si>
  <si>
    <t>Thông báo giá thực tế tháng 12/2016 trên địa bàn Thành phố Hồ Chí Minh do sở xây dựng công bố;</t>
  </si>
  <si>
    <t>Thông báo giá thực tế đến 12-2016 trên địa bàn Thành phố Hồ Chí Minh;</t>
  </si>
  <si>
    <t>3-/</t>
  </si>
  <si>
    <t>ĐỊNH MỨC</t>
  </si>
  <si>
    <t>Các bộ định mức dự toán XDCB và lắp đặt, duy trì chiếu sáng đô thị, duy trì cây xanh đô thị, chuyên ngành điện theo quy định hiện hành:</t>
  </si>
  <si>
    <t>- Quyết định 38/2005/QĐ-BXD ban hành ngày 02-11-2005 của Bộ xây dựng - Định mức dự toán duy trì hệ thống chiếu sáng công cộng;</t>
  </si>
  <si>
    <t>- Văn bản công bố số: 1776+1777+1779+1782+1783/BXD-VP ban hành ngày 16-08-2007 của Bộ xây dựng;</t>
  </si>
  <si>
    <t>- Quyết định 1172/QĐ-BXD và 1773/QĐ-BXD ban hành ngày 26-12-2012 của Bộ xây dựng;</t>
  </si>
  <si>
    <t>- Quyết định 587/QĐ-BXD và 588/QĐ-BXD ban hành ngày 29-05-2014 của Bộ xây dựng;</t>
  </si>
  <si>
    <t>- Văn bản công bố số 258/BTTTT-KHTC ban hành ngày 09-02-2009 của Bộ Thông tin và truyền thông - Định mức chuyên ngành;</t>
  </si>
  <si>
    <t>- Văn bản công bố số 2273/BXD-VP ban hành ngày 10-11-2008 của Bộ xây dựng - Định mức về duy trì cây xanh đô thị;</t>
  </si>
  <si>
    <t>- Văn bản công bố số 3915/UBND-ĐTMT ngày 3 tháng 8 năm 2009 của UBND Tp.Hồ Chí Minh - Định mức bổ sung chuyên ngành công viên cây xanh;</t>
  </si>
  <si>
    <t>4-/</t>
  </si>
  <si>
    <t>BẢNG TỔNG HỢP DỰ TOÁN</t>
  </si>
  <si>
    <t>Nghị định 59/2015/NĐ-CP ngày 18tháng 06 năm 2015 của Chính Phủ về quản lý dự án đầu tư xây dựng công trình;</t>
  </si>
  <si>
    <t>Nghị định 32/2015/NĐ-CP ngày 25 tháng 03 năm 2015 của Chính Phủ về quản lý chi phí đầu tư xây dựng công trình;</t>
  </si>
  <si>
    <t>THÀNH PHỐ HỒ CHÍ MINH - THÁNG 12 NĂM 2016</t>
  </si>
  <si>
    <t>Nghị định 63/2014/NĐ-CP ngày 26/06/2014 của Chính Phủ, qui đinh chi tiết thi hành một số điều của luật đấu thầu về lựa chọn nhà thầu xây dựng theo luật xây dựng;</t>
  </si>
  <si>
    <t>Nghị định 70/2011/NĐ-CP ngày 22/08/2011 của Chính Phủ ban hành về Mức lương tối thiểu vùng;</t>
  </si>
  <si>
    <t>Thông tư số 32/2007/TT-BTC ngày 09/04/2007 của Bộ Tài Chính hướng dẫn thi hành Nghị định số 158/2003/NĐ-CP ngày 10/12/2003</t>
  </si>
  <si>
    <t>Nghị định số 123/2008/NĐ-CP ban hành ngày 08-12-2008 của Chính phủ về việc qui định chi tiết và hướng dẫn một số điều của luật thuế giá trị gia tăng;</t>
  </si>
  <si>
    <t>Thông tư số 17/2013/TT-BXD ngày 30/10/2013 về việc Hướng dẫn xác định và quản lý chi phí khảo sát xây dựng công trình;</t>
  </si>
  <si>
    <t>Thông tư số 06/2016/TT-BXD ngày 10/03/2016 của bộ xây dựng về việc Hướng dẫn xác định và quản lý chi phí đầu tư xây dựng công trình;</t>
  </si>
  <si>
    <t>Thông tư số 01/2015/TT-BXD ngày 20/03/2015 của bộ xây dựng về việc Hướng dẫn xác định đơn giá nhân công trong quản lý chi phí đầu tư xây dựng công trình;</t>
  </si>
  <si>
    <t>Thông tư số 03/2009/TT-BXD ngày 26/03/2009 của Bộ Xây Dựng về việc Quy định chi tiết một số nội dung của Nghị định số 12/2009/NĐ-CP ngày</t>
  </si>
  <si>
    <t>12/02/2009 của Chính phủ về quản lý dự án đầu tư xây dựng công trình;</t>
  </si>
  <si>
    <t>Quyết định 957/QĐ-BXD ngày 29/09/2009 về việc áp dụng Định mức chi phí quản lý dự án và tư vấn đầu tư xây dựng công trình;</t>
  </si>
  <si>
    <t>Thông tư 176/2011/TT-BTC ngày 06/12/2011 của Bộ Tài chính hướng dẫn chế độ thu, nộp và quản lý sử dụng phí thẩm định dự án đầu tư xây dựng;</t>
  </si>
  <si>
    <t>Thông tư số 17/2000/ T T - BXD ngày 29 tháng 12 năm 2000 của Bộ Xây Dựng hướng dẫn phân loại vật liệu tính vào chi phí trực tiếp</t>
  </si>
  <si>
    <t>trong dự toán xây lắp công trình xây dựng;</t>
  </si>
  <si>
    <t>Thông tư 09/2016/TT-BTC ký ngày 18/01/2016 của Bộ Tài Chính hướng dẫn quyết toán vốn đầu tư;</t>
  </si>
  <si>
    <t>Công văn số 1730/BXD-KTXD ngày 20/10/2011 của Bộ Xây Dựng hướng dẫn điều chỉnh dự toán xây dựng công trình;</t>
  </si>
  <si>
    <t>Thông tư TT75/2014/TT-BTC ngày 12-06-2014 của bộ Tài chính qui định mức thu, chế độ thu, nộp, quản lý và sử dụng phí thẩm tra thiết kế công trình xây dựng;</t>
  </si>
  <si>
    <t>Thông tư TT150/2014/TT-BTC ngày 10-10-2014 của bộ Tài chính qui định mức thu, chế độ thu, nộp, quản lý và sử dụng phí thẩm duyệt thiết kế về phòng cháy và chữa cháy./.</t>
  </si>
  <si>
    <t>Công văn số 10505/SXD-QLKTXD ngày 28/12/2010 của Sở xây dựng Thành phố Hồ Chí Minh hướng dẫn điều chỉnh dự toán xây dựng công trình theo văn bản số</t>
  </si>
  <si>
    <t>6456/UBND-ĐTMT ngày 14/12/2010 của UBND Thành phố Hồ Chí Minh;</t>
  </si>
  <si>
    <t>Công văn số 9427/SXD-QLKTXD ngày 05/12/2011 của Sở xây dựng về hướng dẫn điều chỉnh dự toán xây dựng công trình./.</t>
  </si>
  <si>
    <t>BẢNG TỔNG HỢP DỰ TOÁN CÔNG TRÌNH</t>
  </si>
  <si>
    <t>Tp.Hồ Chí Minh, ngày …... tháng ……. năm 2016</t>
  </si>
  <si>
    <t>STT</t>
  </si>
  <si>
    <t>KHOẢN MỤC CHI PHÍ</t>
  </si>
  <si>
    <t>KÝ HIỆU</t>
  </si>
  <si>
    <t>CÁCH TÍNH</t>
  </si>
  <si>
    <t xml:space="preserve">   ĐM   </t>
  </si>
  <si>
    <t xml:space="preserve">  %  </t>
  </si>
  <si>
    <t xml:space="preserve">  NHÂN  </t>
  </si>
  <si>
    <t xml:space="preserve">  K1  </t>
  </si>
  <si>
    <t xml:space="preserve">  K2  </t>
  </si>
  <si>
    <t>THEM</t>
  </si>
  <si>
    <t>HỆ SỐ TÂNG</t>
  </si>
  <si>
    <t>vat</t>
  </si>
  <si>
    <t>GT TRƯỚC THUẾ</t>
  </si>
  <si>
    <t xml:space="preserve">   THUẾ VAT   </t>
  </si>
  <si>
    <t xml:space="preserve">   TỔNG GIÁ TRỊ   </t>
  </si>
  <si>
    <t xml:space="preserve">  Đồng VN  </t>
  </si>
  <si>
    <t>I -</t>
  </si>
  <si>
    <t>CHI PHÍ XÂY DỰNG</t>
  </si>
  <si>
    <r>
      <t>G</t>
    </r>
    <r>
      <rPr>
        <b/>
        <vertAlign val="subscript"/>
        <sz val="10"/>
        <color indexed="12"/>
        <rFont val="Segoe UI"/>
        <family val="2"/>
        <charset val="163"/>
      </rPr>
      <t>XD</t>
    </r>
  </si>
  <si>
    <r>
      <t>G</t>
    </r>
    <r>
      <rPr>
        <b/>
        <vertAlign val="subscript"/>
        <sz val="10"/>
        <color indexed="12"/>
        <rFont val="Segoe UI"/>
        <family val="2"/>
        <charset val="163"/>
      </rPr>
      <t>XD</t>
    </r>
    <r>
      <rPr>
        <b/>
        <sz val="10"/>
        <color indexed="12"/>
        <rFont val="Segoe UI"/>
        <family val="2"/>
        <charset val="163"/>
      </rPr>
      <t xml:space="preserve"> + GTGT</t>
    </r>
  </si>
  <si>
    <t>CHI PHÍ XDCT CHÍNH, PHỤ TRỢ, TẠM PHỤC VỤ THI CÔNG</t>
  </si>
  <si>
    <t>G*1,1</t>
  </si>
  <si>
    <t>CHI PHÍ XD NHÀ TẠM TẠI HIỆN TRƯỜNG</t>
  </si>
  <si>
    <t>G*1%*1,1</t>
  </si>
  <si>
    <t>CHI PHÍ THIẾT BỊ</t>
  </si>
  <si>
    <r>
      <t>G</t>
    </r>
    <r>
      <rPr>
        <b/>
        <vertAlign val="subscript"/>
        <sz val="10"/>
        <color indexed="12"/>
        <rFont val="Segoe UI"/>
        <family val="2"/>
        <charset val="163"/>
      </rPr>
      <t>TB</t>
    </r>
  </si>
  <si>
    <r>
      <t>G</t>
    </r>
    <r>
      <rPr>
        <b/>
        <vertAlign val="subscript"/>
        <sz val="10"/>
        <color indexed="12"/>
        <rFont val="Segoe UI"/>
        <family val="2"/>
        <charset val="163"/>
      </rPr>
      <t>TB1</t>
    </r>
    <r>
      <rPr>
        <b/>
        <sz val="10"/>
        <color indexed="12"/>
        <rFont val="Segoe UI"/>
        <family val="2"/>
        <charset val="163"/>
      </rPr>
      <t xml:space="preserve"> + G</t>
    </r>
    <r>
      <rPr>
        <b/>
        <vertAlign val="subscript"/>
        <sz val="10"/>
        <color indexed="12"/>
        <rFont val="Segoe UI"/>
        <family val="2"/>
        <charset val="163"/>
      </rPr>
      <t>TB2</t>
    </r>
  </si>
  <si>
    <t>Chi phí thiết bị 1 (Thiết bị chuyên dụng)</t>
  </si>
  <si>
    <r>
      <t>G</t>
    </r>
    <r>
      <rPr>
        <vertAlign val="subscript"/>
        <sz val="10"/>
        <rFont val="Segoe UI"/>
        <family val="2"/>
        <charset val="163"/>
      </rPr>
      <t>TB1</t>
    </r>
  </si>
  <si>
    <t>(Xem mục III - Bảng tổng hợp chi phí xây dựng, thiết bị và hạng mục chung)</t>
  </si>
  <si>
    <t>Chi phí thiết bị 2 (Trạm biến áp)</t>
  </si>
  <si>
    <r>
      <t>G</t>
    </r>
    <r>
      <rPr>
        <vertAlign val="subscript"/>
        <sz val="10"/>
        <rFont val="Segoe UI"/>
        <family val="2"/>
        <charset val="163"/>
      </rPr>
      <t>TB2</t>
    </r>
    <r>
      <rPr>
        <sz val="11"/>
        <color indexed="8"/>
        <rFont val="Calibri"/>
        <family val="2"/>
      </rPr>
      <t/>
    </r>
  </si>
  <si>
    <t>(Xem mục trạm biến áp)</t>
  </si>
  <si>
    <t>CHI PHÍ  MUA SẮM THIẾT BỊ CÔNG NGHỆ</t>
  </si>
  <si>
    <t>GMS</t>
  </si>
  <si>
    <t>MS+Thuế</t>
  </si>
  <si>
    <t>CHI PHÍ  ĐÀO TẠO VÀ CHUYỂN GIAO CÔNG NGHỆ</t>
  </si>
  <si>
    <r>
      <t>G</t>
    </r>
    <r>
      <rPr>
        <vertAlign val="subscript"/>
        <sz val="10"/>
        <rFont val="Segoe UI"/>
        <family val="2"/>
        <charset val="163"/>
      </rPr>
      <t>ÑT</t>
    </r>
  </si>
  <si>
    <t>ÑT+Thuế</t>
  </si>
  <si>
    <t>CHI PHÍ  LẮP ĐẶT, THÍ NGHIỆM VÀ HIỆU CHỈNH THIẾT BỊ</t>
  </si>
  <si>
    <r>
      <t>G</t>
    </r>
    <r>
      <rPr>
        <vertAlign val="subscript"/>
        <sz val="10"/>
        <rFont val="Segoe UI"/>
        <family val="2"/>
        <charset val="163"/>
      </rPr>
      <t>LÑ</t>
    </r>
  </si>
  <si>
    <t>LÑ+Thuế</t>
  </si>
  <si>
    <t>CHI PHÍ THUÊ ĐẤT</t>
  </si>
  <si>
    <r>
      <t>G</t>
    </r>
    <r>
      <rPr>
        <b/>
        <vertAlign val="subscript"/>
        <sz val="10"/>
        <rFont val="Segoe UI"/>
        <family val="2"/>
        <charset val="163"/>
      </rPr>
      <t>GPMB</t>
    </r>
  </si>
  <si>
    <t>(Theo dự án)</t>
  </si>
  <si>
    <t>CHI PHÍ  GiẢI PHÓNG MẶT BẰNG</t>
  </si>
  <si>
    <r>
      <t>G</t>
    </r>
    <r>
      <rPr>
        <vertAlign val="subscript"/>
        <sz val="10"/>
        <rFont val="Segoe UI"/>
        <family val="2"/>
        <charset val="163"/>
      </rPr>
      <t>MB</t>
    </r>
  </si>
  <si>
    <t>CHI PHÍ TÁI ĐỊNH CƯ</t>
  </si>
  <si>
    <r>
      <t>G</t>
    </r>
    <r>
      <rPr>
        <vertAlign val="subscript"/>
        <sz val="10"/>
        <rFont val="Segoe UI"/>
        <family val="2"/>
        <charset val="163"/>
      </rPr>
      <t>ÑC</t>
    </r>
  </si>
  <si>
    <t>ĐC+Thuế</t>
  </si>
  <si>
    <t>CHI PHÍ QUẢN LÝ DỰ ÁN (Theo quyết định số 957/QĐ-BXD ngày 29-09-2009)</t>
  </si>
  <si>
    <r>
      <t>G</t>
    </r>
    <r>
      <rPr>
        <b/>
        <vertAlign val="subscript"/>
        <sz val="10"/>
        <color indexed="12"/>
        <rFont val="Segoe UI"/>
        <family val="2"/>
        <charset val="163"/>
      </rPr>
      <t>QLDA</t>
    </r>
  </si>
  <si>
    <r>
      <t>(G+G</t>
    </r>
    <r>
      <rPr>
        <vertAlign val="subscript"/>
        <sz val="10"/>
        <rFont val="Segoe UI"/>
        <family val="2"/>
        <charset val="163"/>
      </rPr>
      <t>TBtt</t>
    </r>
    <r>
      <rPr>
        <sz val="10"/>
        <rFont val="Segoe UI"/>
        <family val="2"/>
        <charset val="163"/>
      </rPr>
      <t>)*</t>
    </r>
  </si>
  <si>
    <t>%</t>
  </si>
  <si>
    <t>CHI PHÍ TƯ VẤN ĐẦU TƯ XÂY DỰNG</t>
  </si>
  <si>
    <r>
      <t>G</t>
    </r>
    <r>
      <rPr>
        <b/>
        <vertAlign val="subscript"/>
        <sz val="10"/>
        <color indexed="12"/>
        <rFont val="Segoe UI"/>
        <family val="2"/>
        <charset val="163"/>
      </rPr>
      <t>TV</t>
    </r>
  </si>
  <si>
    <t>(Tạm tính: 1.5467,9*55%*3 m²*48.000vnđ/m²*(1+10%))</t>
  </si>
  <si>
    <t>Chi phí đo vẽ bản đồ vị trí</t>
  </si>
  <si>
    <t>Chi phí khảo sát đo vẽ hiện trạng, cao độ</t>
  </si>
  <si>
    <t>(Tạm tính)</t>
  </si>
  <si>
    <t>Chi phí khảo sát địa chất, địa hình</t>
  </si>
  <si>
    <t>Bảng tính</t>
  </si>
  <si>
    <t>Chi phí lập báo cáo đánh giá tác động môi trường</t>
  </si>
  <si>
    <t>(Số liệu từ CĐT cung cấp)</t>
  </si>
  <si>
    <t>Chi phí giám sát khảo sát địa chất, địa hình</t>
  </si>
  <si>
    <t>Theo hợp đồng số 115/2015/HĐ-QLĐT ngày 12/06/2015</t>
  </si>
  <si>
    <t>Chi phí đo vẽ hiện trạng vị trí, định vị chôn trụ</t>
  </si>
  <si>
    <t>Chi phí giám sát khảo sát hiện trạng</t>
  </si>
  <si>
    <t>2,628%*(1+10%)</t>
  </si>
  <si>
    <t>Chi phí giám sát khảo sát địa chất</t>
  </si>
  <si>
    <t>Chi phí giám sát nén thử tĩnh cọc</t>
  </si>
  <si>
    <t>Kiểm tra chất lượng tường vây</t>
  </si>
  <si>
    <t>Dự toán chi tiết</t>
  </si>
  <si>
    <t>Chi phí khảo sát hiện trạng kiến trúc công trình</t>
  </si>
  <si>
    <t>Chi phí lập dự án</t>
  </si>
  <si>
    <t>Theo hợp đồng số 113/2015/HĐ-QLĐT ngày 15/10/2012</t>
  </si>
  <si>
    <t xml:space="preserve">Chi phí định vị, chôn trụ cắm ranh khu đất xây dựng </t>
  </si>
  <si>
    <t xml:space="preserve">Theo HĐ số 99851/ĐĐBĐ-CNHM-CC ngày 12/10/2015 và PLHĐ 01/99851/PLHĐ-ĐĐBĐ ngày 20/01/2016 </t>
  </si>
  <si>
    <t>Chi phí tư vấn Lập Hồ sơ mời thầu &amp; đánh giá hồ sơ dự thầu tư vấn lập hồ sơ mời thầu và đánh giá hồ sơ dự thầu các gói thầu: Tư vấn lập thiết kế bản vẽ thi công và dự toán; Tư vấn giám sát thi công xây dựng; Thi công xây dựng; Cung cấp, lắp đặt thiết bị; Trạm biến áp 320 KVA</t>
  </si>
  <si>
    <t>Theo QĐ duyệt Kế hoạch lựa chọn nhà thầu số 774/QĐ-SXD-KTXD ngày 10/06/2016</t>
  </si>
  <si>
    <r>
      <t>(G</t>
    </r>
    <r>
      <rPr>
        <vertAlign val="subscript"/>
        <sz val="10"/>
        <rFont val="Segoe UI"/>
        <family val="2"/>
        <charset val="163"/>
      </rPr>
      <t>đd</t>
    </r>
    <r>
      <rPr>
        <sz val="10"/>
        <rFont val="Segoe UI"/>
        <family val="2"/>
        <charset val="163"/>
      </rPr>
      <t>+G</t>
    </r>
    <r>
      <rPr>
        <vertAlign val="subscript"/>
        <sz val="10"/>
        <rFont val="Segoe UI"/>
        <family val="2"/>
        <charset val="163"/>
      </rPr>
      <t>TBttđd</t>
    </r>
    <r>
      <rPr>
        <sz val="10"/>
        <rFont val="Segoe UI"/>
        <family val="2"/>
        <charset val="163"/>
      </rPr>
      <t>)*</t>
    </r>
  </si>
  <si>
    <r>
      <t>(G</t>
    </r>
    <r>
      <rPr>
        <vertAlign val="subscript"/>
        <sz val="10"/>
        <rFont val="Segoe UI"/>
        <family val="2"/>
        <charset val="163"/>
      </rPr>
      <t>XDtt</t>
    </r>
    <r>
      <rPr>
        <sz val="10"/>
        <rFont val="Segoe UI"/>
        <family val="2"/>
        <charset val="163"/>
      </rPr>
      <t>+G</t>
    </r>
    <r>
      <rPr>
        <vertAlign val="subscript"/>
        <sz val="10"/>
        <rFont val="Segoe UI"/>
        <family val="2"/>
        <charset val="163"/>
      </rPr>
      <t>TBtt</t>
    </r>
    <r>
      <rPr>
        <sz val="10"/>
        <rFont val="Segoe UI"/>
        <family val="2"/>
        <charset val="163"/>
      </rPr>
      <t>)*</t>
    </r>
  </si>
  <si>
    <t>Taêng tieàn baûo hieåm leân 5%</t>
  </si>
  <si>
    <t>(Theo hồ sơ thi tuyển)</t>
  </si>
  <si>
    <t>Chi phí lập hồ sơ yêu cầu thiết kế</t>
  </si>
  <si>
    <t>Chi phí lập hồ sơ yêu cầu tư vấn giám sát</t>
  </si>
  <si>
    <t xml:space="preserve">Chi phí xây dựng trạm biến áp </t>
  </si>
  <si>
    <t>Chi phí lập hồ sơ mời thầu, đánh giá hồ sơ dự thầu chọn thầu tư vấn thiết kế</t>
  </si>
  <si>
    <t>0,2%*(1+10%)</t>
  </si>
  <si>
    <t>Chi phí thiết kế bản vẽ thi công và lập tổng dự toán xây dựng công trình</t>
  </si>
  <si>
    <t>Chi phí thiết kế cơ sở, giám sát thiết kế kỹ thuật và bản vẽ thi công của tư vấn thiết kế nước ngoài</t>
  </si>
  <si>
    <t>(Theo hợp đồng)</t>
  </si>
  <si>
    <t>Chi phí thiết kế bản vẽ kỹ thuật, bản vẽ thi công và lập tổng dự toán xây dựng công trình</t>
  </si>
  <si>
    <t>Theo hợp đồng số 69/2016/HĐ-QLĐT ngày 30/09/2016</t>
  </si>
  <si>
    <t>Chi phí thiết kế bản vẽ kỹ thuật, bản vẽ thi công và lập tổng dự toán xây dựng công trình (Thiết kế 2 bước)(Quyết định số 957/QĐ-BXD ngày 29-09-2009)</t>
  </si>
  <si>
    <t>G*</t>
  </si>
  <si>
    <t>Chi phí thiết kế xây dựng trạm biến áp (Quyết định số 957/QĐ-BXD ngày 29-09-2009)</t>
  </si>
  <si>
    <r>
      <t>TB</t>
    </r>
    <r>
      <rPr>
        <vertAlign val="subscript"/>
        <sz val="10"/>
        <rFont val="Segoe UI"/>
        <family val="2"/>
        <charset val="163"/>
      </rPr>
      <t>Trambienap</t>
    </r>
    <r>
      <rPr>
        <sz val="10"/>
        <rFont val="Segoe UI"/>
        <family val="2"/>
        <charset val="163"/>
      </rPr>
      <t>*</t>
    </r>
  </si>
  <si>
    <t>Chi phí thẩm tra thiết kế bản vẽ thi công và dự toán</t>
  </si>
  <si>
    <t>Theo hợp đồng số 97/HĐ-QLĐT ngày 05/08/2016</t>
  </si>
  <si>
    <t>Chi phí thẩm tra TKKT (TKTCCT 1; 2 bước TK) CT (Quyết định số 957/QĐ-BXD ngày 29-09-2009)</t>
  </si>
  <si>
    <t>Chi phí thẩm tra dự toán công trình (Quyết định số 957/QĐ-BXD ngày 29-09-2009)</t>
  </si>
  <si>
    <t>Chi phí thẩm tra TKKT Trạm biến áp (TKTCCT 1; 2 bước TK) CT (Quyết định số 957/QĐ-BXD ngày 29-09-2009)</t>
  </si>
  <si>
    <t>Chi phí thẩm tra dự toán trạm biến áp (Quyết định số 957/QĐ-BXD ngày 29-09-2009)</t>
  </si>
  <si>
    <t>Chi phí lập chứng thư thẩm định giá thiết bị</t>
  </si>
  <si>
    <t>Chi phí lập hồ sơ mời thầu, đánh giá hồ sơ dự thầu thi công xây dựng và thiết bị (Min = 2.200.000đvn; Max = 110.000.000vnđ)(Nghị định số 63/2014/NĐ-CP ngày 26-06-2014)</t>
  </si>
  <si>
    <r>
      <t>(G</t>
    </r>
    <r>
      <rPr>
        <vertAlign val="subscript"/>
        <sz val="10"/>
        <rFont val="Segoe UI"/>
        <family val="2"/>
        <charset val="163"/>
      </rPr>
      <t>XD</t>
    </r>
    <r>
      <rPr>
        <sz val="10"/>
        <rFont val="Segoe UI"/>
        <family val="2"/>
        <charset val="163"/>
      </rPr>
      <t>+G</t>
    </r>
    <r>
      <rPr>
        <vertAlign val="subscript"/>
        <sz val="10"/>
        <rFont val="Segoe UI"/>
        <family val="2"/>
        <charset val="163"/>
      </rPr>
      <t>TB</t>
    </r>
    <r>
      <rPr>
        <sz val="10"/>
        <rFont val="Segoe UI"/>
        <family val="2"/>
        <charset val="163"/>
      </rPr>
      <t>)*</t>
    </r>
  </si>
  <si>
    <r>
      <t>G</t>
    </r>
    <r>
      <rPr>
        <vertAlign val="subscript"/>
        <sz val="10"/>
        <rFont val="Segoe UI"/>
        <family val="2"/>
        <charset val="163"/>
      </rPr>
      <t>TBtt</t>
    </r>
    <r>
      <rPr>
        <sz val="10"/>
        <rFont val="Segoe UI"/>
        <family val="2"/>
        <charset val="163"/>
      </rPr>
      <t>*</t>
    </r>
  </si>
  <si>
    <t>Chi phí thẩm định hồ sơ mời thầu và thẩm định kết quả lựa chọn nhà thầu thi công xây dựng và lắp đặt thiết bị (Min = 2.200.000đvn; Max = 110.000.000vnđ)(Nghị định số 63/2014/NĐ-CP ngày 26-06-2014)</t>
  </si>
  <si>
    <t>Chi phí lập hồ sơ mời thầu, đánh giá hồ sơ dự thầu Tư vấn quản lý dự án</t>
  </si>
  <si>
    <t>(Xem bảng 12)</t>
  </si>
  <si>
    <t>Chi phí lập hồ sơ mời thầu, đánh giá hồ sơ dự thầu giám sát thi công xây dựng</t>
  </si>
  <si>
    <t>Chi phí lập hồ sơ mời thầu, đánh giá hồ sơ dự thầu thi công xây dựng (Quyết định số 957/QĐ-BXD ngày 29-09-2009)</t>
  </si>
  <si>
    <t>Chi phí thẩm định kết quả lựa chọn nhà thầu thi công xây dựng và lắp đặt thiết bị</t>
  </si>
  <si>
    <t>Chi phí lập hồ sơ mời thầu, đánh giá hồ sơ dự thầu chọn thầu tư vấn giám sát</t>
  </si>
  <si>
    <t>Chi phí giám sát thi công xây dựng(Quyết định số 957/QĐ-BXD ngày 29-09-2009)</t>
  </si>
  <si>
    <t>Chi phí giám sát thi công trạm biến áp (Quyết định số 957/QĐ-BXD ngày 29-09-2009)</t>
  </si>
  <si>
    <t>2,806%*(1+10%)</t>
  </si>
  <si>
    <t>Chi phí giám sát lắp đặt thiết bị (Quyết định số 957/QĐ-BXD ngày 29-09-2009)</t>
  </si>
  <si>
    <t>Chi phí thẩm định giá thiết bị</t>
  </si>
  <si>
    <r>
      <t>Tạm tính = G</t>
    </r>
    <r>
      <rPr>
        <vertAlign val="subscript"/>
        <sz val="10"/>
        <rFont val="Segoe UI"/>
        <family val="2"/>
        <charset val="163"/>
      </rPr>
      <t>TBtt</t>
    </r>
    <r>
      <rPr>
        <sz val="10"/>
        <rFont val="Segoe UI"/>
        <family val="2"/>
        <charset val="163"/>
      </rPr>
      <t>*</t>
    </r>
  </si>
  <si>
    <t>0,23%*(1+10%)</t>
  </si>
  <si>
    <t>Chi phí giám sát đầu tư</t>
  </si>
  <si>
    <t>20%*</t>
  </si>
  <si>
    <t>Chi phí lập báo cáo cam kết môi trường</t>
  </si>
  <si>
    <t>Chi phí kiểm tra, chứng nhận đủ điều kiện đảm bảo an toàn chịu lực công trình</t>
  </si>
  <si>
    <r>
      <t>Tạm tính 1,5% G</t>
    </r>
    <r>
      <rPr>
        <i/>
        <vertAlign val="subscript"/>
        <sz val="10"/>
        <rFont val="Segoe UI"/>
        <family val="2"/>
        <charset val="163"/>
      </rPr>
      <t>XDtt</t>
    </r>
    <r>
      <rPr>
        <i/>
        <sz val="10"/>
        <rFont val="Segoe UI"/>
        <family val="2"/>
        <charset val="163"/>
      </rPr>
      <t>*(1+10%)</t>
    </r>
  </si>
  <si>
    <t>CHI PHÍ KHÁC</t>
  </si>
  <si>
    <r>
      <t>G</t>
    </r>
    <r>
      <rPr>
        <b/>
        <vertAlign val="subscript"/>
        <sz val="10"/>
        <color indexed="12"/>
        <rFont val="Segoe UI"/>
        <family val="2"/>
        <charset val="163"/>
      </rPr>
      <t>K</t>
    </r>
  </si>
  <si>
    <t>Lệ phí cấp phép quy hoạch</t>
  </si>
  <si>
    <t>(Số liệu từ Dự án)</t>
  </si>
  <si>
    <t>Lệ phí thẩm định dự án đầu tư</t>
  </si>
  <si>
    <t>Theo biên lai thu tiền lệ phí số 0042967 ngày 17/03/2016</t>
  </si>
  <si>
    <t>Chi phí kiểm toán vốn đầu tư (Min = 1.100.000đvn) (Thông tư 19/2011/TT-BTC ngày 14-02-2011)</t>
  </si>
  <si>
    <t>(tạm tính)</t>
  </si>
  <si>
    <t>Lệ phí thẩm định báo cáo đánh giá tác động môi trường</t>
  </si>
  <si>
    <t>(Theo quy định Sở  TN &amp; MT TP. HCM)</t>
  </si>
  <si>
    <t>Lệ phí thẩm định thiết kế cơ sở và dự án (Thông tư 176/2011/TT-BTC ngày 06-12-2011)</t>
  </si>
  <si>
    <r>
      <t>G</t>
    </r>
    <r>
      <rPr>
        <vertAlign val="subscript"/>
        <sz val="10"/>
        <rFont val="Segoe UI"/>
        <family val="2"/>
        <charset val="163"/>
      </rPr>
      <t>XDCT</t>
    </r>
    <r>
      <rPr>
        <sz val="10"/>
        <rFont val="Segoe UI"/>
        <family val="2"/>
        <charset val="163"/>
      </rPr>
      <t>*</t>
    </r>
  </si>
  <si>
    <t>Lệ phí thẩm định kết quả đấu thầu xây lắp + thiết bị (NĐ58/NĐ-CP/2008)</t>
  </si>
  <si>
    <t>Lệ phí thẩm định kết quả lựa chọn nhà thầu thiết kế bản vẽ thi công và dự toán</t>
  </si>
  <si>
    <t>Lệ phí thẩm định kết quả lựa chọn nhà thầu tư vấn giám sát</t>
  </si>
  <si>
    <t>Chi phí bảo hiểm xây lắp và thiết bị công trình</t>
  </si>
  <si>
    <t>Chi phí bảo hiểm xây lắp công trình</t>
  </si>
  <si>
    <r>
      <t>G</t>
    </r>
    <r>
      <rPr>
        <vertAlign val="subscript"/>
        <sz val="10"/>
        <rFont val="Segoe UI"/>
        <family val="2"/>
        <charset val="163"/>
      </rPr>
      <t>XDtt</t>
    </r>
    <r>
      <rPr>
        <sz val="10"/>
        <rFont val="Segoe UI"/>
        <family val="2"/>
        <charset val="163"/>
      </rPr>
      <t>*</t>
    </r>
  </si>
  <si>
    <t>Chi phí bảo hiểm thiết bị công trình</t>
  </si>
  <si>
    <t>Dự tốn chi tiết</t>
  </si>
  <si>
    <t>Tạm tính</t>
  </si>
  <si>
    <t>Chi phí khảo sát và quan trắc lún các công trình liền kề</t>
  </si>
  <si>
    <r>
      <t>G</t>
    </r>
    <r>
      <rPr>
        <vertAlign val="subscript"/>
        <sz val="10"/>
        <rFont val="Segoe UI"/>
        <family val="2"/>
        <charset val="163"/>
      </rPr>
      <t>TMĐT</t>
    </r>
    <r>
      <rPr>
        <sz val="10"/>
        <rFont val="Segoe UI"/>
        <family val="2"/>
        <charset val="163"/>
      </rPr>
      <t>*</t>
    </r>
  </si>
  <si>
    <t>Chi phí thẩm định giá loại vật tư theo yêu cầu của chủ đầu tư</t>
  </si>
  <si>
    <r>
      <t>(G</t>
    </r>
    <r>
      <rPr>
        <vertAlign val="subscript"/>
        <sz val="10"/>
        <rFont val="Segoe UI"/>
        <family val="2"/>
        <charset val="163"/>
      </rPr>
      <t>XDtt</t>
    </r>
    <r>
      <rPr>
        <sz val="10"/>
        <rFont val="Segoe UI"/>
        <family val="2"/>
        <charset val="163"/>
      </rPr>
      <t>)*</t>
    </r>
  </si>
  <si>
    <t>Lệ phí thẩm tra dự toán  khảo sát hiện trang, cao độ, địa chất (TT75/2014/TT-BTC ngày 12-06-2014)</t>
  </si>
  <si>
    <t>0,165%*(1+10%)</t>
  </si>
  <si>
    <t>Chi phí phê duyệt thiết kế PCCC (TT150/2014/TT-BTC ngày 10-10-2014)</t>
  </si>
  <si>
    <t>Theo biên lai thu tiền lệ phí số 0048209 ngày 24/07/2015</t>
  </si>
  <si>
    <t>Chi phí báo cáo, giám sát, đánh giá dự án đầu tư</t>
  </si>
  <si>
    <r>
      <t>G</t>
    </r>
    <r>
      <rPr>
        <vertAlign val="subscript"/>
        <sz val="10"/>
        <color indexed="12"/>
        <rFont val="Segoe UI"/>
        <family val="2"/>
        <charset val="163"/>
      </rPr>
      <t>QLDA</t>
    </r>
  </si>
  <si>
    <t>Chi phí hạng mục chung</t>
  </si>
  <si>
    <t>(Xem mục IV - Bảng tổng hợp chi phí xây dựng, thiết bị và hạng mục chung)</t>
  </si>
  <si>
    <t>Chi phí nhà tạm tại hiện trường để ở và điều hành thi công(NĐ 32/2015/NĐ-CP ngày 25-03-2015 Về Quản lý chi phí)</t>
  </si>
  <si>
    <t>G*1%1,1</t>
  </si>
  <si>
    <t>TỔNG CỘNG I+II+…+V</t>
  </si>
  <si>
    <r>
      <t>(G</t>
    </r>
    <r>
      <rPr>
        <b/>
        <vertAlign val="subscript"/>
        <sz val="10"/>
        <rFont val="Segoe UI"/>
        <family val="2"/>
        <charset val="163"/>
      </rPr>
      <t>XD</t>
    </r>
    <r>
      <rPr>
        <b/>
        <sz val="10"/>
        <rFont val="Segoe UI"/>
        <family val="2"/>
        <charset val="163"/>
      </rPr>
      <t>+G</t>
    </r>
    <r>
      <rPr>
        <b/>
        <vertAlign val="subscript"/>
        <sz val="10"/>
        <rFont val="Segoe UI"/>
        <family val="2"/>
        <charset val="163"/>
      </rPr>
      <t>TB</t>
    </r>
    <r>
      <rPr>
        <b/>
        <sz val="10"/>
        <rFont val="Segoe UI"/>
        <family val="2"/>
        <charset val="163"/>
      </rPr>
      <t>+G</t>
    </r>
    <r>
      <rPr>
        <b/>
        <vertAlign val="subscript"/>
        <sz val="10"/>
        <rFont val="Segoe UI"/>
        <family val="2"/>
        <charset val="163"/>
      </rPr>
      <t>QLDA</t>
    </r>
    <r>
      <rPr>
        <b/>
        <sz val="10"/>
        <rFont val="Segoe UI"/>
        <family val="2"/>
        <charset val="163"/>
      </rPr>
      <t>+G</t>
    </r>
    <r>
      <rPr>
        <b/>
        <vertAlign val="subscript"/>
        <sz val="10"/>
        <rFont val="Segoe UI"/>
        <family val="2"/>
        <charset val="163"/>
      </rPr>
      <t>TV</t>
    </r>
    <r>
      <rPr>
        <b/>
        <sz val="10"/>
        <rFont val="Segoe UI"/>
        <family val="2"/>
        <charset val="163"/>
      </rPr>
      <t>+G</t>
    </r>
    <r>
      <rPr>
        <b/>
        <vertAlign val="subscript"/>
        <sz val="10"/>
        <rFont val="Segoe UI"/>
        <family val="2"/>
        <charset val="163"/>
      </rPr>
      <t>K</t>
    </r>
    <r>
      <rPr>
        <b/>
        <sz val="10"/>
        <rFont val="Segoe UI"/>
        <family val="2"/>
        <charset val="163"/>
      </rPr>
      <t>)</t>
    </r>
  </si>
  <si>
    <t xml:space="preserve">VII - </t>
  </si>
  <si>
    <t>XÂY DỰNG TRẠM BIẾN ÁP 320KVA</t>
  </si>
  <si>
    <r>
      <t>G</t>
    </r>
    <r>
      <rPr>
        <b/>
        <vertAlign val="subscript"/>
        <sz val="10"/>
        <color indexed="12"/>
        <rFont val="Segoe UI"/>
        <family val="2"/>
        <charset val="163"/>
      </rPr>
      <t>TBA</t>
    </r>
  </si>
  <si>
    <r>
      <t>G</t>
    </r>
    <r>
      <rPr>
        <b/>
        <vertAlign val="subscript"/>
        <sz val="10"/>
        <color indexed="12"/>
        <rFont val="Segoe UI"/>
        <family val="2"/>
        <charset val="163"/>
      </rPr>
      <t>TBATT</t>
    </r>
    <r>
      <rPr>
        <b/>
        <sz val="10"/>
        <color indexed="12"/>
        <rFont val="Segoe UI"/>
        <family val="2"/>
        <charset val="163"/>
      </rPr>
      <t xml:space="preserve"> + GTGT</t>
    </r>
  </si>
  <si>
    <t>CHI PHÍ DỰ PHÒNG</t>
  </si>
  <si>
    <r>
      <t>G</t>
    </r>
    <r>
      <rPr>
        <b/>
        <vertAlign val="subscript"/>
        <sz val="10"/>
        <color indexed="12"/>
        <rFont val="Segoe UI"/>
        <family val="2"/>
        <charset val="163"/>
      </rPr>
      <t>DP</t>
    </r>
  </si>
  <si>
    <r>
      <t>G</t>
    </r>
    <r>
      <rPr>
        <b/>
        <vertAlign val="subscript"/>
        <sz val="10"/>
        <rFont val="Segoe UI"/>
        <family val="2"/>
        <charset val="163"/>
      </rPr>
      <t xml:space="preserve">DP1 </t>
    </r>
    <r>
      <rPr>
        <b/>
        <sz val="10"/>
        <rFont val="Segoe UI"/>
        <family val="2"/>
        <charset val="163"/>
      </rPr>
      <t>+ G</t>
    </r>
    <r>
      <rPr>
        <b/>
        <vertAlign val="subscript"/>
        <sz val="10"/>
        <rFont val="Segoe UI"/>
        <family val="2"/>
        <charset val="163"/>
      </rPr>
      <t>DP2</t>
    </r>
  </si>
  <si>
    <r>
      <t>G</t>
    </r>
    <r>
      <rPr>
        <b/>
        <vertAlign val="subscript"/>
        <sz val="10"/>
        <rFont val="Segoe UI"/>
        <family val="2"/>
        <charset val="163"/>
      </rPr>
      <t>DP1</t>
    </r>
  </si>
  <si>
    <r>
      <t>(G</t>
    </r>
    <r>
      <rPr>
        <b/>
        <vertAlign val="subscript"/>
        <sz val="10"/>
        <rFont val="Segoe UI"/>
        <family val="2"/>
        <charset val="163"/>
      </rPr>
      <t>XD</t>
    </r>
    <r>
      <rPr>
        <b/>
        <sz val="10"/>
        <rFont val="Segoe UI"/>
        <family val="2"/>
        <charset val="163"/>
      </rPr>
      <t>+G</t>
    </r>
    <r>
      <rPr>
        <b/>
        <vertAlign val="subscript"/>
        <sz val="10"/>
        <rFont val="Segoe UI"/>
        <family val="2"/>
        <charset val="163"/>
      </rPr>
      <t>TB</t>
    </r>
    <r>
      <rPr>
        <b/>
        <sz val="10"/>
        <rFont val="Segoe UI"/>
        <family val="2"/>
        <charset val="163"/>
      </rPr>
      <t>+G</t>
    </r>
    <r>
      <rPr>
        <b/>
        <vertAlign val="subscript"/>
        <sz val="10"/>
        <rFont val="Segoe UI"/>
        <family val="2"/>
        <charset val="163"/>
      </rPr>
      <t>QLDA</t>
    </r>
    <r>
      <rPr>
        <b/>
        <sz val="10"/>
        <rFont val="Segoe UI"/>
        <family val="2"/>
        <charset val="163"/>
      </rPr>
      <t>+Gtv7+…+Gtv11+Gk5+…+Gk7+Gk11</t>
    </r>
    <r>
      <rPr>
        <b/>
        <sz val="10"/>
        <rFont val="Segoe UI"/>
        <family val="2"/>
        <charset val="163"/>
      </rPr>
      <t>)*5%</t>
    </r>
  </si>
  <si>
    <t>Chi phí dự phòng cho yếu tố trượt giá</t>
  </si>
  <si>
    <r>
      <t>G</t>
    </r>
    <r>
      <rPr>
        <b/>
        <vertAlign val="subscript"/>
        <sz val="10"/>
        <rFont val="Segoe UI"/>
        <family val="2"/>
        <charset val="163"/>
      </rPr>
      <t>DP2</t>
    </r>
    <r>
      <rPr>
        <sz val="10"/>
        <rFont val="VNI-Aptima"/>
      </rPr>
      <t/>
    </r>
  </si>
  <si>
    <t>(Bảng tính)</t>
  </si>
  <si>
    <r>
      <t>(V' -L</t>
    </r>
    <r>
      <rPr>
        <b/>
        <i/>
        <vertAlign val="subscript"/>
        <sz val="10"/>
        <rFont val="Segoe UI"/>
        <family val="2"/>
        <charset val="163"/>
      </rPr>
      <t>vay</t>
    </r>
    <r>
      <rPr>
        <b/>
        <i/>
        <sz val="10"/>
        <rFont val="Segoe UI"/>
        <family val="2"/>
        <charset val="163"/>
      </rPr>
      <t>)*(I</t>
    </r>
    <r>
      <rPr>
        <b/>
        <i/>
        <vertAlign val="subscript"/>
        <sz val="10"/>
        <rFont val="Segoe UI"/>
        <family val="2"/>
        <charset val="163"/>
      </rPr>
      <t>XDbq</t>
    </r>
    <r>
      <rPr>
        <b/>
        <i/>
        <sz val="10"/>
        <rFont val="Segoe UI"/>
        <family val="2"/>
        <charset val="163"/>
      </rPr>
      <t xml:space="preserve"> ± DI</t>
    </r>
    <r>
      <rPr>
        <b/>
        <i/>
        <vertAlign val="subscript"/>
        <sz val="10"/>
        <rFont val="Segoe UI"/>
        <family val="2"/>
        <charset val="163"/>
      </rPr>
      <t>XD</t>
    </r>
    <r>
      <rPr>
        <b/>
        <i/>
        <sz val="10"/>
        <rFont val="Segoe UI"/>
        <family val="2"/>
        <charset val="163"/>
      </rPr>
      <t>)</t>
    </r>
  </si>
  <si>
    <t xml:space="preserve">VIII - </t>
  </si>
  <si>
    <t>CHI PHÍ TRẠM BIẾN ÁP 320KVA</t>
  </si>
  <si>
    <t>(QĐ số 1781/SCT-QLNL ngày 06/03/2017)</t>
  </si>
  <si>
    <t xml:space="preserve">IX - </t>
  </si>
  <si>
    <t>TỔNG GIÁ TRỊ DỰ TOÁN</t>
  </si>
  <si>
    <r>
      <t>G</t>
    </r>
    <r>
      <rPr>
        <b/>
        <vertAlign val="subscript"/>
        <sz val="10"/>
        <rFont val="Segoe UI"/>
        <family val="2"/>
        <charset val="163"/>
      </rPr>
      <t>XDCT</t>
    </r>
  </si>
  <si>
    <r>
      <t>(G</t>
    </r>
    <r>
      <rPr>
        <b/>
        <vertAlign val="subscript"/>
        <sz val="10"/>
        <rFont val="Segoe UI"/>
        <family val="2"/>
        <charset val="163"/>
      </rPr>
      <t>XD</t>
    </r>
    <r>
      <rPr>
        <b/>
        <sz val="10"/>
        <rFont val="Segoe UI"/>
        <family val="2"/>
        <charset val="163"/>
      </rPr>
      <t>+G</t>
    </r>
    <r>
      <rPr>
        <b/>
        <vertAlign val="subscript"/>
        <sz val="10"/>
        <rFont val="Segoe UI"/>
        <family val="2"/>
        <charset val="163"/>
      </rPr>
      <t>TB</t>
    </r>
    <r>
      <rPr>
        <b/>
        <sz val="10"/>
        <rFont val="Segoe UI"/>
        <family val="2"/>
        <charset val="163"/>
      </rPr>
      <t>+G</t>
    </r>
    <r>
      <rPr>
        <b/>
        <vertAlign val="subscript"/>
        <sz val="10"/>
        <rFont val="Segoe UI"/>
        <family val="2"/>
        <charset val="163"/>
      </rPr>
      <t>QLDA</t>
    </r>
    <r>
      <rPr>
        <b/>
        <sz val="10"/>
        <rFont val="Segoe UI"/>
        <family val="2"/>
        <charset val="163"/>
      </rPr>
      <t>+G</t>
    </r>
    <r>
      <rPr>
        <b/>
        <vertAlign val="subscript"/>
        <sz val="10"/>
        <rFont val="Segoe UI"/>
        <family val="2"/>
        <charset val="163"/>
      </rPr>
      <t>TV</t>
    </r>
    <r>
      <rPr>
        <b/>
        <sz val="10"/>
        <rFont val="Segoe UI"/>
        <family val="2"/>
        <charset val="163"/>
      </rPr>
      <t>+G</t>
    </r>
    <r>
      <rPr>
        <b/>
        <vertAlign val="subscript"/>
        <sz val="10"/>
        <rFont val="Segoe UI"/>
        <family val="2"/>
        <charset val="163"/>
      </rPr>
      <t>K</t>
    </r>
    <r>
      <rPr>
        <b/>
        <sz val="10"/>
        <rFont val="Segoe UI"/>
        <family val="2"/>
        <charset val="163"/>
      </rPr>
      <t>+G</t>
    </r>
    <r>
      <rPr>
        <b/>
        <vertAlign val="subscript"/>
        <sz val="10"/>
        <rFont val="Segoe UI"/>
        <family val="2"/>
        <charset val="163"/>
      </rPr>
      <t>DP</t>
    </r>
    <r>
      <rPr>
        <b/>
        <sz val="10"/>
        <rFont val="Segoe UI"/>
        <family val="2"/>
        <charset val="163"/>
      </rPr>
      <t>)</t>
    </r>
  </si>
  <si>
    <r>
      <t>G</t>
    </r>
    <r>
      <rPr>
        <b/>
        <vertAlign val="subscript"/>
        <sz val="10"/>
        <rFont val="Segoe UI"/>
        <family val="2"/>
        <charset val="163"/>
      </rPr>
      <t>XD</t>
    </r>
    <r>
      <rPr>
        <b/>
        <sz val="10"/>
        <rFont val="Segoe UI"/>
        <family val="2"/>
        <charset val="163"/>
      </rPr>
      <t>+G</t>
    </r>
    <r>
      <rPr>
        <b/>
        <vertAlign val="subscript"/>
        <sz val="10"/>
        <rFont val="Segoe UI"/>
        <family val="2"/>
        <charset val="163"/>
      </rPr>
      <t>TB</t>
    </r>
    <r>
      <rPr>
        <b/>
        <sz val="10"/>
        <rFont val="Segoe UI"/>
        <family val="2"/>
        <charset val="163"/>
      </rPr>
      <t>+G</t>
    </r>
    <r>
      <rPr>
        <b/>
        <vertAlign val="subscript"/>
        <sz val="10"/>
        <rFont val="Segoe UI"/>
        <family val="2"/>
        <charset val="163"/>
      </rPr>
      <t>QLDA</t>
    </r>
    <r>
      <rPr>
        <b/>
        <sz val="10"/>
        <rFont val="Segoe UI"/>
        <family val="2"/>
        <charset val="163"/>
      </rPr>
      <t>+G</t>
    </r>
    <r>
      <rPr>
        <b/>
        <vertAlign val="subscript"/>
        <sz val="10"/>
        <rFont val="Segoe UI"/>
        <family val="2"/>
        <charset val="163"/>
      </rPr>
      <t>TV</t>
    </r>
    <r>
      <rPr>
        <b/>
        <sz val="10"/>
        <rFont val="Segoe UI"/>
        <family val="2"/>
        <charset val="163"/>
      </rPr>
      <t>+G</t>
    </r>
    <r>
      <rPr>
        <b/>
        <vertAlign val="subscript"/>
        <sz val="10"/>
        <rFont val="Segoe UI"/>
        <family val="2"/>
        <charset val="163"/>
      </rPr>
      <t>K</t>
    </r>
    <r>
      <rPr>
        <b/>
        <sz val="10"/>
        <rFont val="Segoe UI"/>
        <family val="2"/>
        <charset val="163"/>
      </rPr>
      <t>+G</t>
    </r>
    <r>
      <rPr>
        <b/>
        <vertAlign val="subscript"/>
        <sz val="10"/>
        <rFont val="Segoe UI"/>
        <family val="2"/>
        <charset val="163"/>
      </rPr>
      <t>TBA</t>
    </r>
    <r>
      <rPr>
        <b/>
        <sz val="10"/>
        <rFont val="Segoe UI"/>
        <family val="2"/>
        <charset val="163"/>
      </rPr>
      <t>+G</t>
    </r>
    <r>
      <rPr>
        <b/>
        <vertAlign val="subscript"/>
        <sz val="10"/>
        <rFont val="Segoe UI"/>
        <family val="2"/>
        <charset val="163"/>
      </rPr>
      <t>DP</t>
    </r>
  </si>
  <si>
    <t>BẠN HÃY NHẬP NHÓM CÔNG TRÌNH</t>
  </si>
  <si>
    <t>DD</t>
  </si>
  <si>
    <t>BẠN HÃY NHẬP CẤP CÔNG TRÌNH</t>
  </si>
  <si>
    <t>CÓ MẤY BƯỚC THIẾT KẾ</t>
  </si>
  <si>
    <t>CÔNG TRÌNH CHỈ LẬP BÁO CÁO KINH TẾ KỸ THUẬT</t>
  </si>
  <si>
    <t>COÙ</t>
  </si>
  <si>
    <t>KHOÂNG</t>
  </si>
  <si>
    <t>SỬ DỤNG THIẾT KẾ ĐIỂN HÌNH K=0,8 (LẬP DỰ ÁN); K=0,65 (LẬP BCKTKT)</t>
  </si>
  <si>
    <t>DÖÏ AÙN</t>
  </si>
  <si>
    <t>BCKTKT</t>
  </si>
  <si>
    <t xml:space="preserve">BCKTKT </t>
  </si>
  <si>
    <t>LOẠI CÔNG TRÌNH</t>
  </si>
  <si>
    <t>KÍ HIỆU</t>
  </si>
  <si>
    <t>NHAÄP KYÙ HIEÄU VAØO OÂ NAØY:</t>
  </si>
  <si>
    <t>CÔNG TRÌNH DÂN DỤNG</t>
  </si>
  <si>
    <t>CÔNG TRÌNH CÔNG NGHIỆP</t>
  </si>
  <si>
    <t>CN</t>
  </si>
  <si>
    <t>CÔNG TRÌNH GIAO THÔNG</t>
  </si>
  <si>
    <t>GT</t>
  </si>
  <si>
    <t>CÔNG TRÌNH THỦY LỢI</t>
  </si>
  <si>
    <t>TL</t>
  </si>
  <si>
    <t>HẠ TẦNG KỸ THUẬT</t>
  </si>
  <si>
    <t>HTKT</t>
  </si>
  <si>
    <t>CÁC CÔNG TRÌNH DÂN DỤNG THIẾT KẾ 3 BƯỚC, TA CÓ K=1,2</t>
  </si>
  <si>
    <t>DD33</t>
  </si>
  <si>
    <t>NHẬP KÝ HIỆU VÀO Ô NÀY:</t>
  </si>
  <si>
    <t>DD3</t>
  </si>
  <si>
    <t>CÁC CÔNG TRÌNH CẤP 1, THÌ K=1,1</t>
  </si>
  <si>
    <t>DD1</t>
  </si>
  <si>
    <t>CÁC CÔNG TRÌNH CẤP 2, THÌ K=1,2</t>
  </si>
  <si>
    <t>DD2</t>
  </si>
  <si>
    <t>CÁC CÔNG TRÌNH CẤP 3, THÌ K=1,34</t>
  </si>
  <si>
    <t>CÔNG TRÌNH SAN NỀN 40%ĐMCPTKCT CẤP 4, CÔNG TRÌNH GT</t>
  </si>
  <si>
    <t>SL</t>
  </si>
  <si>
    <t>CÔNG TRÌNH SỮA CHỮA, CẢI TẠO, NÂNG CẤP MỞ RỘNG</t>
  </si>
  <si>
    <t>KHÔNG THAY ĐỔI KẾT CẤU CHỊU LỰC K=1,1</t>
  </si>
  <si>
    <t>KCL</t>
  </si>
  <si>
    <t>THAY ĐỔI KẾT CẤU CHỊU LỰC, THIẾT KẾ CẢI TẠO, NÂNG CẤP DÂY CHUYỀN CÔNG NGHỆ, BỔ SUNG THIẾT BỊ K=1,2</t>
  </si>
  <si>
    <t>CL</t>
  </si>
  <si>
    <t>THAY ĐỔI KẾT CẤU CHỊU LỰC, VÀ MÓNG CT HAY HẠNG MỤC CT: K=1,3</t>
  </si>
  <si>
    <t>CLM</t>
  </si>
  <si>
    <t>TK MỞ RÔNG CÓ KẾT NỐI DCCN HIỆN CÓ, K=1,15</t>
  </si>
  <si>
    <t>MRN</t>
  </si>
  <si>
    <t>TK MỞ RÔNG , K=1,0</t>
  </si>
  <si>
    <t>MR</t>
  </si>
  <si>
    <t>TK CÔNG TRÌNH Ở HẢI ĐẢO, k=1,15</t>
  </si>
  <si>
    <t>NSX</t>
  </si>
  <si>
    <t>CÓ KIỂM TOÁN HAY KHÔNG</t>
  </si>
  <si>
    <t>CÓ = 1; KHÔNG; 0</t>
  </si>
  <si>
    <t>CHI PHÍ QUẢN LÝ DỰ ÁN</t>
  </si>
  <si>
    <t>Ở HẢI DẢO, BIÊN GIỚI</t>
  </si>
  <si>
    <t>TAÊNG 1,35</t>
  </si>
  <si>
    <t>Ở VÙNG KINH TẾ ĐẶC BIỆT KHÓ KHĂN</t>
  </si>
  <si>
    <t>TAÊNG 1,25</t>
  </si>
  <si>
    <t>CHI PHÍ LẬP DỰ ÁN</t>
  </si>
  <si>
    <t>CẢI TẠO, SỮA CHỬA, MỞ RỘNG THAY ĐỔI KẾT CẤU KẾT NỐI CÔNG TRÌNH HIỆN HỮU</t>
  </si>
  <si>
    <t>TAÊNG 1,2</t>
  </si>
  <si>
    <t>KHI SỬ DỤNG THIẾT KẾ MẪU DIỂN HÌNH</t>
  </si>
  <si>
    <t>GIAÛM 0,8</t>
  </si>
  <si>
    <t>Tr−ờng hợp lập dự án đầu t− m_x0011_ ch−a c? quy hoạch chi ti?t xây dựng tỷ lệ</t>
  </si>
  <si>
    <t>1/500 đ−ợc duyệt, chủ đầu t− phải lập quy hoạch chi ti?t xây dựng tỷ lệ 1/500</t>
  </si>
  <si>
    <t>của dự án l_x0011_m sơ sở để cơ quan c? thẩm quy?n v? quy hoạch chấp thuận thì chi</t>
  </si>
  <si>
    <t>ph? lập quy hoạch chi ti?t xây dựng tỷ lệ 1/500 của dự án xác đ?nh bằng 65%</t>
  </si>
  <si>
    <t>mức chi ph? lập quy hoạch chi ti?t xây dựng đô th? tỷ lệ 1/500 theo quy đ?nh hiện</t>
  </si>
  <si>
    <t>h_x0011_nh. Chi ph? thẩm đ?nh thi?t k? quy hoạch chi ti?t xây dựng tỷ lệ 1/500 n?i trên</t>
  </si>
  <si>
    <t>xác đ?nh bằng đ?nh mức tỷ lệ phần trăm (%) nh− đ?nh mức chi ph? thẩm đ?nh đồ</t>
  </si>
  <si>
    <t>án quy hoạch chi ti?t xây dựng đô th? tỷ lệ 1/500 theo quy đ?nh hiện h_x0011_nh.</t>
  </si>
  <si>
    <t>Chi ph? lập báo cáo kinh t? - kỹ thuật xác đ?nh theo đ?nh mức nh−ng tối thiểu không nhỏ hơn 10.000.000 đồng.</t>
  </si>
  <si>
    <t>K=1,2 đối với các công trình c? yêu cầu thi?t k? 3 b−ớc, gồm: khách</t>
  </si>
  <si>
    <t>sạn; tr−ờng đại học quốc gia; công trình văn hoá cấp tỉnh, th_x0011_nh phố, quốc gia;</t>
  </si>
  <si>
    <t>công trình t−ợng đ_x0011_i, đ_x0011_i t−ởng niệm; bệnh viện trung −ơng, quốc t?; nh_x0011_ thi đấu</t>
  </si>
  <si>
    <t>thể thao c? mái che; trụ sở l_x0011_m việc cấp nh_x0011_ n−ớc; trung tâm hội ngh? quốc gia,</t>
  </si>
  <si>
    <t>quốc t?; tháp truy?n hình.</t>
  </si>
  <si>
    <t>+ Công trình ga h_x0011_ng không, đ_x0011_i l−u không, đ_x0011_i chỉ huy: cấp I: K = 1,1;</t>
  </si>
  <si>
    <t>cấp II: K = 1,2; cấp III: K = 1,34.</t>
  </si>
  <si>
    <t>3.5.1. Chi ph? thẩm tra thi?t k? kỹ thuật đối với công trình c? yêu cầu thi?t k? 3</t>
  </si>
  <si>
    <t>b−ớc; thẩm tra thi?t k? bản vẽ thi công đối với công trình c? yêu cầu thi?t k? 1</t>
  </si>
  <si>
    <t>b−ớc v_x0011_ 2 b−ớc xác đ?nh theo đ?nh mức tỷ lệ phần trăm (%) (đ?nh mức công bố</t>
  </si>
  <si>
    <t>tại bảng số 15 trong Quy?t đ?nh n_x0011_y) v_x0011_ nhân với chi ph? xây dựng (ch−a c? thu?</t>
  </si>
  <si>
    <t>giá tr? gia tăng) trong dự toán công trình đ−ợc duyệt. Tr−ờng hợp công việc thi?t</t>
  </si>
  <si>
    <t>k? đ−ợc thực hiện theo g?i thầu thì chi ph? thẩm tra thi?t k? xác đ?nh theo đ?nh</t>
  </si>
  <si>
    <t>mức tỷ lệ phần trăm (%) (đ?nh mức công bố tại bảng số 15 trong Quy?t đ?nh</t>
  </si>
  <si>
    <t>n_x0011_y) v_x0011_ nhân với chi ph? xây dựng ch−a c? thu? giá tr? gia tăng trong dự toán g?i</t>
  </si>
  <si>
    <t>thầu đ−ợc duyệt v_x0011_ đi?u chỉnh với hệ số K = 0,9.</t>
  </si>
  <si>
    <t>Chi ph? thẩm tra thi?t k? bản vẽ thi công đối với công trình c? yêu cầu</t>
  </si>
  <si>
    <t>thi?t k? 3 b−ớc xác đ?nh bằng 40% chi ph? thẩm tra thi?t k? kỹ thuật. Chi ph?</t>
  </si>
  <si>
    <t>thẩm tra thi?t k? công nghệ (n?u c?) xác đ?nh bằng lập dự toán.</t>
  </si>
  <si>
    <t>- Chi ph? thẩm tra thi?t k? của công trình c? sử dụng thi?t k? điển hình, thi?t k? mẫu do cơ quan c? thẩm quy?n ban h_x0011_nh đi?u</t>
  </si>
  <si>
    <t>chỉnh với hệ số: k = 0,36 đối với công trình thứ hai trở đi.</t>
  </si>
  <si>
    <t>- Chi ph? thẩm tra thi?t k? công trình san n?n t?nh bằng 40% đ?nh mức chi ph? thẩm tra thi?t k? công trình giao thông cấp IV.</t>
  </si>
  <si>
    <t>- Chi ph? thẩm tra thi?t k? xác đ?nh theo đ?nh mức nh−ng tối thiểu không nhỏ hơn 2.000.000 đồng.</t>
  </si>
  <si>
    <t>3.6.1. Chi ph? thẩm tra dự toán xác đ?nh theo đ?nh mức tỷ lệ phần trăm (%) (đ?nh</t>
  </si>
  <si>
    <t>mức công bố tại bảng số 16 trong Quy?t đ?nh n_x0011_y) v_x0011_ nhân với chi ph? xây dựng</t>
  </si>
  <si>
    <t>(ch−a c? thu? giá tr? gia tăng) trong dự toán công trình hoặc dự toán g?i thầu</t>
  </si>
  <si>
    <t>đ−ợc duyệt. Tr−ờng hợp chi ph? thi?t b? chi?m tỷ trọng _x0001_ 50% của giá tr? dự toán</t>
  </si>
  <si>
    <t>công trình hoặc giá tr? dự toán g?i thầu thì chi ph? thẩm tra dự toán đ−ợc đi?u</t>
  </si>
  <si>
    <t>chỉnh với hệ số K = 1,3.</t>
  </si>
  <si>
    <t>3.6.2. Chi ph? thẩm tra dự toán đi?u chỉnh, bổ sung, sửa đổi hoặc thẩm tra lại dự</t>
  </si>
  <si>
    <t>toán (không do lỗi của nh_x0011_ thầu t− vấn thẩm tra dự toán) đ−ợc xác đ?nh bằng lập</t>
  </si>
  <si>
    <t>dự toán.</t>
  </si>
  <si>
    <t>- Chi ph? thẩm dự toán của công trình c? sử dụng thi?t k? điển hình, thi?t k? mẫu do cơ quan c? thẩm quy?n ban h_x0011_nh đi?u</t>
  </si>
  <si>
    <t>- Chi ph? thẩm tra dự toán công trình san n?n t?nh bằng 40% đ?nh mức chi ph? thẩm tra dự toán công trình giao thông cấp IV.</t>
  </si>
  <si>
    <t>- Chi ph? thẩm tra dự toán xác đ?nh theo đ?nh mức nh−ng tối thiểu không nhỏ hơn 2.000.000 đồng.</t>
  </si>
  <si>
    <t>- Đ?nh mức chi ph? lập hồ sơ mời thầu v_x0011_ đánh giá hồ sơ dự thầu thi công xây dựng công trình t?nh theo đ?nh mức tại bảng số</t>
  </si>
  <si>
    <t>17 v_x0011_ phân chia nh− sau:</t>
  </si>
  <si>
    <t>+ Lập hồ sơ mời thầu: 40%</t>
  </si>
  <si>
    <t>+ Phân t?ch đánh giá hồ sơ dự thầu: 60%</t>
  </si>
  <si>
    <t>- Tr−ờng hợp phải sơ tuyển thì bổ sung thêm chi ph? bằng 15% của chi ph? lập hồ sơ mời thầu v_x0011_ phân t?ch đánh giá hồ sơ dự</t>
  </si>
  <si>
    <t>thầu t?nh theo đ?nh mức tại bảng số 17.</t>
  </si>
  <si>
    <t>- Đ?nh mức chi ph? lập hồ sơ mời thầu v_x0011_ đánh giá hồ sơ dự thầu mua sắm thi?t b? công trình t?nh theo đ?nh mức tại bảng số 18</t>
  </si>
  <si>
    <t>v_x0011_ phân chia nh− sau:</t>
  </si>
  <si>
    <t>thầu t?nh theo đ?nh mức tại bảng số 18.</t>
  </si>
  <si>
    <t>3.8.3. Chi ph? giám sát thi công xây dựng v_x0011_ giám sát lắp đặt thi?t b? các công</t>
  </si>
  <si>
    <t>trình xây dựng tại hải đảo, biên giới v_x0011_ vùng c? đi?u kiện kinh t? - xn hội đặc</t>
  </si>
  <si>
    <t>biệt kh? khăn theo quy đ?nh hiện h_x0011_nh đ−ợc đi?u chỉnh với hệ số K = 1,2.</t>
  </si>
  <si>
    <t>BẢNG TỔNG HỢP CHI PHÍ LẮP, THIẾT BỊ VÀ
HẠNG MỤC CHUNG</t>
  </si>
  <si>
    <t>Đơn vị tính: Đồng Việt Nam</t>
  </si>
  <si>
    <t>GIÁ TRƯỚC THUẾ</t>
  </si>
  <si>
    <t>THUẾ VAT</t>
  </si>
  <si>
    <t>CỘNG XÂY DỰNG</t>
  </si>
  <si>
    <t>CỘNG THIẾT BỊ</t>
  </si>
  <si>
    <t>TỔNG CỘNG</t>
  </si>
  <si>
    <t>XÂY DỰNG</t>
  </si>
  <si>
    <t>SAU THUẾ</t>
  </si>
  <si>
    <t>(1)</t>
  </si>
  <si>
    <t>(2)</t>
  </si>
  <si>
    <t>(3)</t>
  </si>
  <si>
    <t>(4)=(3)*10%</t>
  </si>
  <si>
    <t>(5)=(3)+(4)</t>
  </si>
  <si>
    <t>(6)</t>
  </si>
  <si>
    <t>(7)=(5)+(6)</t>
  </si>
  <si>
    <t>Các hạng mục xây dựng nhóm dân dụng</t>
  </si>
  <si>
    <t>Kết cấu + Kiến trúc - Khối nhà chính</t>
  </si>
  <si>
    <t>1.1</t>
  </si>
  <si>
    <t>Kết cấu</t>
  </si>
  <si>
    <t>1.2</t>
  </si>
  <si>
    <t xml:space="preserve"> Kiến trúc</t>
  </si>
  <si>
    <t>Nhà bảo vệ</t>
  </si>
  <si>
    <t>Cổng, tường rào</t>
  </si>
  <si>
    <t>Cột cờ</t>
  </si>
  <si>
    <t>Cầu thang thép</t>
  </si>
  <si>
    <t>Bể tự hoại, bể tách mỡ</t>
  </si>
  <si>
    <t>Hệ thống cấp thoát nước nhà chính</t>
  </si>
  <si>
    <t>Hệ thống điện nhà chính</t>
  </si>
  <si>
    <t>Hệ thống điều hòa không khí + Thông gió</t>
  </si>
  <si>
    <t>Hệ thống thông tin liên lạc</t>
  </si>
  <si>
    <t>Hệ thống chống sét</t>
  </si>
  <si>
    <t>Hệ thống phòng cháy, chữa cháy</t>
  </si>
  <si>
    <t>II -</t>
  </si>
  <si>
    <t>Các hạng mục xây dựng nhóm hạ tầng kỹ thuật và giao thông</t>
  </si>
  <si>
    <t>San nền</t>
  </si>
  <si>
    <t>Nhà xe</t>
  </si>
  <si>
    <t>Hồ nước ngầm</t>
  </si>
  <si>
    <t>Hệ thống cấp thoát nước tổng thể</t>
  </si>
  <si>
    <t>Hệ thống điện tổng thể</t>
  </si>
  <si>
    <t>Đường nội bộ + bó vỉa + sân</t>
  </si>
  <si>
    <t>Cây xanh</t>
  </si>
  <si>
    <t>III-</t>
  </si>
  <si>
    <t>Thiết bị chuyên dụng</t>
  </si>
  <si>
    <t>Thiết bị trường học, thiết bị văn phòng</t>
  </si>
  <si>
    <t>Chi phí bảng tên phòng, chức danh… (150 bảng KT: 120mm x3 00mm) * 50.000 vnđ/bảng</t>
  </si>
  <si>
    <t>TỔNG CỘNG  =</t>
  </si>
  <si>
    <t>Ö</t>
  </si>
  <si>
    <t>tạm tính theo khối lượng cũ</t>
  </si>
  <si>
    <t xml:space="preserve">BẢNG TỔNG HỢP CHI PHÍ LẮP, THIẾT BỊ </t>
  </si>
  <si>
    <t>GHI CHÚ</t>
  </si>
  <si>
    <t>(4)=(3)*8%</t>
  </si>
  <si>
    <t>(8)</t>
  </si>
  <si>
    <t>Khối Nhà văn hóa</t>
  </si>
  <si>
    <t>Đang cập nhật khối lượng</t>
  </si>
  <si>
    <t>Khối Nhà hành chính</t>
  </si>
  <si>
    <t>Khối lượng cập nhật khoảng 85% 
(Chưa có bảng TK thép móng, các bản vẽ chi tiết chưa thống nhất)</t>
  </si>
  <si>
    <t>Khối Nhà triển lãm</t>
  </si>
  <si>
    <t>Khối lượng cập nhật khoảng 85% 
( Liên kết kết cấu hiện trạng và cải tạo, iên kết lam nhôm vào tường chưa thể hiện…)</t>
  </si>
  <si>
    <t>Bể tự hoại</t>
  </si>
  <si>
    <t xml:space="preserve">Khối lượng cập nhật khoảng 95% </t>
  </si>
  <si>
    <t>Bể xử lý nước thải</t>
  </si>
  <si>
    <t>Bể nước ngầm</t>
  </si>
  <si>
    <t>Hệ thống cấp thoát nước khối Nhà văn hóa</t>
  </si>
  <si>
    <t>Đã cập nhật theo thống kê</t>
  </si>
  <si>
    <t>Hệ thống cấp thoát nước khối Nhà hành chính</t>
  </si>
  <si>
    <t>Hệ thống cấp thoát nước khối Nhà triển lãm</t>
  </si>
  <si>
    <t>Hệ thống điện khối Nhà văn hóa</t>
  </si>
  <si>
    <t>Hệ thống điện khối Nhà hành chính</t>
  </si>
  <si>
    <t>Hệ thống điện khối Nhà triển lãm</t>
  </si>
  <si>
    <t>Hệ thống điều hòa không khí + Thông gió khối Nhà văn hóa</t>
  </si>
  <si>
    <t>Hệ thống điều hòa không khí + Thông gió khối Nhà hành chính</t>
  </si>
  <si>
    <t>Hệ thống điều hòa không khí + Thông gió khối Nhà triển lãm</t>
  </si>
  <si>
    <t>Hệ thống mạng - Điện thoại - IP Camera</t>
  </si>
  <si>
    <t>chưa có đào mương</t>
  </si>
  <si>
    <t>Hệ thống âm thanh thông báo</t>
  </si>
  <si>
    <t>Cổng + tường rào</t>
  </si>
  <si>
    <t>Khối lượng cập nhật khoảng 90% 
( chưa thể hiện bản vẽ mặt đứng tường rào hiện trạng)</t>
  </si>
  <si>
    <t>Hệ thống PCCC</t>
  </si>
  <si>
    <t>Chưa có</t>
  </si>
  <si>
    <t>II-</t>
  </si>
  <si>
    <t>C.TY TNHH THIẾT KẾ XÂY DỰNG</t>
  </si>
  <si>
    <t>CỘNG HÒA XÃ HỘI CHỦ NGHĨA VIỆT NAM</t>
  </si>
  <si>
    <t>ĐIỂM KIẾN TRÚC</t>
  </si>
  <si>
    <t>ĐỘC LẬP - TỰ DO - HẠNH PHÚC</t>
  </si>
  <si>
    <t>*******oOo*******</t>
  </si>
  <si>
    <t>KHÁI TOÁN TỔNG MỨC ĐẦU TƯ</t>
  </si>
  <si>
    <t>CÔNG TRÌNH : NÂNG CẤP, CẢI TẠO TRỤ SỞ CHÍNH TRUNG TÂM VĂN HÓA - THỂ THAO - TRUYỀN THÔNG HUYỆN</t>
  </si>
  <si>
    <t>Tên công trình: BỆNH VIỆN ĐA KHOA KHU VỰC BẮC QUẢNG BÌNH (CƠ SỞ 2)</t>
  </si>
  <si>
    <t>ĐỊA ĐIỂM : THỊ TRẤN HÓC MÔN - HUYỆN HÓC MÔN - TP.HCM</t>
  </si>
  <si>
    <t>THÀNH PHỐ HỒ CHÍ MINH - NĂM 2024</t>
  </si>
  <si>
    <t>Cộng hòa xã hội chủ nghĩa Việt Nam</t>
  </si>
  <si>
    <t>Độc lập - Tự do - Hạnh phúc</t>
  </si>
  <si>
    <t>----------o0o----------</t>
  </si>
  <si>
    <t>Tp.Hồ Chí Minh, ngày …... tháng ……. năm 2024</t>
  </si>
  <si>
    <t>TỔNG GIÁ TRỊ (làm tròn):</t>
  </si>
  <si>
    <t>đvn</t>
  </si>
  <si>
    <t>Trong đó:</t>
  </si>
  <si>
    <t xml:space="preserve"> </t>
  </si>
  <si>
    <t>Chi phí xây dựng  =</t>
  </si>
  <si>
    <t>Chi phí thiết bị =</t>
  </si>
  <si>
    <t>Chi phí quản lý dự án =</t>
  </si>
  <si>
    <t>Chi phí tư vấn đầu tư xây dựng =</t>
  </si>
  <si>
    <t>Chi phí khác =</t>
  </si>
  <si>
    <t>Chi phí dự phòng =</t>
  </si>
  <si>
    <t>CHỦ ĐẦU TƯ</t>
  </si>
  <si>
    <t>ĐƠN VỊ TƯ VẤN THIẾT KẾ</t>
  </si>
  <si>
    <t>BAN QUẢN LÝ DỰ ÁN ĐẦU TƯ</t>
  </si>
  <si>
    <t>XÂY DỰNG KHU VỰC HUYỆN HÓC MÔN</t>
  </si>
  <si>
    <t>Giám đốc</t>
  </si>
  <si>
    <t>Chủ trì lập dự toán</t>
  </si>
  <si>
    <t>PHAN THANH TÙNG</t>
  </si>
  <si>
    <t>ĐOÀN CÔNG UẨN</t>
  </si>
  <si>
    <t>Chứng chỉ hành nghề định giá XD hạng II, số HCM-00062151</t>
  </si>
  <si>
    <t>THUYẾT MINH DỰ TOÁN</t>
  </si>
  <si>
    <t>CÔNG TRÌNH : NÂNG CẤP, CẢI TẠO TRỤ SỞ CHÍNH TRUNG TÂM VĂN HÓA - THỂ THAO - TRUYỀN THÔNG HUYỆN
ĐỊA ĐIỂM: THỊ TRẤN HÓC MÔN, HUYỆN HÓC MÔN</t>
  </si>
  <si>
    <t>A- CĂN CỨ LẬP DỰ TOÁN:</t>
  </si>
  <si>
    <t>Các văn bản:</t>
  </si>
  <si>
    <t>Nghị định 10/2021/NĐ-CP ngày 09/02/2021 của Chính phủ về quản lý chi phí đầu tư xây dựng.</t>
  </si>
  <si>
    <t>Nghị định số 15/2021/NĐ-CP ngày 03/3/2021 của Chính phủ Quy định chi tiết một số nội dung về quản lý dự án đầu tư xây dựng;</t>
  </si>
  <si>
    <t>Nghị định số 99/2021/NĐ-CP ngày 11/11/2021 của Chính phủ quy định về quản lý, thanh toán, quyết toán dự án sử dụng vốn đầu tư công</t>
  </si>
  <si>
    <t>Thông tư số 27/2023/TT-BTC ngày 12/05/2023 của Bộ Tài Chính quy định mức thu, chế độ thu, nộp, quản lý và sử dụng phí thẩm định thiết kế kỹ thuật, phí thẩm định dự toán xây dựng;</t>
  </si>
  <si>
    <t>Thông tư số 28/2023/TT-BTC ngày 12/05/2023 của Bộ Tài Chính quy định mức thu, chế độ thu, nộp, quản lý và sử dụng phí thẩm định dự án đầu tư xây dựng;</t>
  </si>
  <si>
    <t>Nghị định số 29/2021/NĐ-CP ngày 26/03/2021 của Chính phủ quy định về trình tự, thủ tục thẩm định dự án quan trọng quốc gia và giám sát, đánh giá đầu tư.</t>
  </si>
  <si>
    <t>Thông tư số 06/2021/TT-BXD ngày 30 tháng 6 năm 2021 của Bộ Xây dựng quy định về phân cấp công trình xây dựng và hướng dẫn áp dụng trong quản lý hoạt động đầu tư xây dựng;</t>
  </si>
  <si>
    <t>Thông tư số 11/2021/TT-BXD ngày 31/08/2021 của Bộ Xây dựng về việc hướng dẫn xác định và quản lý chi phí đầu tư xây dựng.</t>
  </si>
  <si>
    <t>Thông tư số 12/2021/TT-BXD ngày 31/08/2021 của Bộ Xây dựng về việc Ban hành định mức xây dựng.</t>
  </si>
  <si>
    <t>Thông tư số 13/2021/TT-BXD ngày 31/08/2021 của Bộ Xây dựng về việc hướng dẫn phương pháp xác định các chỉ tiêu kinh tế kỹ thuật và đo bóc khối lượng công trình.</t>
  </si>
  <si>
    <t>Nghị định số 24/2024/NĐ-CP ngày 27/02/2024 của Chính phủ quy định chi tiết một số điều và biện pháp thi hành Luật đấu thầu về lựa chọn nhà thầu</t>
  </si>
  <si>
    <t>Nghị định 67/2023/NĐ-CP ngày 06/9/2023 quy định về bảo hiểm bắt buộc trách nhiệm của chủ xe cơ giới, bảo hiểm cháy, nổ bắt buộc, bảo hiểm bắt buộc trong hoạt động đầu tư xây dựng</t>
  </si>
  <si>
    <t>Thông tư 258/2016/TT-BTC ngày 11/11/2016 của bộ Tài chính qui định mức thu, chế độ thu, nộp, quản lý và sử dụng phí thẩm duyệt thiết kế về phòng cháy và chữa cháy./.</t>
  </si>
  <si>
    <t>Một số tài liệu khác có liên quan.</t>
  </si>
  <si>
    <t>Định mức:</t>
  </si>
  <si>
    <t>Định mức xây dựng công bố kèm theo Thông tư số 12/2021/TT-BXD ngày 31/08/2021 của Bộ xây dựng.</t>
  </si>
  <si>
    <t>Định mức dự toán công tác Dịch vụ công ích công bố kèm theo văn bản số 590, 591, 592, 593, 594/QĐ-BXD ngày 30/05/2014 của Bộ xây dựng.</t>
  </si>
  <si>
    <t>Đơn giá:</t>
  </si>
  <si>
    <t>Quyết định 3141/QĐ-SXD-KTXD ngày 26/12/2023 về việc công bố đơn giá nhân công xây dựng, giá giá ca máy và thiết bị thi công xây dựng năm 2023 trên địa bàn Tp.HCM;</t>
  </si>
  <si>
    <t>Thông báo số 1060/TB-SXD-VLXD ngày 31/01/2024 và của Sở Xây Dựng Tp.HCM về việc công bố giá vật liệu xây dựng tháng 01 năm 2023 trên địa bàn Tp.HCM;</t>
  </si>
  <si>
    <t>Thông báo giá thực tế đến tháng 01/2024 trên địa bàn Thành phố Hồ Chí Minh./.</t>
  </si>
  <si>
    <t>KẾT QUẢ THẨM ĐỊNH TỔNG MỨC ĐẦU TƯ XÂY DỰNG</t>
  </si>
  <si>
    <t>Đơn vị tính: đồng</t>
  </si>
  <si>
    <t>NỘI DUNG CHI PHÍ</t>
  </si>
  <si>
    <t>Mã chi phí</t>
  </si>
  <si>
    <t>Bảng chi phí</t>
  </si>
  <si>
    <t>Tỷ lệ %</t>
  </si>
  <si>
    <t>Hệ số</t>
  </si>
  <si>
    <t>GIÁ TRỊ TRƯỚC THUẾ</t>
  </si>
  <si>
    <t>THUẾ GTGT (8%)</t>
  </si>
  <si>
    <t>GIÁ TRỊ SAU THUẾ</t>
  </si>
  <si>
    <t>I</t>
  </si>
  <si>
    <t>Chi phí xây dựng</t>
  </si>
  <si>
    <t>Gxd</t>
  </si>
  <si>
    <t>Theo bảng khái toán chi phí XD+TB</t>
  </si>
  <si>
    <t>II</t>
  </si>
  <si>
    <t>Chi phí thiết bị</t>
  </si>
  <si>
    <t>Gtb</t>
  </si>
  <si>
    <t>III</t>
  </si>
  <si>
    <t>Chi phí quản lý dự án</t>
  </si>
  <si>
    <t>QLDA</t>
  </si>
  <si>
    <t>QLDA12</t>
  </si>
  <si>
    <t>Gqlda</t>
  </si>
  <si>
    <t>Theo QĐ 1003/QĐ-UBND ngày 6/03/2024</t>
  </si>
  <si>
    <t>IV</t>
  </si>
  <si>
    <t>Chi phí tư vấn đầu tư xây dựng</t>
  </si>
  <si>
    <t>Gtv</t>
  </si>
  <si>
    <t>Chi phí lập báo cáo nghiên cứu khả thi 
Min [(Thông tư 12/2021/TT-BXD); giá trị HĐ]</t>
  </si>
  <si>
    <t>NCKT</t>
  </si>
  <si>
    <t>NCKT12</t>
  </si>
  <si>
    <t>Quyết định 262/QĐ-QLDA ngày 04/01/2024</t>
  </si>
  <si>
    <t>Chi phí thẩm tra báo cáo nghiên cứu khả thi (Thông tư 12/2021/TT-BXD)</t>
  </si>
  <si>
    <t>TTKT</t>
  </si>
  <si>
    <t>TTKT12</t>
  </si>
  <si>
    <t>Quyết định 263/QĐ-QLDA ngày 04/01/2024</t>
  </si>
  <si>
    <t>Chi phí lập báo cáo đề xuất cấp giấy phép môi trường</t>
  </si>
  <si>
    <t>Chi phí kiểm định kết cấu công trình</t>
  </si>
  <si>
    <t>Chi phí lập hồ sơ mời thầu, đánh giá hồ sơ dự thầu gói thầu Tư vấn thiết kế xây dựng triển khai sau thiết kế cơ sở và lập dự toán (Thông tư 12/2021/TT-BXD)</t>
  </si>
  <si>
    <t>LHSTV79</t>
  </si>
  <si>
    <t>LHSTV12</t>
  </si>
  <si>
    <t>Gtv trước thuế x tỷ lệ</t>
  </si>
  <si>
    <t>Chi phí thiết kế xây dựng triển khai sau thiết kế cơ sở và lập dự toán (Thông tư 12/2021/TT-BXD)</t>
  </si>
  <si>
    <t>TKBV</t>
  </si>
  <si>
    <t>TKKT12</t>
  </si>
  <si>
    <t>Theo hợp đồng</t>
  </si>
  <si>
    <t>Chi phí thẩm tra thiết kế xây dựng triển khai sau thiết kế cơ sở (Thông tư 12/2021/TT-BXD)</t>
  </si>
  <si>
    <t>TTTKXD</t>
  </si>
  <si>
    <t>TTTKXD12</t>
  </si>
  <si>
    <t xml:space="preserve">Gxd trước thuế x tỷ lệ </t>
  </si>
  <si>
    <t>Chi phí thẩm tra dự toán công trình triển khai sau thiết kế cơ sở (Thông tư 12/2021/TT-BXD)</t>
  </si>
  <si>
    <t>TTDT</t>
  </si>
  <si>
    <t>TTDT12</t>
  </si>
  <si>
    <t>Gxd trước thuế x tỷ lệ</t>
  </si>
  <si>
    <t>Chi phí lập hồ sơ mời thầu, đánh giá hồ sơ dự thầu gói thầu thi công xây dựng (Thông tư 12/2021/TT-BXD)</t>
  </si>
  <si>
    <t>LXL</t>
  </si>
  <si>
    <t>LXL12</t>
  </si>
  <si>
    <t>Chi phí lập hồ sơ mời thầu, đánh giá hồ sơ dự thầu gói thầu mua sắm thiết bị (Thông tư 12/2021/TT-BXD)</t>
  </si>
  <si>
    <t>LTB</t>
  </si>
  <si>
    <t>LTB12</t>
  </si>
  <si>
    <t>Gtb trước thuế x tỷ lệ</t>
  </si>
  <si>
    <t>Chi phí lập hồ sơ mời thầu, đánh giá hồ sơ dự thầu gói thầu Tư vấn Giám sát thi công xây dựng và lắp đặt thiết bị (Thông tư 12/2021/TT-BXD)</t>
  </si>
  <si>
    <t>Chi phí giám sát thi công xây dựng (Thông tư 12/2021/TT-BXD)</t>
  </si>
  <si>
    <t>GSTC</t>
  </si>
  <si>
    <t>GSTC12</t>
  </si>
  <si>
    <t>Chi phí giám sát lắp đặt thiết bị (Thông tư 12/2021/TT-BXD)</t>
  </si>
  <si>
    <t>GSLD</t>
  </si>
  <si>
    <t>GSLD12</t>
  </si>
  <si>
    <t xml:space="preserve">Chi phí tư vấn thẩm định giá thiết bị </t>
  </si>
  <si>
    <t>V</t>
  </si>
  <si>
    <t>Chi phí khác</t>
  </si>
  <si>
    <t>Gk</t>
  </si>
  <si>
    <t>Chi phí bảo hiểm công trình (Nghị định 67/2023/NĐ-CP)</t>
  </si>
  <si>
    <t>BHCT</t>
  </si>
  <si>
    <t>Phí thẩm định dự án đầu tư xây dựng (Thông tư Thông tư 28/2023/TT-BTC)</t>
  </si>
  <si>
    <t>TDDA</t>
  </si>
  <si>
    <t>TDDA209</t>
  </si>
  <si>
    <t>TMĐT x tỷ lệ 50%</t>
  </si>
  <si>
    <t>Phí thẩm định cấp giấy phép môi trường (Nghị quyết 10/2022/NQ-HĐND)</t>
  </si>
  <si>
    <t>Dự án nhóm B, thuộc thẩm quyền UBND thành phố</t>
  </si>
  <si>
    <t>Chi phí thẩm định hồ sơ mời thầu gói thầu Tư vấn thiết kế xây dựng triển khai sau thiết kế cơ sở và lập dự toán (Nghị định 24/2024/NĐ-CP)</t>
  </si>
  <si>
    <t>Chi phí thẩm định kết quả lựa chọn nhà thầu gói thầu Tư vấn thiết kế xây dựng triển khai sau thiết kế cơ sở và lập dự toán (Nghị định 24/2024/NĐ-CP)</t>
  </si>
  <si>
    <t>Chi phí thẩm định hồ sơ mời thầu gói thầu Thi công xây dựng (Nghị định 24/2024/NĐ-CP)</t>
  </si>
  <si>
    <t>Chi phí thẩm định kết quả lựa chọn nhà thầu gói thầu Thi công xây dựng (Nghị định 24/2024/NĐ-CP)</t>
  </si>
  <si>
    <t>Chi phí thẩm định hồ sơ mời thầu gói thầu mua sắm thiết bị (Nghị định 24/2024/NĐ-CP)</t>
  </si>
  <si>
    <t>Chi phí thẩm định kết quả lựa chọn nhà thầu gói thầu mua sắm thiết bị (Nghị định 24/2024/NĐ-CP)</t>
  </si>
  <si>
    <t>Chi phí thẩm định hồ sơ mời thầu gói thầu Tư vấn Giám sát thi công xây dựng và lắp đặt thiết bị (Nghị định 24/2024/NĐ-CP)</t>
  </si>
  <si>
    <t>Chi phí thẩm định kết quả lựa chọn nhà thầu gói thầu Tư vấn Giám sát thi công xây dựng và lắp đặt thiết bị (Nghị định 24/2024/NĐ-CP)</t>
  </si>
  <si>
    <t>Chi phí thẩm tra, phê duyệt quyết toán (Nghị định 99/2021/NĐ-CP)</t>
  </si>
  <si>
    <t>TTQT</t>
  </si>
  <si>
    <t>TTQT99</t>
  </si>
  <si>
    <t>(TMĐT-DPP) x tỷ lệ x 50%</t>
  </si>
  <si>
    <t>Chi phí kiểm toán độc lập (Nghị định 99/2021/NĐ-CP)</t>
  </si>
  <si>
    <t>CPKT</t>
  </si>
  <si>
    <t>CPKT99</t>
  </si>
  <si>
    <t>(TMĐT-DPP) x tỷ lệ</t>
  </si>
  <si>
    <t>Phí thẩm định thiết kế xây dựng triển khai sau thiết kế cơ sở (Thông tư 27/2023/TT-BTC)</t>
  </si>
  <si>
    <t>TTTK2</t>
  </si>
  <si>
    <t>TTTK210</t>
  </si>
  <si>
    <t>Phí thẩm định dự toán xây dựng triển khai sau thiết kế cơ sở (Thông tư 27/2023/TT-BTC)</t>
  </si>
  <si>
    <t>TTDT2</t>
  </si>
  <si>
    <t>TTDT210</t>
  </si>
  <si>
    <t>Chi phí thẩm định phê duyệt thiết kế về phòng cháy và chữa cháy (Thông tư 258/2016/TT-BTC)</t>
  </si>
  <si>
    <t>PCCC</t>
  </si>
  <si>
    <t>PCCC258</t>
  </si>
  <si>
    <t>TMĐT_slt2 x tỷ lệ</t>
  </si>
  <si>
    <t>Chi phí kiểm tra công tác nghiệm thu công trình xây dựng (Thông tư 10/2021/TT-BXD)</t>
  </si>
  <si>
    <t>Chi phí giám sát thi công x tỷ lệ</t>
  </si>
  <si>
    <t>TỔNG I+II+III+IV+V</t>
  </si>
  <si>
    <t>VI</t>
  </si>
  <si>
    <t>Chi phí dự phòng</t>
  </si>
  <si>
    <r>
      <t>G</t>
    </r>
    <r>
      <rPr>
        <b/>
        <vertAlign val="subscript"/>
        <sz val="11"/>
        <color rgb="FF000000"/>
        <rFont val="Times New Roman"/>
        <family val="1"/>
      </rPr>
      <t>DP</t>
    </r>
  </si>
  <si>
    <r>
      <t>G</t>
    </r>
    <r>
      <rPr>
        <b/>
        <vertAlign val="subscript"/>
        <sz val="11"/>
        <color rgb="FF000000"/>
        <rFont val="Times New Roman"/>
        <family val="1"/>
      </rPr>
      <t>DP1</t>
    </r>
  </si>
  <si>
    <t>Dự phòng cho yếu tố khối lượng phát sinh</t>
  </si>
  <si>
    <t>KLPS</t>
  </si>
  <si>
    <r>
      <t>G</t>
    </r>
    <r>
      <rPr>
        <vertAlign val="subscript"/>
        <sz val="12"/>
        <rFont val="Times New Roman"/>
        <family val="1"/>
      </rPr>
      <t>DP1</t>
    </r>
  </si>
  <si>
    <t>YTTG</t>
  </si>
  <si>
    <r>
      <t>G</t>
    </r>
    <r>
      <rPr>
        <vertAlign val="subscript"/>
        <sz val="12"/>
        <rFont val="Times New Roman"/>
        <family val="1"/>
      </rPr>
      <t>DP2</t>
    </r>
  </si>
  <si>
    <r>
      <t>TMĐT-(I+II+III+IV+V)-G</t>
    </r>
    <r>
      <rPr>
        <vertAlign val="subscript"/>
        <sz val="11"/>
        <color rgb="FF000000"/>
        <rFont val="Times New Roman"/>
        <family val="1"/>
      </rPr>
      <t>DP1</t>
    </r>
  </si>
  <si>
    <r>
      <t>V</t>
    </r>
    <r>
      <rPr>
        <b/>
        <vertAlign val="subscript"/>
        <sz val="11"/>
        <color rgb="FF000000"/>
        <rFont val="Times New Roman"/>
        <family val="1"/>
      </rPr>
      <t>TM</t>
    </r>
  </si>
  <si>
    <t>TMĐT = I+II+III+IV+V+VI</t>
  </si>
  <si>
    <t>Vốn được duyệt</t>
  </si>
  <si>
    <t>CHỦ TRÌ LẬP</t>
  </si>
  <si>
    <t>BẢNG TỔNG HỢP CHI PHÍ XÂY DỰNG</t>
  </si>
  <si>
    <t>DANH MỤC TRANG THIẾT BỊ</t>
  </si>
  <si>
    <t>CÔNG TRÌNH:NÂNG CẤP, CẢI TẠO TRỤ SỞ CHÍNH TRUNG TÂM VĂN HÓA - THỂ THAO - TRUYỀN THÔNG HUYỆN</t>
  </si>
  <si>
    <t>TÊN THIẾT BỊ</t>
  </si>
  <si>
    <t>Quy cách, cấu tạo</t>
  </si>
  <si>
    <t>Đơn vị</t>
  </si>
  <si>
    <t>Số lượng</t>
  </si>
  <si>
    <t>Đơn Giá sau thuế</t>
  </si>
  <si>
    <t>Thành tiền sau thuế</t>
  </si>
  <si>
    <t>HỆ THỐNG XỬ LÝ NƯỚC THẢI</t>
  </si>
  <si>
    <t>I. BỂ ĐIỀU HÒA</t>
  </si>
  <si>
    <t>Giỏ tách rác</t>
  </si>
  <si>
    <t>- Kích thước:DXH= 400x500mm
 -  Dày 1.2mm
 - Khoảng cách lưới lọc: 5mm
 - Chủng loại và chất liệu: Inox 304
 - Phụ kiện sử dụng thép không rỉ
- Xuất xứ : Việt Nam</t>
  </si>
  <si>
    <t>bộ</t>
  </si>
  <si>
    <t>Hệ đĩa phân phối khí</t>
  </si>
  <si>
    <t>Đĩa Phân phối khí Jeager
Kích thước: D=270m
Lưu lượng:5 m3/h
Vật liệu: màng cao su
Xuất xứ:  Đức</t>
  </si>
  <si>
    <t>Cái</t>
  </si>
  <si>
    <t>Bơm nước thải bể điều hòa</t>
  </si>
  <si>
    <t xml:space="preserve">- Kiểu: bơm chìm.
- Công suất: 0.25kw, H=4m
 - Điện áp: 220V/1pha/50Hz, 
 - Vật liệu: Gang
 - Xuất xứ: TaiWan
</t>
  </si>
  <si>
    <t>II. BỂ ANOXIC</t>
  </si>
  <si>
    <t>Mixer khuấy</t>
  </si>
  <si>
    <t xml:space="preserve">– Máy khuấy chìm (Mixer)
– Xuất xứ : Đài Loan 
– Công suất : 0,4Kw = 1 Hp
– Điện áp : 3pha/380V/50Hz/
– Cáp điện: 6 mét
– Vật liệu : Toàn bộ Inox 304 </t>
  </si>
  <si>
    <t>Thanh ray trượt,  giá đỡ  và xích kéo khuấy</t>
  </si>
  <si>
    <t>Vật liệu: Inox 304
-Xuất xứ : Việt Nam chế tạo
- Lắp đặt theo thiết kế</t>
  </si>
  <si>
    <t>III. BỂ AEROTANK</t>
  </si>
  <si>
    <t>Máy thổi khí sinh học</t>
  </si>
  <si>
    <r>
      <t xml:space="preserve">
 - Công suất: </t>
    </r>
    <r>
      <rPr>
        <sz val="10"/>
        <color rgb="FFFF0000"/>
        <rFont val="Times New Roman"/>
        <family val="1"/>
      </rPr>
      <t xml:space="preserve"> 2.2 </t>
    </r>
    <r>
      <rPr>
        <sz val="10"/>
        <rFont val="Times New Roman"/>
        <family val="1"/>
      </rPr>
      <t>kW 
 - Điện áp: 380V/3pha/50Hz
 - Cột áp :4 m
 - Bao gồm phụ kiện: Ống lọc khí,ống giảm thanh, đồng hồ đo áp,van một chiều, khớp nối mềm.
 - Mặt bích sử dụng tiêu chuẩn DIN, PN 16. Bulong thép chống rỉ
 - Xuất xứ: TaiWan</t>
    </r>
  </si>
  <si>
    <t xml:space="preserve">Đĩa Phân phối khí
Kích thước: D=270m
Lưu lượng:5 m3/h
Vật liệu: màng cao su
Xuất xứ:  Đức
</t>
  </si>
  <si>
    <t>Bơm nước nội tuần hoàn</t>
  </si>
  <si>
    <t xml:space="preserve">'- Kiểu: bơm chìm.
- Công suất: 0.25kw, H=4m
 - Điện áp: 220V/1pha/50Hz, 
 - Vật liệu: Gang
 - Xuất xứ: Taiwan
</t>
  </si>
  <si>
    <t>IV. BỂ LẮNG SINH HỌC</t>
  </si>
  <si>
    <t>Ống trung tâm, máng răng cưa, tấm hướng dòng</t>
  </si>
  <si>
    <t xml:space="preserve">Ống trung tâm phân phối và máng răng cưa thu nước
'Vật liệu: Inox 304, dày 1,2ly
-Xuất xứ : Việt Nam
</t>
  </si>
  <si>
    <t>Bơm bùn tuần hoàn</t>
  </si>
  <si>
    <t>- Kiểu: bơm chìm.
- Công suất: 0.25kw, H=4m
 - Điện áp: 220V/1pha/50Hz, 
 - Vật liệu: Gang
 - Xuất xứ: Taiwan</t>
  </si>
  <si>
    <t>Tấm lắng vách ngiêng và giá đỡ</t>
  </si>
  <si>
    <t>'- Dạng tấm
 - Vật liệu: Nhựa PET 
- Xuất xứ: Việt Nam</t>
  </si>
  <si>
    <t>hệ</t>
  </si>
  <si>
    <t>V. BỂ KHỬ TRÙNG</t>
  </si>
  <si>
    <t xml:space="preserve">Bơm thoát </t>
  </si>
  <si>
    <t>- Kiểu: bơm chìm.
- Công suất: 0.4kw, H=4m
 - Điện áp:380V/3pha/50Hz, 
 - Vật liệu: Gang
 - Xuất xứ: Taiwan</t>
  </si>
  <si>
    <t>VI. HỆ HÓA CHẤT</t>
  </si>
  <si>
    <t>Bồn hóa chất:
NaOH, Soda, Dinh dưỡng, Chlorine</t>
  </si>
  <si>
    <t xml:space="preserve"> - Bồn nhựa Sơn Hà ( hoặc Đại Thành), mới 100%
 - Thể tích: 300 L
 - Vật liệu: Nhựa
 - Xuất xứ: Việt Nam.
</t>
  </si>
  <si>
    <t>cái</t>
  </si>
  <si>
    <t>Bơm hóa chất:
NaOH, Soda, Dinh dưỡng, Chlorine</t>
  </si>
  <si>
    <t>- Công suất: 45W
- Điện áp: 220V/1pha/50Hz
-  Lưu lượng: Qmax = 30-50lít/h)
- Xuất xứ: Mỹ</t>
  </si>
  <si>
    <t>VII. HẠNG MỤC KHÁC</t>
  </si>
  <si>
    <t>Hệ thống đường ống công nghệ</t>
  </si>
  <si>
    <t xml:space="preserve">Mô tả chi tiết:
 - Ống dẫn khí chất liệu ống: 
+ Phần đặt ngập trong nước : uPVC - Bình Minh
+ Phần nổi :  Inox 304 -  Sơn Hà .
+ Mặt bích sử dụng tiêu chuẩn DIN, PN 16. Bulong thép chống rỉ
- Ống dẫn nước thải và ống dẫn bùn chất liệu ống uPVC, PN 9. Sử dụng toàn bộ ống nhựa uPVC Bình Minh chính hãng
- Phụ kiện sử dụng thép không rỉ 304 </t>
  </si>
  <si>
    <t xml:space="preserve">Hệ thống tủ điện điều khiển và dây điện </t>
  </si>
  <si>
    <t xml:space="preserve"> Phần tủ điện mới:
+ Gồm các thiết bị trong thiết kế:
+ MCCB, MCB, Contactor, Relay nhiệt - Mitsubishi
+ Công tắc , đèn ( Xanh / vàng ) - Idec
+ Cáp điện : Cadivi
+ PLC : Siemen , đức
Vỏ tủ điện HxWxD=1000x800x300mm, Tôn
dày 1.2mm, sơn tĩnh điện - Việt Nam
</t>
  </si>
  <si>
    <t xml:space="preserve">Chi phí hóa chất vận hành chạy thử hệ thống trong 1 tháng: Clo và methanol </t>
  </si>
  <si>
    <t xml:space="preserve">Gói hóa chất vận hành chạy thử hệ thống :
- Clo: 60kg 
- Methanol: 350kg </t>
  </si>
  <si>
    <t>Cung cấp bùn vi sinh, vận hành thích nghi, hướng dẫn vận hành và chuyển giao công nghệ</t>
  </si>
  <si>
    <t xml:space="preserve">Toàn bộ </t>
  </si>
  <si>
    <t>HỆ THỐNG ĐIỀU HÒA KHÔNG KHÍ</t>
  </si>
  <si>
    <t>Máy lạnh áp trần kèm bộ điều khiển có dây</t>
  </si>
  <si>
    <t>Công suất lạnh: 14kw
Nguồn cấp: 380/3/50-5.5kW</t>
  </si>
  <si>
    <t>máy</t>
  </si>
  <si>
    <t>Máy lạnh Pakage âm trần nối ông gió kèm bộ điều khiển có dây</t>
  </si>
  <si>
    <t>Công suất lạnh: 23.5kwLL gió 78m³/phút - Cột Áp 98Pa Nguồn cấp dàn lạnh: 380/3/50-1.5kWNguồn cấp dàn nóng: 380/3/50-9.0kW</t>
  </si>
  <si>
    <t>Công suất lạnh: 46.9kwLL gió 78m³/phút - Cột Áp 150PaNguồn cấp dàn lạnh: 380/3/50-1.5kWNguồn cấp dàn nóng: 380/3/50-16kW</t>
  </si>
  <si>
    <t>HỆ THỐNG PHÔNG MÀN SÂN KHẤU</t>
  </si>
  <si>
    <t>Phông màn cố định</t>
  </si>
  <si>
    <t>Màn vải nhung xếp ly
100% Polyester
Rộng (mm): 20
Cao (mm): 6.5</t>
  </si>
  <si>
    <t>m2</t>
  </si>
  <si>
    <t>Phông màn di động (3 bộ)</t>
  </si>
  <si>
    <t>Hệ động cơ rèm
Design: Động cơ PD4200
Động cơ xoay chiều 220V, Công suất 180W</t>
  </si>
  <si>
    <t>Bộ</t>
  </si>
  <si>
    <t>Phông cánh gà</t>
  </si>
  <si>
    <t>Màn vải nhung xếp ly
100% Polyester
Rộng (mm): 3.5
Cao (mm): 6.5</t>
  </si>
  <si>
    <t>Thanh rèm động cơ</t>
  </si>
  <si>
    <t>Rộng (mm): 20</t>
  </si>
  <si>
    <t>m</t>
  </si>
  <si>
    <t>Thanh treo phông màn chết + cánh gà</t>
  </si>
  <si>
    <t>Rộng (mm): 55</t>
  </si>
  <si>
    <t>Điều khiển 1 kênh</t>
  </si>
  <si>
    <t>Hệ khung sắt  cho rèm tự động</t>
  </si>
  <si>
    <t xml:space="preserve">Gia công lắp đặt  khung sắt khung rèm  tự động
• Vật tư thanh trục sắt hộp 40*60*3ly
• Vật tư thanh trục sắt hộp 40*40*3ly
• Vật Tư  phụ bản mã , bu long liên kết
• Nhân công lắp đặt hoàn thiện
</t>
  </si>
  <si>
    <t>Gói</t>
  </si>
  <si>
    <t>GHẾ HỘI TRƯỜNG</t>
  </si>
  <si>
    <t xml:space="preserve">Ghế hội trường 
</t>
  </si>
  <si>
    <t xml:space="preserve">Ghế hội trường khung thép, đệm tựa bằng mút bọc vải. 
KT: W630 x D620 x H1000 mm.
Dung sai kích thước: ± 15 mm
</t>
  </si>
  <si>
    <t xml:space="preserve">Cái </t>
  </si>
  <si>
    <t>HỆ THỐNG PCCC</t>
  </si>
  <si>
    <t/>
  </si>
  <si>
    <t>HỆ THỐNG BÁO CHÁY, CHỮA CHÁY</t>
  </si>
  <si>
    <t>1</t>
  </si>
  <si>
    <t>Trung tâm báo cháy 20 Zone</t>
  </si>
  <si>
    <t>Hệ 20 kênh AHC871
– Vật liệu: thép dày 1.6mm
– Màu sắc: trắng ngà hoặc khác
– Chức năng bộ phận phụ: Công tắc truyền tín hiệu kép, công tắc phụ
– Phạm vi điện áp: Điện áp lý thuyết (+- 20%)
– Điện dung battery: 24VDC    1.2Ah
– Điện áp sạc dòng: 24VDC     100-400mA
– Điện trở ngoại vi: có chức năng tự điều chỉnh có vòng lắp dưới 50
– Số đầu báo nhiệt có thể nối kết: không giới hạn (trừ loại điện từ)
– Số đầu báo khói có thể nối kết: 30 đầu/zone, loại đầu horing
– Dòng ngõ ra tối đa: 1A
– Công tắc digital: độ tin cậy tối thiểu 500 000 vòng
– Điện trở cuối tuyến: 10/zone
– Nguồn: 220VAC/50Hz
– Xuất xứ: Đài Loan</t>
  </si>
  <si>
    <t>2</t>
  </si>
  <si>
    <t>Bộ kết nối với  Trung tâm cảnh báo cháy PCCC</t>
  </si>
  <si>
    <t>Thiết bị báo cháy không dây trung tâm truyền tin cảnh báo cháy nổ wifi sim 4G 5G từ xa qua điện thoại đạt tiêu chuẩn PCCC
SIM card Micro SIM
GSM 4 băng tần 850/900/1800/1900MHz
GPRS class 12, TCP/IP
Bộ vi xử lý Core Arm 32-bit cotex-M4 CPU, frequency up to 64 MHz
Memory RAM/FLASH: 64KB/512KB Serial Flash: Embedded
RTC On chip
Led chỉ thị Trạng thái kết nối mạng và cảnh báo
Điện áp hoạt động 05V – 2A (có bảo vệ ngược cực và quá áp)
Tiêu thụ 10 - 100mA @12VDC
Pin tích hợp PIN 3.7V
Thời gian hoạt động liên tục lên tới 48h Thời gian sạc 6-8 giờ
Nhiệt độ hoạt động -40oC ~ 85oC
Vỏ hộp, dài*rộng*cao Nhựa, 150*150*42mm
Trọng lượng 100 Gram</t>
  </si>
  <si>
    <t>3</t>
  </si>
  <si>
    <t>Tủ điều khiển máy bơm chữa cháy</t>
  </si>
  <si>
    <t>Xuất xứ: Việt nam liên doanh
Nhãn hiệu : LS ( liên doanh)
Quy cách :  450*600*200
Sắt sơn đỏ tĩnh điện
CB : 65A
Khởi động từ : 40A
Sạc tự động
Timer : 12-220v
Relay kiếng
Công tắc xoay</t>
  </si>
  <si>
    <t>4</t>
  </si>
  <si>
    <t>Máy bơm chữa cháy điện Q = 144m³/h - H=60m</t>
  </si>
  <si>
    <t>Model: KP(R)80-250/45
Công suất: 45kw
Lưu lượng: 144m3/h
Cột áp: 66m
Xuất xứ: Việt Nam
Động cơ:
Công suất: 45kw
Điện áp: 380V/3 Phase/ 50HZ
Tốc độ vòng quay: 2960 rpm
Cấp bảo vệ/ cấp cách điện : IP55/ Clas F
Hiệu: REM/ Xuất xứ: Trung Quốc
Vật liệu chế tạo :
Bánh công tác: Gang
Vỏ bơm, buồng bơm: Gang
Trục bơm: Inox 201
Đường kính cổng hút /cổng xả: 100/80 mm</t>
  </si>
  <si>
    <t>5</t>
  </si>
  <si>
    <t>Máy bơm chữa cháy Diezen Q = 144m³/h - H=60m</t>
  </si>
  <si>
    <t>Đầu bơm:
Model: KPR80-250/45
Công suất: 45kw
Lưu lượng: 144m3/h
Cột áp: 66m
Hiệu: Windy/ Xuất xứ: Việt Nam
Động cơ:
Model: QC495Q
Công suất: 48kW
Xuất xứ: Trung Quốc
Điều khiển: Tủ điều khiển điện tử
Ác quy: Hàn Quốc
Vật liệu chế tạo:
Bánh công tác: Gang
Vỏ bơm, buồng bơm: Gang
Trục bơm: Inox 201
Đường kính cổng hút /cổng xả: 100/80 mm
Đầu bơm và động cơ được lắp đặt trên dàn chân đế sắt xi Việt
Nam</t>
  </si>
  <si>
    <t>6</t>
  </si>
  <si>
    <t>Máy bơm bù áp Q=3.6m3/h, H= 70m</t>
  </si>
  <si>
    <t>Model: KPM4-10
Công suất: 2.2 kw
Q= 1-6m³/h
H= 114-57 m
Xuất xứ: Trung Quốc
Vật liệu chế tạo:
Bánh công tác: Phíp
Vỏ bơm , buồng bơm: Inox/ Gang
Trục bơm: Inox
Đường kính cổng hút / cổng xả: 25 mm</t>
  </si>
  <si>
    <t>7</t>
  </si>
  <si>
    <t>Kệ để bình chữa cháy</t>
  </si>
  <si>
    <t>Kệ đựng 2 bình chữa cháy Ke-2
– Chiều cao: 150mm
– Kích thước ngang: 400mm
– Kích thước rộng: 220mm
– Kích thước chân đế: 50mm
Xuất xứ: Việt Nam
Chất liệu: Sắt sơn đỏ chống rỉ
Khả năng chịu lực: 80Kg
Quy cách: để 2 bình
Lớp phủ: Sơn đỏ tĩnh điện</t>
  </si>
  <si>
    <t>8</t>
  </si>
  <si>
    <t>Bảng tiêu lệnh nội quy PCCC</t>
  </si>
  <si>
    <t>Bảng tiêu lệnh nội quy PCCC Hình dạng: Biển hiệu hình chữ nhật đứng.
Kích thước meca: 600x400 mm.
Kích thước sắt: 400x300 mm.
Chất liệu: mica dày 5mm.
Chất liệu: sắt dày 0.04mm.
Xuất xứ : Sản xuất tại Việt Nam.</t>
  </si>
  <si>
    <t>9</t>
  </si>
  <si>
    <t>Bình bột CO2 MT5-5kg</t>
  </si>
  <si>
    <t>Bình chữa cháy CO2 5kg Tên sản phẩm: CO2-MT5
Loại sản phẩm: Thiết bị chữa cháy.
Trọng lượng bình: 16,5 kg
Thời gian phun hiệu quả: 9s
Trọng lượng khí CO2 trong bình: 5kg
Tầm phun xa: 2m</t>
  </si>
  <si>
    <t>bình</t>
  </si>
  <si>
    <t>10</t>
  </si>
  <si>
    <t>Bình bột CO2 MF8-8kg</t>
  </si>
  <si>
    <t>Bình chữa cháy bột 8kg Bình chữa cháy bột ABC 8kg MFZL8
Mã sản phẩm: MFZL8
Chất chữa cháy: Bột ABC
Trọng lượng bột bên trong: 8kg
Trọng lượng toàn bình: 10kg
Chiều cao: 565mm
Đường kính: 130mm
Áp suất vận hành: 1.2Mpa &lt;=&gt; 12 Bar
Áp suất thử: 2.7Mpa &lt;=&gt; 27Bar
Phạm vị phun: ≥4.5m
Thời gian phun: ≥15s
Nhiệt độ hoạt động: 20°C ~ 55°C
Xuất xứ: Trung Quốc
Quy cách đóng gói: 2 bình/thùng
Phụ kiện: vòi phun + bát treo
Bảo hành: 12 tháng
Nhà cung cấp: bình chữa cháy 5A
Chứng nhận: CO-CQ + kiểm định an toàn PCCC
Thành phần hóa học: NH4H2PO4
Màu sắc: màu đỏ
Chủng loại: Bình chữa cháy cầm tay</t>
  </si>
  <si>
    <t>11</t>
  </si>
  <si>
    <t>Cửa xếp ngăn cháy EI60</t>
  </si>
  <si>
    <t>• Tấm màn dày 30+-2mm bao gồm :
· 02 lớp vảichống cháy hight silica dày 0.75mm
· 01 lớp bông gốm tỷ trọng 128kg/m3 dày 25mm
· 01 lớp bông gốm tỷ trọng 200kg/m3 dày 5mm
· 02 lớp giấy bạc dày 0.01mm
• Trục thép ∅141.3x2,5mm
• Ray cuốn thép kích thước 120x305mm bao gồm :
· Thép tấm dập định hình dày 1.2mm
· Bông gốm dày 25mm tỷ trọng 160kg/m3
• Thanh đáy bằng thép chịu nhiệt dày 1.2 mm
• Khung kỹ thuật bằng thép hộp 40x40x1.4 mm
• Bao che hộp kỹ thuật bằng thép tấm chịu nhiệt, độ dày 0.75mm, và được bọc
cách nhiệt bằng bông gốm 128kg/m3
• Động cơ NETDOOR -220v/50hz/450w-800kg
• Bộ kết nối tín hiệu báo cháy đi kèm</t>
  </si>
  <si>
    <t>12</t>
  </si>
  <si>
    <t>Màn cuốn ngăn cháy EI60</t>
  </si>
  <si>
    <t>• Thân cửa được làm từ vải chống cháy silica và tổ hợp vật liệu
cách nhiệt có độ dày 28mm
• Trục cuốn phi D113.5 x 2.5mm
• Ray hộp dẫn hướng cách nhiệt 120x125x1.2 mm
• Thanh đáy bằng thép chịu nhiệt dày 1.2 mm
• Khung kỹ thuật bằng thép hộp 50x50x1.4 mm
• Bao che hộp kỹ thuật bằng thép tấm chịu nhiệt, độ dày 1.0mm,
và được bọc cách nhiệt bằng bông gốm 128kg/m3
• Động cơ xích 220v/50hz : Siêu êm,siêu bền
• Bộ kết nối tín hiệu báo cháy đi kèm</t>
  </si>
  <si>
    <t>13</t>
  </si>
  <si>
    <t>Mặt nạ phòng độc</t>
  </si>
  <si>
    <t xml:space="preserve"> Mã sản phẩm: XHZCL 40
Xuất xứ : Trung Quốc
 Màu sắc: Trắng bạc
 Chất liệu: Vải không dệt, Lá nhôm, Silicone
Đặc tính: Dùng để thoát hiểm khi xảy ra sự cố hỏa hoạn hoặc phòng độc tạm thời (40 phút).
CO nồng độ 2500ppm: Thời gian bảo hộ &gt; 40 phút
Khả năng lọc vi hạt : &gt;95%
trọng lượng sản phẩm : 820g
Nhiệt độ bảo quản : 0-40 độ</t>
  </si>
  <si>
    <t>HỆ THỐNG CHỐNG SÉT</t>
  </si>
  <si>
    <t>14</t>
  </si>
  <si>
    <t>Lắp đặt Kim thu sét R=70m</t>
  </si>
  <si>
    <t>Xuất xứ: Thổ nhĩ kỳ
Model :  LAP - BX175</t>
  </si>
  <si>
    <t>HỆ THỐNG THÔNG GIÓ HÚT KHÓI</t>
  </si>
  <si>
    <t>15</t>
  </si>
  <si>
    <t>Quạt hướng trục hút khói bọc chống cháy EI60 , Q=16000 m3/h -500Pa</t>
  </si>
  <si>
    <t>Model: SAD-A7
Lưu lượng 16000m3/h, 500pa
Tốc độ : 1460
Công suất :4Kw
Điện áp : 380
Nhãn hiệu: system Fan động cơ chịu nhiệt 300 độ C trong 2H
Thép SS400 sơn tĩnh điện</t>
  </si>
  <si>
    <t>16</t>
  </si>
  <si>
    <t>Quạt hướng trục bù khí bọc chống cháy EI60 , Q=16000 m3/h -501Pa</t>
  </si>
  <si>
    <t>MÁY PHÁT ĐIỆN</t>
  </si>
  <si>
    <t>Máy phát điện 100KVA</t>
  </si>
  <si>
    <t>Máy phát điện Diesel :
+ Công suất dự phòng 110kVA/88kW 
+ Công suất liên tục 100kVA/80kW. 
+  Điện áp: 3pha 380VAC, 50Hz 
+ Thùng cách âm và bộ điều khiển ATS đi kèm. 
PHỤ KIỆN ĐI KÈM: 
+ Bộ điều khiển máy phát
+ Khớp nối ống xả đàn hồi
+ Pô giảm thanh
+ Bình ắcqui
+ Dây và cọc bình ắcqui, bộ cao su chống rung máy
+ Ống dẫn dầu mềm
+ Bộ dụng cụ bảo dưỡng
+ Bộ tài liệu hướng dẫn vận hành máy</t>
  </si>
  <si>
    <r>
      <rPr>
        <b/>
        <u/>
        <sz val="12"/>
        <rFont val="Times New Roman"/>
        <family val="1"/>
      </rPr>
      <t>Ghi chú:</t>
    </r>
    <r>
      <rPr>
        <b/>
        <sz val="12"/>
        <rFont val="Times New Roman"/>
        <family val="1"/>
      </rPr>
      <t xml:space="preserve"> </t>
    </r>
    <r>
      <rPr>
        <sz val="12"/>
        <rFont val="Times New Roman"/>
        <family val="1"/>
      </rPr>
      <t>đơn giá lấy theo công trình tương tự vừa phê duyệt "trường mầm non Cụm Công Nghiệp " và báo giá nhà cung cấp.</t>
    </r>
  </si>
  <si>
    <r>
      <rPr>
        <b/>
        <sz val="11"/>
        <color rgb="FFFF0000"/>
        <rFont val="Times New Roman"/>
        <family val="1"/>
      </rPr>
      <t>BẢNG DỰ TOÁN TỔNG HỢP</t>
    </r>
    <r>
      <rPr>
        <b/>
        <sz val="11"/>
        <rFont val="Times New Roman"/>
        <family val="1"/>
      </rPr>
      <t xml:space="preserve">
 HỆ THỐNG ÂM THANH - ÁNH SÁNG  - PHÔNG MÀN - GHẾ HỘI TRƯỜNG 662 CHỖ</t>
    </r>
  </si>
  <si>
    <t xml:space="preserve">Kính gửi: </t>
  </si>
  <si>
    <t>Số:</t>
  </si>
  <si>
    <t>01BG09092024</t>
  </si>
  <si>
    <t xml:space="preserve">Địa chỉ: </t>
  </si>
  <si>
    <t>Dự án:  TRUNG TÂM VĂN HOÁ HUYỆN HÓC MÔN</t>
  </si>
  <si>
    <t xml:space="preserve">Địa chỉ công trình: </t>
  </si>
  <si>
    <t>Hạng mục: HỆ THỐNG ÂM THANH - ÁNH SÁNG  - PHÔNG MÀN - GHẾ HỘI TRƯỜNG 1000 CHỖ</t>
  </si>
  <si>
    <t>Stt</t>
  </si>
  <si>
    <t>Mã hàng</t>
  </si>
  <si>
    <t>Thông số kỹ thuật</t>
  </si>
  <si>
    <t>Thương hiệu</t>
  </si>
  <si>
    <t>Xuất xứ</t>
  </si>
  <si>
    <t>Đvt</t>
  </si>
  <si>
    <t>Sl</t>
  </si>
  <si>
    <t xml:space="preserve">Đơn giá </t>
  </si>
  <si>
    <t>Thành tiền</t>
  </si>
  <si>
    <t>NHÀ HÁT 1000 CHỖ</t>
  </si>
  <si>
    <t>A.</t>
  </si>
  <si>
    <t>HỆ THỐNG ÂM THANH SÂN KHẤU</t>
  </si>
  <si>
    <t>I.</t>
  </si>
  <si>
    <t>MIXER, DSP &amp; MICROPHONE</t>
  </si>
  <si>
    <t>SQ7</t>
  </si>
  <si>
    <r>
      <rPr>
        <b/>
        <sz val="11"/>
        <color indexed="8"/>
        <rFont val="Times New Roman"/>
        <family val="1"/>
      </rPr>
      <t>Digital Mixer cao cấp công nghệ số dùng cho hệ âm thanh chính và hệ Monitor trên sân khấu:</t>
    </r>
    <r>
      <rPr>
        <sz val="11"/>
        <color indexed="8"/>
        <rFont val="Times New Roman"/>
        <family val="1"/>
      </rPr>
      <t xml:space="preserve">
Mixer Allen &amp; Heath SQ7: Trang bị chip xử lý XCVI 96kHz FPGA, độ trễ chỉ 0.7ms, xử lý cùng lúc 48 Kênh đầu vào, 33 Faders / 6 Layers, 12 Stereo mixes + LR, 3 Matrix stereo, 8 Stereo FX , màn hình cảm ứng điện dung 7'', trang bị cổng SLink và cổng gắn card mở rộng, điều khiển qua mạng với 64in x 64out, có đường Digital AES out, 8 phím tắt, giao diện âm thanh USB 32x32, SQ-Drive ghi trực tiếp vào USB, giao thức kết nối với Box mở rộng, kết nối điều khiển qua PC(DAW MIDI), ứng dụng qua Ipad, Iphone. Kết nối qua ME,  kích thước(WxDxH): 804 x 514.9 x 198.5 mm, trọng lượng 17.8 kg (39.3 lbs).</t>
    </r>
  </si>
  <si>
    <t>Allen Heath</t>
  </si>
  <si>
    <t>UK/China</t>
  </si>
  <si>
    <t>DX168</t>
  </si>
  <si>
    <r>
      <rPr>
        <b/>
        <sz val="11"/>
        <color indexed="8"/>
        <rFont val="Times New Roman"/>
        <family val="1"/>
      </rPr>
      <t>Box tín hiệu Digital:</t>
    </r>
    <r>
      <rPr>
        <sz val="11"/>
        <color indexed="8"/>
        <rFont val="Times New Roman"/>
        <family val="1"/>
      </rPr>
      <t xml:space="preserve">
Box kết nối mở rộng Allen &amp; Heath DX168: Box kết nối mở rộng, Sample rate 96kHz, 16 in, 8 out, dùng với Cable mạng CAT5e (hoặc cao hơn) khoảng cách tới 100m.</t>
    </r>
  </si>
  <si>
    <t>EW-D SKM BASE SET 
MMD 845-1 BK</t>
  </si>
  <si>
    <t>Micro:
Handheld Base Set without Microphone Transducer, Smart Assist App Free for Download on App Store/Play Store 606.2-662 MHz
Mic Module Black, Dyn, Super-Cardioid</t>
  </si>
  <si>
    <t>Sennheiser</t>
  </si>
  <si>
    <t>Romania</t>
  </si>
  <si>
    <t>EW-D SK 
BASE SET
ME 3</t>
  </si>
  <si>
    <t>Bodypack Base Set without Microphone Transducer, Smart Assist App Free for Download on App Store/Play Store 606.2-662 MHz
Headworn Mic</t>
  </si>
  <si>
    <t>MAT 153 + MEG14-40-L-II SET</t>
  </si>
  <si>
    <t>TABLE STAND INCL. GOOSENECK</t>
  </si>
  <si>
    <t>Germany</t>
  </si>
  <si>
    <t>EW-D ASA (Q-R-S)</t>
  </si>
  <si>
    <t>Active antenna splitter (Dual 1:4), Power supply for EW-D ASA, 8 BNC interconnect cables</t>
  </si>
  <si>
    <t>ADP UHF (470 - 1075 MHZ)</t>
  </si>
  <si>
    <t>ADP UHF passive directional UHF remote antenna</t>
  </si>
  <si>
    <t>China</t>
  </si>
  <si>
    <t>EW-D AB (S)</t>
  </si>
  <si>
    <t>Inline antenna booster (+10 dB)</t>
  </si>
  <si>
    <t xml:space="preserve">GZL 1019 A 10     </t>
  </si>
  <si>
    <t xml:space="preserve">BNC CONNECTING CABLE, 10M    </t>
  </si>
  <si>
    <t>Sợi</t>
  </si>
  <si>
    <t>EW IEM G4</t>
  </si>
  <si>
    <t>Wireless Monitor Set</t>
  </si>
  <si>
    <t>II.</t>
  </si>
  <si>
    <t>SOUND SYSTEMS - LOUDSPEAKER &amp; AMPLIFIER</t>
  </si>
  <si>
    <t>HLS24P</t>
  </si>
  <si>
    <r>
      <rPr>
        <b/>
        <sz val="11"/>
        <color indexed="8"/>
        <rFont val="Times New Roman"/>
        <family val="1"/>
      </rPr>
      <t>Loa Full array</t>
    </r>
    <r>
      <rPr>
        <sz val="11"/>
        <color indexed="8"/>
        <rFont val="Times New Roman"/>
        <family val="1"/>
      </rPr>
      <t xml:space="preserve">:
Principle Bass reflex system/hybrid horn
Transducers 2x 12″N LF
                   4x 1.4″N HF
Crossover passive, 900 Hz 
Power handling capacity (RMS/Peak) 1200 W / 4800 W
Frequency range 60 Hz – 20 kHz
Sensitivity (1 W / 1 m) 108 dB
SPLmax 144 dB
Nominal dispersion angle horizontal </t>
    </r>
    <r>
      <rPr>
        <b/>
        <sz val="11"/>
        <color indexed="8"/>
        <rFont val="Times New Roman"/>
        <family val="1"/>
      </rPr>
      <t>100° x vertical 40°</t>
    </r>
    <r>
      <rPr>
        <sz val="11"/>
        <color indexed="8"/>
        <rFont val="Times New Roman"/>
        <family val="1"/>
      </rPr>
      <t xml:space="preserve">
Nominal impedance passiveXO: 4 Ohms
Connection 2x Speakon NL4
Dimensions (W x H x D) 480 x 675 x 560 mm
Weight 46 kg</t>
    </r>
  </si>
  <si>
    <t>Harmonic-Design</t>
  </si>
  <si>
    <t>HLS16P</t>
  </si>
  <si>
    <r>
      <rPr>
        <b/>
        <sz val="11"/>
        <color indexed="8"/>
        <rFont val="Times New Roman"/>
        <family val="1"/>
      </rPr>
      <t>Loa Center array</t>
    </r>
    <r>
      <rPr>
        <sz val="11"/>
        <color indexed="8"/>
        <rFont val="Times New Roman"/>
        <family val="1"/>
      </rPr>
      <t xml:space="preserve">:
Principle Bass reflex system/hybrid horn
Transducers 2x 8″N LF
                   2x 1.4″N HF
Crossover passive, 900 Hz 
Power handling capacity (RMS/Peak) 700 W / 2800 W
Frequency range 70 Hz – 20 kHz
Sensitivity (1 W / 1 m) 105 dB
SPLmax 137 dB
Nominal dispersion angle horizontal </t>
    </r>
    <r>
      <rPr>
        <b/>
        <sz val="11"/>
        <color indexed="8"/>
        <rFont val="Times New Roman"/>
        <family val="1"/>
      </rPr>
      <t>100° x vertical 40°</t>
    </r>
    <r>
      <rPr>
        <sz val="11"/>
        <color indexed="8"/>
        <rFont val="Times New Roman"/>
        <family val="1"/>
      </rPr>
      <t xml:space="preserve">
Nominal impedance passiveXO: 4 Ohms
Connection 2x Speakon NL4
Dimensions (W x H x D) 370 x 405 x 540 mm
Weight 24 kg</t>
    </r>
  </si>
  <si>
    <t>hd Infra221</t>
  </si>
  <si>
    <r>
      <rPr>
        <b/>
        <sz val="11"/>
        <color indexed="8"/>
        <rFont val="Times New Roman"/>
        <family val="1"/>
      </rPr>
      <t>Loa siêu trầm:</t>
    </r>
    <r>
      <rPr>
        <sz val="11"/>
        <color indexed="8"/>
        <rFont val="Times New Roman"/>
        <family val="1"/>
      </rPr>
      <t xml:space="preserve">
Principle Bass reflex system/horn-loaded
Transducers 2x 21″N long-excursion woofer
                     5“ voice coil, vented at pole piece and spider
Crossover active up to max. 110 Hz
Power handling capacity (RMS/Peak) 3600 W / 14400 W
Frequency range 24 Hz – 110 Hz
Sensitivity (1 W / 1 m)
Groundplane 106 dB
SPLmax (Half-Space) 150 dB
Nominal impedance 4 Ohms
Connection 2x Speakon NL4
1x Speakon NL4 turning socket
Dimensions (W x H x D) 1395 x 595 x 865 mm
wheels: 1395 x 595 x 985 mm
Weight 122 kg
</t>
    </r>
  </si>
  <si>
    <t>DALIM 10Q</t>
  </si>
  <si>
    <r>
      <rPr>
        <b/>
        <sz val="11"/>
        <rFont val="Times New Roman"/>
        <family val="1"/>
      </rPr>
      <t>Amplifer 4 Channel</t>
    </r>
    <r>
      <rPr>
        <sz val="11"/>
        <rFont val="Times New Roman"/>
        <family val="1"/>
      </rPr>
      <t>:
DALIM 10Q with DSP
4x 1250 / 1x 1300 W @8Ohm
4x 2500 / 1x 2500 W @4Ohm
2x 5000/ Bridge @4Ohm
High performance 96 kHz/24 bits AD/DA converters
• 64 bit double-precision 96 kHz DSP process
• 0.85 ms minimum process latency time
• Custom FIR process up to 1000 taps
• Dante, AES67 and AES3 input versions
483x89x355 mm</t>
    </r>
  </si>
  <si>
    <t>RAM Audio</t>
  </si>
  <si>
    <t>Spain</t>
  </si>
  <si>
    <t>MR12NA</t>
  </si>
  <si>
    <r>
      <rPr>
        <b/>
        <sz val="11"/>
        <color indexed="8"/>
        <rFont val="Times New Roman"/>
        <family val="1"/>
      </rPr>
      <t>Loa kiểm âm liền công suất trên sân khấu:</t>
    </r>
    <r>
      <rPr>
        <sz val="11"/>
        <color indexed="8"/>
        <rFont val="Times New Roman"/>
        <family val="1"/>
      </rPr>
      <t xml:space="preserve">
Model FDB MR12NA
75Hz-18KHz
1×12"(300mm)/3"voice coil LF 
1×1"(25mm) / 1.7"voice coil HF
600W/8Ω; 122dB continuous,128dB peak
560mm×425mm×545mm</t>
    </r>
  </si>
  <si>
    <t>FDB</t>
  </si>
  <si>
    <t>hd MP12N</t>
  </si>
  <si>
    <r>
      <rPr>
        <b/>
        <sz val="11"/>
        <color indexed="8"/>
        <rFont val="Times New Roman"/>
        <family val="1"/>
      </rPr>
      <t>Loa Dekay</t>
    </r>
    <r>
      <rPr>
        <sz val="11"/>
        <color indexed="8"/>
        <rFont val="Times New Roman"/>
        <family val="1"/>
      </rPr>
      <t>:
Principle bass reflex system/symmetrical horn
Transducers 1x 12″ LF Neodym
1x 1.4″ HF Neodym
Crossover 900 Hz, 2-way passive
Power handling capacity (RMS/Peak) 600 W / 2400 W
Frequency range 55 Hz – 20 kHz
Sensitivity (1 W / 1 m) 100 dB
SPLmax 134 dB
Nominal dispersion angle selectable
horizontal 90° x vertical 60°
horizontal 60° x vertical 40°
rotatable
Nominal impedance 8 Ohms
Connection 3x Speakon NL4
Dimensions (W x H x D) 354 x 575 x 320 mm
Weight 18 kg</t>
    </r>
  </si>
  <si>
    <t>III.</t>
  </si>
  <si>
    <t>ACCESSORIES</t>
  </si>
  <si>
    <t>PSC1082</t>
  </si>
  <si>
    <r>
      <rPr>
        <b/>
        <u/>
        <sz val="11"/>
        <rFont val="Times New Roman"/>
        <family val="1"/>
      </rPr>
      <t>Bộ chia nguồn cho âm thanh</t>
    </r>
    <r>
      <rPr>
        <b/>
        <sz val="11"/>
        <rFont val="Times New Roman"/>
        <family val="1"/>
      </rPr>
      <t xml:space="preserve">:
</t>
    </r>
    <r>
      <rPr>
        <sz val="11"/>
        <rFont val="Times New Roman"/>
        <family val="1"/>
      </rPr>
      <t>INPUT/OUTPUT IMPEDANCE  ≤0.01Ω
RATED VOLTAGE  85V～265 V40-60Hz
RATED CURRENT（25℃） ≤60A(continued)
SINGLE CHANNEL CURRENT ≤13A(continued)
SINGLE CHANNEL PEAK CURRENT（25℃） ≤30A
STATIC POWER   ≤8W
 INTERVAL TIME  1s
DIMENSIONS(WxDxH)mm 483×280x55
NET WEIGHT 5 KG</t>
    </r>
  </si>
  <si>
    <t>F002</t>
  </si>
  <si>
    <r>
      <rPr>
        <b/>
        <u/>
        <sz val="11"/>
        <rFont val="Times New Roman"/>
        <family val="1"/>
      </rPr>
      <t>Dây tín hiệu:</t>
    </r>
    <r>
      <rPr>
        <b/>
        <sz val="11"/>
        <rFont val="Times New Roman"/>
        <family val="1"/>
      </rPr>
      <t xml:space="preserve">
</t>
    </r>
    <r>
      <rPr>
        <sz val="11"/>
        <rFont val="Times New Roman"/>
        <family val="1"/>
      </rPr>
      <t>cable 128 braid 40*2*0.1mm ofc 100m/roll</t>
    </r>
  </si>
  <si>
    <t>Mét</t>
  </si>
  <si>
    <t>F425</t>
  </si>
  <si>
    <r>
      <rPr>
        <b/>
        <u/>
        <sz val="11"/>
        <rFont val="Times New Roman"/>
        <family val="1"/>
      </rPr>
      <t>Dây loa 4x2.5mm:</t>
    </r>
    <r>
      <rPr>
        <b/>
        <sz val="11"/>
        <rFont val="Times New Roman"/>
        <family val="1"/>
      </rPr>
      <t xml:space="preserve">
</t>
    </r>
    <r>
      <rPr>
        <sz val="11"/>
        <rFont val="Times New Roman"/>
        <family val="1"/>
      </rPr>
      <t>audio cable 4*2.5mm copper 100m/roll</t>
    </r>
  </si>
  <si>
    <t>F225</t>
  </si>
  <si>
    <r>
      <rPr>
        <b/>
        <u/>
        <sz val="11"/>
        <rFont val="Times New Roman"/>
        <family val="1"/>
      </rPr>
      <t>Dây loa 2x2.5mm:</t>
    </r>
    <r>
      <rPr>
        <b/>
        <sz val="11"/>
        <rFont val="Times New Roman"/>
        <family val="1"/>
      </rPr>
      <t xml:space="preserve">
</t>
    </r>
    <r>
      <rPr>
        <sz val="11"/>
        <rFont val="Times New Roman"/>
        <family val="1"/>
      </rPr>
      <t>audio cable 2*2.5mm copper 100m/roll</t>
    </r>
  </si>
  <si>
    <t>NL4FXX-S/L</t>
  </si>
  <si>
    <r>
      <rPr>
        <b/>
        <u/>
        <sz val="11"/>
        <rFont val="Times New Roman"/>
        <family val="1"/>
      </rPr>
      <t>Giắc Loa:</t>
    </r>
    <r>
      <rPr>
        <b/>
        <sz val="11"/>
        <rFont val="Times New Roman"/>
        <family val="1"/>
      </rPr>
      <t xml:space="preserve">
</t>
    </r>
    <r>
      <rPr>
        <sz val="11"/>
        <rFont val="Times New Roman"/>
        <family val="1"/>
      </rPr>
      <t>SpeakON 4 pin Connector copper pin retardant material</t>
    </r>
  </si>
  <si>
    <t>Neutrik</t>
  </si>
  <si>
    <t>EU</t>
  </si>
  <si>
    <t>T903BG
T904BG</t>
  </si>
  <si>
    <r>
      <rPr>
        <b/>
        <u/>
        <sz val="11"/>
        <rFont val="Times New Roman"/>
        <family val="1"/>
      </rPr>
      <t>Giắc tín hiệu canon:</t>
    </r>
    <r>
      <rPr>
        <b/>
        <sz val="11"/>
        <rFont val="Times New Roman"/>
        <family val="1"/>
      </rPr>
      <t xml:space="preserve">
</t>
    </r>
    <r>
      <rPr>
        <sz val="11"/>
        <rFont val="Times New Roman"/>
        <family val="1"/>
      </rPr>
      <t>CANON  xlr male 3 pin connector golden pin
CANON  xlr female 3 pin connector golden pin</t>
    </r>
  </si>
  <si>
    <t>T810BG</t>
  </si>
  <si>
    <r>
      <rPr>
        <b/>
        <u/>
        <sz val="11"/>
        <rFont val="Times New Roman"/>
        <family val="1"/>
      </rPr>
      <t>Giắc tín hiệu 6li:</t>
    </r>
    <r>
      <rPr>
        <b/>
        <sz val="11"/>
        <rFont val="Times New Roman"/>
        <family val="1"/>
      </rPr>
      <t xml:space="preserve">
</t>
    </r>
    <r>
      <rPr>
        <sz val="11"/>
        <rFont val="Times New Roman"/>
        <family val="1"/>
      </rPr>
      <t>6.35mm Connector  MONO golden pin</t>
    </r>
  </si>
  <si>
    <t>VCmt 3x2,5</t>
  </si>
  <si>
    <r>
      <rPr>
        <b/>
        <u/>
        <sz val="11"/>
        <rFont val="Times New Roman"/>
        <family val="1"/>
      </rPr>
      <t>Dây điện cung cấp nguồn điện cho thiết bị:</t>
    </r>
    <r>
      <rPr>
        <b/>
        <sz val="11"/>
        <rFont val="Times New Roman"/>
        <family val="1"/>
      </rPr>
      <t xml:space="preserve">
</t>
    </r>
    <r>
      <rPr>
        <sz val="11"/>
        <rFont val="Times New Roman"/>
        <family val="1"/>
      </rPr>
      <t>3x2.5mm</t>
    </r>
  </si>
  <si>
    <t>CADIVI</t>
  </si>
  <si>
    <t>Việt Nam</t>
  </si>
  <si>
    <t>K02</t>
  </si>
  <si>
    <r>
      <rPr>
        <b/>
        <u/>
        <sz val="11"/>
        <rFont val="Times New Roman"/>
        <family val="1"/>
      </rPr>
      <t>Khung treo loa Full Array</t>
    </r>
    <r>
      <rPr>
        <b/>
        <sz val="11"/>
        <rFont val="Times New Roman"/>
        <family val="1"/>
      </rPr>
      <t xml:space="preserve">
</t>
    </r>
    <r>
      <rPr>
        <sz val="11"/>
        <rFont val="Times New Roman"/>
        <family val="1"/>
      </rPr>
      <t>Chất liệu: sắt chóng rỉ
Tải trọng: 300 Kg 
Kết nối giữa loa và khung treo loa</t>
    </r>
  </si>
  <si>
    <t>DD-058B</t>
  </si>
  <si>
    <r>
      <rPr>
        <b/>
        <u/>
        <sz val="11"/>
        <rFont val="Times New Roman"/>
        <family val="1"/>
      </rPr>
      <t>Chân micro:</t>
    </r>
    <r>
      <rPr>
        <b/>
        <sz val="11"/>
        <rFont val="Times New Roman"/>
        <family val="1"/>
      </rPr>
      <t xml:space="preserve">
</t>
    </r>
    <r>
      <rPr>
        <sz val="11"/>
        <rFont val="Times New Roman"/>
        <family val="1"/>
      </rPr>
      <t>Height 1000-1760mm
Arm Length 800mm
Base Metal
Inner bo× 9×9×86cm(1pc)
Master Carton 29×20×89cm(6pcs)
Weight 2.66kg(Inner bo× / 1pc)</t>
    </r>
  </si>
  <si>
    <t>Soundking</t>
  </si>
  <si>
    <t>U16</t>
  </si>
  <si>
    <r>
      <rPr>
        <b/>
        <u/>
        <sz val="11"/>
        <color indexed="8"/>
        <rFont val="Times New Roman"/>
        <family val="1"/>
      </rPr>
      <t>Tủ máy có bánh xe 16U</t>
    </r>
    <r>
      <rPr>
        <b/>
        <sz val="11"/>
        <color indexed="8"/>
        <rFont val="Times New Roman"/>
        <family val="1"/>
      </rPr>
      <t>:</t>
    </r>
    <r>
      <rPr>
        <sz val="11"/>
        <color indexed="8"/>
        <rFont val="Times New Roman"/>
        <family val="1"/>
      </rPr>
      <t xml:space="preserve">
Gỗ dán nhiều lớp dày 9mm mặt tráng nhựa
Kích thước : Kích thước : H.1000*W.550*D.700
Góc tủ được làm bằng sắt dập mạ crom bóng
4 Chân tủ có thể quay đa hướng có vòng bi bánh cao su, 2 bánh có thêm khóa bánh.
Đinh tán neo kép
Cạnh tủ được bọc nhôm dày.
Có khóa lưỡi móc dễ dàng khóa phù hợp và lưỡi.
</t>
    </r>
  </si>
  <si>
    <t>TD06</t>
  </si>
  <si>
    <r>
      <rPr>
        <b/>
        <u/>
        <sz val="11"/>
        <rFont val="Times New Roman"/>
        <family val="1"/>
      </rPr>
      <t>Tủ đựng Mixer âm thanh:</t>
    </r>
    <r>
      <rPr>
        <sz val="11"/>
        <rFont val="Times New Roman"/>
        <family val="1"/>
      </rPr>
      <t xml:space="preserve">
Tủ được làm từ gỗ cứng, sơn chống thấm bên ngoài
Khung sườn được ốp nhôm chắc chắn, vừa vặn
Các góc được bo bằng sắt mạ crom sáng bóng, cứng
Bên trong bọc da tránh va đập trầy xước loa
Bánh xe cao su non, 2 bánh có khoá, giúp việc di chuyển hay cố định dễ dàng
Trang bị khoá hình cánh bướm tiện dụng, an toàn</t>
    </r>
  </si>
  <si>
    <r>
      <rPr>
        <b/>
        <u/>
        <sz val="11"/>
        <color indexed="8"/>
        <rFont val="Times New Roman"/>
        <family val="1"/>
      </rPr>
      <t>Tủ điện cho hệ thống Âm Thanh</t>
    </r>
    <r>
      <rPr>
        <sz val="11"/>
        <color indexed="8"/>
        <rFont val="Times New Roman"/>
        <family val="1"/>
      </rPr>
      <t>:
- CB tép 30A
- …..</t>
    </r>
  </si>
  <si>
    <t>Dây cáp mạng 3M (Lan Cable CAT 6)</t>
  </si>
  <si>
    <t>cuộn</t>
  </si>
  <si>
    <t>Phí cài đặt hệ thống &amp; Đào tạo kỹ thuật</t>
  </si>
  <si>
    <t xml:space="preserve">Vật tư phụ + Máy thi công </t>
  </si>
  <si>
    <t>B.</t>
  </si>
  <si>
    <t>HỆ THỐNG ÁNH SÁNG SÂN KHẤU</t>
  </si>
  <si>
    <t xml:space="preserve">LIGHTING SYSTEMS </t>
  </si>
  <si>
    <t>LSP400</t>
  </si>
  <si>
    <r>
      <rPr>
        <b/>
        <sz val="11"/>
        <color indexed="8"/>
        <rFont val="Times New Roman"/>
        <family val="1"/>
      </rPr>
      <t>Đèn moving head LED:</t>
    </r>
    <r>
      <rPr>
        <sz val="11"/>
        <color indexed="8"/>
        <rFont val="Times New Roman"/>
        <family val="1"/>
      </rPr>
      <t xml:space="preserve">
Voltage: AC100-240V 50/60Hz
Lamp: LED400W 
Rated power: 550W
Powercon in and Powercon out ,Three-core socket design (In and  out)
Color Wheel:
1:CTO linear color mixing system+3 colors
2:One normal color wheel:8 colors + open, half color, step/linear conversion color optional, bidirectional rainbow effect.
Color Wheel:
Rotation Gobo Wheel: 7 pieces glass gobos+open, with gobo shaking,rotation, flow and other various of effects.
8-sided cutting system, capable of cutting a variety of geometric shapes.
Focus: Linear electronic focusing,Linear adjustment 4m-50m
Dimmer: 0%-100% linear dimmer
Strobe：strobe maximum reaches 20 times per second, Random strobe and pulse strobe optional.
Zoom:  Beam angle: 2.7-36°, Wash : 4-36°,Gobo:4-36°
Light output diameter: 138mm
Pan： 540 °(16 bits fine,Three-phase motor drive）
Tilt： 270° (16 bits fine,Three-phase motor drive）
Display：Advanced and convenient 3.0-inch touch color LCD display，English and Chinese optional,touch screen with 180°reversed available，internal sensor information display, manual control of lights spot correction, reset and other functions, displays the usage time of lamps and light sources, and can query the lamp status and fault records. The temperature of the light fixture and the temperature of the display panel are displayed in real time.
Control Mode： DMX512、Sound Active、Auto-run
Channel：26/22CHs(with RDM function)
Net weight: 22.5kg
Size(mm): 380*270*650</t>
    </r>
  </si>
  <si>
    <t>Weinas</t>
  </si>
  <si>
    <t>ML1940B</t>
  </si>
  <si>
    <r>
      <rPr>
        <b/>
        <sz val="11"/>
        <color indexed="8"/>
        <rFont val="Times New Roman"/>
        <family val="1"/>
      </rPr>
      <t>Led moving head Big eye</t>
    </r>
    <r>
      <rPr>
        <sz val="11"/>
        <color indexed="8"/>
        <rFont val="Times New Roman"/>
        <family val="1"/>
      </rPr>
      <t xml:space="preserve">
Voltage AC110V-240V，50/60Hz
Rated Power 900W
Light Source 19x40W（RGBW 4in 1/LED）
Display LCD display
Control Mode DMX512、Sound Active、Master/slave、 Auto-run
Channel 24/26/38/81/95/100/102CHs
Pan 540° (16 bits fine)
Tilt 270° (16 bits fine）
Color Temperature 2500K-9000K
Strobe 1-25Hz random strobe and pulse strobe
Foggy 0%-100% linear foggy
Dimmer 0-100% linear dimmer
IP Rate IP20 high efficiency switch power supply
N/W 15.4kg
Packing Size 890*470*710(2pcs/flight case)
Other Function Single LED can be point controlled, and the front mirror plate can rotate in both directions, fast and slow, infinitely</t>
    </r>
  </si>
  <si>
    <t>COB200B</t>
  </si>
  <si>
    <r>
      <rPr>
        <b/>
        <sz val="11"/>
        <color indexed="8"/>
        <rFont val="Times New Roman"/>
        <family val="1"/>
      </rPr>
      <t>Đèn Par LED COB:</t>
    </r>
    <r>
      <rPr>
        <sz val="11"/>
        <color indexed="8"/>
        <rFont val="Times New Roman"/>
        <family val="1"/>
      </rPr>
      <t xml:space="preserve">
Voltage: AC110-240V ,50Hz/60Hz
1pcs*200W COB RGBW 4in1 
Color rendering index: ≧93%
Channel: 2CHs(digital display)
Dimmer: 0-100% linear dimmer
Strobe effect: variable speed (1-30Hz)
Control mode: DMX512, Master/Slave,Sound Active,Auto
Lens angle: 30 °
Rated power: 120W</t>
    </r>
  </si>
  <si>
    <t>D405</t>
  </si>
  <si>
    <r>
      <rPr>
        <b/>
        <sz val="11"/>
        <color indexed="8"/>
        <rFont val="Times New Roman"/>
        <family val="1"/>
      </rPr>
      <t>Đèn Par LED COB:</t>
    </r>
    <r>
      <rPr>
        <sz val="11"/>
        <color indexed="8"/>
        <rFont val="Times New Roman"/>
        <family val="1"/>
      </rPr>
      <t xml:space="preserve">
Voltage: AC110V-240V, 50/60Hz
Lamp: 2pcs*50W  2in1/Lamp (3200K color and Cool White color) 
Color temperature: Warm White 3200K 
Dimmer: 0-100% linear dimmer, variable strobe speed, without flicker
Control mode: DMX512, Master/Slave, Auto-run, Sound
Channel: 4/9CHs (digital display)
Lens angle: 25°
Rated power: 210W
Main feature: 32bit CPU,0-100% complete PWM linear dimmer, 
without flicker; Suitable for photography, television and other 
occasions where lighting requirements are strict
</t>
    </r>
  </si>
  <si>
    <t>P200</t>
  </si>
  <si>
    <r>
      <rPr>
        <b/>
        <u/>
        <sz val="11"/>
        <color indexed="8"/>
        <rFont val="Times New Roman"/>
        <family val="1"/>
      </rPr>
      <t>Đèn Profile</t>
    </r>
    <r>
      <rPr>
        <sz val="11"/>
        <color indexed="8"/>
        <rFont val="Times New Roman"/>
        <family val="1"/>
      </rPr>
      <t>:
Voltage： AC100-240V, 50/60Hz
Rated Power： 250W
Lamp: 200W 2in1 (3200K and 5600K)
Lens： Acrylic lenses+aspherical lenses
Light source life： about 50000 hours
Color temperature： 3200K/5600K
Color-rendering index： R9 90，R1590
Display： LCD display board  with 4 buttons
Control Mode： DMX512、Manual mode、Wireless signal
Channel： 2/8CHs
Dimmer： 0%～100% linear dimmerr
Beam angle： 15°-60°
IP Rate： IP20 high efficiency switch power supply
Lamp effect Astigmatism, spotlight, soft light
Other Function： Equipped with a built-in temperature protection sensor, it automatically adjusts the power of the lamp for over temperature protection. The display panel can view the working temperature of the lamp in real-time.</t>
    </r>
  </si>
  <si>
    <t>F220</t>
  </si>
  <si>
    <r>
      <rPr>
        <b/>
        <sz val="11"/>
        <color indexed="8"/>
        <rFont val="Times New Roman"/>
        <family val="1"/>
      </rPr>
      <t>Đèn Fresnel:</t>
    </r>
    <r>
      <rPr>
        <sz val="11"/>
        <color indexed="8"/>
        <rFont val="Times New Roman"/>
        <family val="1"/>
      </rPr>
      <t xml:space="preserve">
Voltage： AC110-240V, 50/60Hz
Rated Power： 230W±5%
Lamp: 200W 2in1 (3200K and 5600K)
Color temperature： 3200K/5600K
Color-rendering index： Ra95  R9 90
Display： Color display
Control Mode： DMX512、Manual mode
Channel： 2CHs
Dimmer： 0%～100% linear dimmerr
Beam angle： 15°-45°
Pitch angle： ±90°
Strobe： different strobe effect,No flicker
IP Rate： IP20
Case material： aluminum alloy
Case color： black
Cooling system： fan cooling
Environment temperature： -25℃～40℃</t>
    </r>
  </si>
  <si>
    <t>D400C</t>
  </si>
  <si>
    <r>
      <rPr>
        <b/>
        <sz val="11"/>
        <color indexed="8"/>
        <rFont val="Times New Roman"/>
        <family val="1"/>
      </rPr>
      <t>Đèn khán giã:</t>
    </r>
    <r>
      <rPr>
        <sz val="11"/>
        <color indexed="8"/>
        <rFont val="Times New Roman"/>
        <family val="1"/>
      </rPr>
      <t xml:space="preserve">
Voltage: AC100V-240V, 50/60Hz
 D400C: 4PCS*100w 2in1 (3200K and 5600K)
Color index:≧95%
Color temperture: warm white (3200K) and cool white(6000K)
CHS: 4/9CHS 
Dimmer: 0%-100% linear dimmer, signal point of control 
Strobe effect: changeable (1-30HZ) 
Operational mode: DMX512, master-slave system, auto-run, sound active                                
Beam angel: 30degree                                                                           
Rated  power:480W                                                                           
Packing size(mm) :410×390×490(2pcs/CTN)
N/W : 9 KG</t>
    </r>
  </si>
  <si>
    <t>F17R</t>
  </si>
  <si>
    <r>
      <rPr>
        <b/>
        <u/>
        <sz val="11"/>
        <color indexed="8"/>
        <rFont val="Times New Roman"/>
        <family val="1"/>
      </rPr>
      <t>Đèn rọi ca sĩ:</t>
    </r>
    <r>
      <rPr>
        <sz val="11"/>
        <color indexed="8"/>
        <rFont val="Times New Roman"/>
        <family val="1"/>
      </rPr>
      <t xml:space="preserve">
Small size and strong brighntess                                                              Voltage: AC100-AC240/50-60HZ                                                           Rated power: 350W
Lamp:  300W LED       
Iris : Inside electronic iris infinite adjustment
Color wheel: 5colors, red, green, blue, white, yellow
Jetting distance: Long than or equal to 50-80 meter
Stand Carton package (cm): 111*35*41 1PC/CTN, G.W: 5KG </t>
    </r>
  </si>
  <si>
    <t>HZ1500</t>
  </si>
  <si>
    <r>
      <rPr>
        <b/>
        <u/>
        <sz val="11"/>
        <color indexed="8"/>
        <rFont val="Times New Roman"/>
        <family val="1"/>
      </rPr>
      <t>Máy tạo khói Haze</t>
    </r>
    <r>
      <rPr>
        <sz val="11"/>
        <color indexed="8"/>
        <rFont val="Times New Roman"/>
        <family val="1"/>
      </rPr>
      <t>:
Voltage:AC220V/50Hz,110V/60Hz
Rated Power: 1500W      
Output Volume: 10,000 cu.ft/min 
Heat-up time: 8min                   
Tank Capacity: 2.3L          
Control Mode:LCD panel control,remote control and DMX512 control
Net Weight:: 12.5KG 
Size(mm): 560x278x276</t>
    </r>
  </si>
  <si>
    <t>BLACK TWO</t>
  </si>
  <si>
    <r>
      <rPr>
        <b/>
        <sz val="11"/>
        <color indexed="8"/>
        <rFont val="Times New Roman"/>
        <family val="1"/>
      </rPr>
      <t>Bộ điều khiển GranMA2 Black Two</t>
    </r>
    <r>
      <rPr>
        <sz val="11"/>
        <color indexed="8"/>
        <rFont val="Times New Roman"/>
        <family val="1"/>
      </rPr>
      <t>: Vision: 3.9.60.45
Input voltage: 110V~220V 50~60Hz, built-in UPS 
• 3027 dmx channels
 • Intel Core I7 CPU, 4GB RAM, 120G SSD. 
• Smooth running of MA3D software and Wysiwyg3D software advanced rendering
 • 2 19-inch electric lift widescreen touch screen display.
 • 6 DMX-512 output interfaces, 1 DMX-512 input interface 
• One LTC time code input interface, one MIDI time code input interface. 
• 1 master dimming wheel, 4 attribute table wheels, 1 master push rod, 2 AB push rods 
• 21 program playback faders, 42 program memory function keys 
• 4 USB ports, 1 audio port, 1 network port, 2 working lamp ports 
• Size:82*68*1.3cm 40kg(not including flycase)</t>
    </r>
  </si>
  <si>
    <t>ALPHA8</t>
  </si>
  <si>
    <r>
      <rPr>
        <b/>
        <u/>
        <sz val="11"/>
        <color indexed="8"/>
        <rFont val="Times New Roman"/>
        <family val="1"/>
      </rPr>
      <t>Bộ chia và khuyếch đại tín hiệu</t>
    </r>
    <r>
      <rPr>
        <sz val="11"/>
        <color indexed="8"/>
        <rFont val="Times New Roman"/>
        <family val="1"/>
      </rPr>
      <t>:
Dmx8 splitter is a dmx512 distribution amplier, it is aspecially designed for connection of dmx receivers (dimmer, color changers, moving head lights, etc) in a star configuration 
Dmx 8 can surmount the restriction that singal RS485 can only connect 32 sets of equipment 
The Multiple output optically isolated dmx512 distribution amplifiers have become necessary in many dmx512 systems 
Dmx8 provide total electricals ground isolation between different branches of the star 
This greatly decreascs problems with groud loops 
Dmx8 amplifies and refits the dmx signal, that is make the dmx data transmission more reliable                                                                              Power supply:90V-240V/50-60HZ 15W</t>
    </r>
  </si>
  <si>
    <t>ARTNET 8</t>
  </si>
  <si>
    <r>
      <rPr>
        <b/>
        <u/>
        <sz val="11"/>
        <color indexed="8"/>
        <rFont val="Times New Roman"/>
        <family val="1"/>
      </rPr>
      <t>Bộ chuyển đổi tín hiệu</t>
    </r>
    <r>
      <rPr>
        <sz val="11"/>
        <color indexed="8"/>
        <rFont val="Times New Roman"/>
        <family val="1"/>
      </rPr>
      <t>:
 Independent software development;
-CPU adopts advanced ARM Cortex-m4;
-Independent signal isolation for each channel of output signal, isolated power supply 2000V DC;
-Support all ART NET network protocol consoles, such as Pearl Expert, Tiger Touch and Grandma MA;
-The conventional DMX512 signal can be converted into ART NET network signal;
Neutrik DMX (3Pins XLR or 5Pins XLR optional);
Firmware can be upgraded via U disk or network;
System parameters can be set through the LCD screen or network; 
Brushed aluminum alloy housing, standard 1U 19 inch rack</t>
    </r>
  </si>
  <si>
    <r>
      <rPr>
        <b/>
        <u/>
        <sz val="11"/>
        <color indexed="8"/>
        <rFont val="Times New Roman"/>
        <family val="1"/>
      </rPr>
      <t>Hệ thống khung nhôm treo đèn ngang 20m x 3:</t>
    </r>
    <r>
      <rPr>
        <sz val="11"/>
        <color indexed="8"/>
        <rFont val="Times New Roman"/>
        <family val="1"/>
      </rPr>
      <t xml:space="preserve">
Hệ thống motor nâng hạ khung TRUSS treo đèn:
- Motor giảm tốc 2HP : 3phase/380V/RPM 1450/Hz:50, thắng từ. 
- Hộp giảm tốc: HW 100-1/60
- Bệ đỡ motor,nhông truyền tải xích B50, tang quấn cáp 4 ngăn D220mm, cáp thép D10, bệ đỡ puli, puli 1 rảnh D100mm,rờ le hành trình,rờ le an toàn,tăng đơ cùm treo, điều khiển nâng hạ khung treo đèn dài 12 mét
Khung chịu lực cho hệ motor và puli chuyền dẫn cáp liên kết hệ trần bê tông cho khung treo đèn 
Khung treo đèn hợp kim nhôm 350x350mm, Ống chính Ø50x3mm, thanh ngang Ø44x2mm, thanh chéo Ø25x2mm, 
Hệ lò xo thu dây điện và dây tín hiệu sào treo đèn</t>
    </r>
  </si>
  <si>
    <r>
      <rPr>
        <b/>
        <u/>
        <sz val="11"/>
        <rFont val="Times New Roman"/>
        <family val="1"/>
      </rPr>
      <t xml:space="preserve">Dây điện cung cấp nguồn điện cho thiết bị:
</t>
    </r>
    <r>
      <rPr>
        <sz val="11"/>
        <rFont val="Times New Roman"/>
        <family val="1"/>
      </rPr>
      <t>Dây nguồn từ nguồn điện chính đến tủ điện</t>
    </r>
    <r>
      <rPr>
        <b/>
        <sz val="11"/>
        <rFont val="Times New Roman"/>
        <family val="1"/>
      </rPr>
      <t xml:space="preserve">
</t>
    </r>
    <r>
      <rPr>
        <sz val="11"/>
        <rFont val="Times New Roman"/>
        <family val="1"/>
      </rPr>
      <t>Dây nguồn từ tủ điện lên khung treo đèn,
Hộp chia nguồn trên khung treo đèn
Dây nguồn từ hộp chia nguồn đến thiết bi
Dây nối đất
Dây trung tính</t>
    </r>
  </si>
  <si>
    <t>Móc treo đèn và cáp an toàn</t>
  </si>
  <si>
    <r>
      <rPr>
        <b/>
        <u/>
        <sz val="11"/>
        <color indexed="8"/>
        <rFont val="Times New Roman"/>
        <family val="1"/>
      </rPr>
      <t>Tủ điện cho hệ thống ánh sáng</t>
    </r>
    <r>
      <rPr>
        <sz val="11"/>
        <color indexed="8"/>
        <rFont val="Times New Roman"/>
        <family val="1"/>
      </rPr>
      <t xml:space="preserve">
- CB tép 30A
- …..</t>
    </r>
  </si>
  <si>
    <t xml:space="preserve">Phí cài đặt hệ thống &amp; Đào tạo kỹ thuật viên điều khiển </t>
  </si>
  <si>
    <t>D</t>
  </si>
  <si>
    <t>GHẾ KHÁN PHÒNG+HỆ THỐNG PHÔNG MÀN SÂN KHẤU</t>
  </si>
  <si>
    <t>E</t>
  </si>
  <si>
    <t>Phông màn chết</t>
  </si>
  <si>
    <t>M</t>
  </si>
  <si>
    <t>TỔNG CỘNG BAO GỒM VAT</t>
  </si>
  <si>
    <t>BẢNG TỔNG HỢP Ý KIẾN</t>
  </si>
  <si>
    <t>Nội Dung</t>
  </si>
  <si>
    <t>Ghi chú</t>
  </si>
  <si>
    <t>Hạng mục: Khối Nhà Văn Hóa</t>
  </si>
  <si>
    <t>- Chưa có bản vẽ chi tiết cửa đi cửa sổ (hiện trạng và cải tạo)</t>
  </si>
  <si>
    <t>- Chi tiết mặt bằng nhà vệ sinh tầng 1 khác với chi tiết nhà vệ sinh hiện trạng tầng 1 (trục 4A-6A/GA-FA)</t>
  </si>
  <si>
    <t>- Cải tạo phòng gym tầng 1:
+ Chưa có chi tiết cửa lắp mới (SL 2 cửa)
+ Chưa có chi tiết bậc tam cấp (SL 2 bậc cấp) - tính công tác xây, trát, đá, sơn nước, bê tông, đắp cát. Ghi chú thể hiện là S3 - sàn bê tông, xem lại là công tác xây tô, lát đá hay bê tông nguyên khối
+ Chưa có chi tiết lanh tô cửa (đục tường làm cửa mới phải có lanh tô)</t>
  </si>
  <si>
    <t>- Lắp đặt thang sắt theo yêu cầu PCCC: 
+ Chỉ có bản vẽ chi tiết (chưa nói rõ từng chi tiết -&gt; tính cho sơn dầu hoàn thiện, chưa có khối lượng sắt thép)</t>
  </si>
  <si>
    <t>- Chưa có chi tiết phòng thay đồ dưới chân cầu thang</t>
  </si>
  <si>
    <t>- Tháo dỡ gạch ốp tường: Bản vẽ chưa thể hiện vị trí tường nào có ốp và không có ốp</t>
  </si>
  <si>
    <t>- Chưa có bản vẽ tháo dỡ, cải tạo hệ thống điện: sảnh cải tạo - tháo trần tiêu âm</t>
  </si>
  <si>
    <t>- Cải tạo nhà vệ sinh:
+ Chưa có chi tiết khung bệ lavabo
+ Thiết bị vệ sinh thay đổi vị trí: chưa có bản vẽ cấp thoát nước
+ Nội dung thay mới trần thạch cao khung nổi chi tiết thể hiện trần nhôm giả gỗ
+ Tháo dỡ, cải tạo hệ thống điện chưa có</t>
  </si>
  <si>
    <t>- Vị trí mái tôn tháo dỡ: mặt bằng trục 11A-15A/BA-GA khác chiều dài so với mặt đứng hiện trạng</t>
  </si>
  <si>
    <t>- Thảm vải lót sàn: chưa thể hiện rõ thảm dùng loại vật liệu gì</t>
  </si>
  <si>
    <t xml:space="preserve">- Trần tiêu âm: chưa nói rõ vật liệu, hay quay cách </t>
  </si>
  <si>
    <t>- Vị trí phá dỡ tường ngăn, cải tạo bằng dặm vá gạch nền (xem lại phương án có cần thay mới nền gạch sàn cho đồng bộ hay không)</t>
  </si>
  <si>
    <t>- Nội dung cải tạo thể hiện thay 5 cửa 4 cánh tầng 1 phòng hội trường, bản vẽ thể hiện tháo dỡ 2 cửa 4 cánh trục 4A/CA-FA</t>
  </si>
  <si>
    <t>- Tường ốp tiêu âm thể hiện rõ sử dụng vật liệu nào</t>
  </si>
  <si>
    <t>- Nội dung cải tạo: cột tầng 2 (sảnh): gỡ bỏ lớp gỗ, vệ sinh sơn gai - bản vẽ hiện trạng tháo dỡ không có  A-HT103</t>
  </si>
  <si>
    <t>- Tầng 2: 
+ Phòng kỹ thuật hỗ trợ - thay mới lớp hoàn thiện là vị trí nào (sàn, hay tường, trần)
+ Sàn chống cháy trục 15A/CA-FA</t>
  </si>
  <si>
    <t>- Tầng 3: không rõ nội dung cải tạo 3 phòng CLB cờ, CLB võ thuật, CLB âm nhạc và hội họa</t>
  </si>
  <si>
    <t>Bản vẽ A-HT 101 thể hiện có giữ lại một phần tường, nhưng bản vẽ kết cấu HC-KP-1 thể hiện làm mới toàn bộ móng, đà kiềng</t>
  </si>
  <si>
    <t>Phần xà gồ mái: chưa thể hiện kích thước xà gồ hiện trạng ( thể hiện để tính khối lượng tháo dỡ xà gồ)</t>
  </si>
  <si>
    <t>Nền hiện trạng: Chưa nó rõ có cốt thép hay không có cốt thép ( thể hiện để áp mã phá dỡ nền)</t>
  </si>
  <si>
    <t>Bản vẽ A201 chi tiết bậc cấp thể hiện bê tông lót đá 4x6M100. Bản vẽ GN1 Ghi chú chung thể hiện tất cả cấu kiện tiếp xúc đất dùng bê tông đá 1x2M100</t>
  </si>
  <si>
    <t>Chưa có bản vẽ lanh tô</t>
  </si>
  <si>
    <t>Bản vẽ A101 ghi chú trần không khớp với mặt bằng</t>
  </si>
  <si>
    <t>Lam nhôm hộp 50x50 chưa có chiều dày</t>
  </si>
  <si>
    <t>Bệ đỡ lam nhôm trục 7B: mặt đứng không thể hiện, nhưng chi tiết thể hiện</t>
  </si>
  <si>
    <t>Hạng mục: Khu triển lãm</t>
  </si>
  <si>
    <t>Tại vị trí cắt cột thép chưa thể hiện cắt tường rộng bao nhiêu mm</t>
  </si>
  <si>
    <t>Tường ốp lam: chi tiết thể hiện lam nhôm, mặt bằng thể hiện lam nhựa</t>
  </si>
  <si>
    <t>Hạng mục: Bể xử lý nước thải</t>
  </si>
  <si>
    <t>Chưa có chi tiết trạm bơm và nhà rác</t>
  </si>
  <si>
    <t>Hạng mục: Cổng - tường rào</t>
  </si>
  <si>
    <t>Trụ đèn hiện hữu có tháo không</t>
  </si>
  <si>
    <t>Chưa có chi tiết cấu tạo nền sân khấu ngoài trời</t>
  </si>
  <si>
    <t>Thống kê thép hình hàng rào</t>
  </si>
  <si>
    <r>
      <t xml:space="preserve">- Cải tạo nhà vệ sinh:
+ Chưa có chi tiết khung bệ lavabo
+ Thiết bị vệ sinh thay đổi vị trí: chưa có bản vẽ cấp thoát nước
+ Nội dung thay mới trần thạch cao khung nổi chi tiết thể hiện trần nhôm giả gỗ
+ Tháo dỡ, cải tạo hệ thống điện chưa có
+ Chi tiết vách ngăn tiểu, tấm compact thể hiện là </t>
    </r>
    <r>
      <rPr>
        <b/>
        <sz val="11"/>
        <color indexed="10"/>
        <rFont val="Times New Roman"/>
        <family val="1"/>
      </rPr>
      <t>KHÁNG KHUẨN</t>
    </r>
    <r>
      <rPr>
        <sz val="11"/>
        <color indexed="8"/>
        <rFont val="Times New Roman"/>
        <family val="1"/>
      </rPr>
      <t>, có cần thiết hay không</t>
    </r>
    <r>
      <rPr>
        <sz val="11"/>
        <color indexed="8"/>
        <rFont val="Times New Roman"/>
        <family val="1"/>
      </rPr>
      <t xml:space="preserve">
+ Khây giấy vệ sinh (có cần thể hiện rõ về kích thước, vật liệu gì không)</t>
    </r>
  </si>
  <si>
    <t>- Thảm vải lót sàn: cho quy cách của thảm</t>
  </si>
  <si>
    <t xml:space="preserve">- Trần tiêu âm: chưa nói rõ vật liệu, hay quy cách </t>
  </si>
  <si>
    <t>- Làm rõ phần sắt hộp mạ kẽm 50x100x1.4 liên kết với lam nhôm
(phần săt hộp gắn tường tường, thành seno chưa thể hiện liên kết như thế nào)
- Thép H 100x100x6x8mm liên kết như thế nào</t>
  </si>
  <si>
    <t>- Thép hộp 100x50x1,4mm, thép H 100x100x6x8mm không có KL</t>
  </si>
  <si>
    <t>- Cầu thang hiện trạng không nói rõ chi tiết - nên chưa tính được diện tích đánh bóng</t>
  </si>
  <si>
    <t>- Thay mái tôn không có quy cách mái tôn (có sóng hay không, có lớp cách nhiệt hay không, dày bao nhiêu dem)</t>
  </si>
  <si>
    <t>Hệ thống điều hòa không khí</t>
  </si>
  <si>
    <t>- Ống luồn dây điện PVC không có D21 chỉ có D20</t>
  </si>
  <si>
    <t>- Thiếu KL măng xông D20, D25</t>
  </si>
  <si>
    <t>Hệ thống thông gió</t>
  </si>
  <si>
    <t>- Chưa có KL EAL 1200x300 kèm lưới chắn côn trùng</t>
  </si>
  <si>
    <t>- Lắp đặt Quạt Inline FAF-2F-01,02
Lưu lượng - cột áp: 1300l/s-165Pa không phải là 1830l/s-165Pa</t>
  </si>
  <si>
    <t>Lắp đặt Quạt Inline FAL-3F-01,02
Lưu lượng - cột áp: 180l/s-150Pa không phải là 180l/s-165Pa</t>
  </si>
  <si>
    <t>Hệ thống cấp thoát nước</t>
  </si>
  <si>
    <t>Hạng mục: Khối Hành Chính</t>
  </si>
  <si>
    <t>- Bản vẽ số: A-301- Chi tiết vệ sinh khu hành chính tờ 1 -  không mở được</t>
  </si>
  <si>
    <t>- Chi tiết cải tạo: các phòng thu 2 người, giám đốc + tiếp khách, phòng truyền thanh chưa:
+ Chi tiết cửa đi, cửa sổ
+ Vị trí tường phòng làm việc cải tạo (bản vẽ hiện trạng thể hiện cửa sô, bản vẽ cải tạo thể hiện cửa đi: Phần cửa sổ có xây kín lại không, cửa đi có lanh tô cửa hay không
+ Xây tường mới, cột mới: chưa có chi tiết kết cấu</t>
  </si>
  <si>
    <t>- Chưa có bản vẽ chi tiết cửa cải tạo</t>
  </si>
  <si>
    <t>- Chưa có bản vẽ cải tạo điện nước</t>
  </si>
  <si>
    <t>- đèn Downlight chưa có công suất, chưa có màu sắc (ánh sáng trắng hay ánh sáng vàng)</t>
  </si>
  <si>
    <t>- Hệ khung mái kính chưa có chi tiết</t>
  </si>
  <si>
    <t>- Bản vẽ CHI TIẾT VỆ SINH A-301 Hướng nhìn 3 thể hiện ốp gạch T2 (300x600mm), bản vẽ A-302 thể hiện ốp gạch T3 (100x300mm)</t>
  </si>
  <si>
    <t>- Bản vẽ A-302 Mặt bằng lam nhôm trục AB/7B-9B ký hiệu lam nhôm nhưng mặt đứng trục 7B-9B không có lam nhôm</t>
  </si>
  <si>
    <t>- Bản vẽ A-303 chi tiết cửa là cửa đi khung nhôm kính cường lực dày 10mm, ghi chú lại thể hiện cửa đi khung nhôm, pano nhôm kính cường lực dày 10mm</t>
  </si>
  <si>
    <t xml:space="preserve">- Chưa có KL Cửa gió thải Louver kèm lưới chắn côn trùng Louver KT cổ 600x400 </t>
  </si>
  <si>
    <t>- Chưa có KL ống gió mềm D150</t>
  </si>
  <si>
    <t>- Miệng gió sọt trứng KT cổ 200x200 có OBD là (van cân bằng gió hay van gió cánh ngược)</t>
  </si>
  <si>
    <t>- Bản vẽ thể hiện bệ xí là 5 cái, bảng KL thể hiện là 4 cái</t>
  </si>
  <si>
    <t>- Chưa có KL phễu thu nước sàn mái, cầu chắn rác</t>
  </si>
  <si>
    <t>- Chưa có khối lượng ống thoát nước mưa D90 từ mái</t>
  </si>
  <si>
    <t>- Bản vẽ tạo dốc về phễu thu là 1%, ghi chú thể hiện 1.5% (láng vữa nền)</t>
  </si>
  <si>
    <t>- Bồn nước cấp tận dụng hay thay mới, bản vẽ chưa thể hiện vị trí</t>
  </si>
  <si>
    <t>- Chưa có KL thép móng, dầm BMD1, BMD2, cột cấy mái đón</t>
  </si>
  <si>
    <t>- Chưa có KL thép hình mái đón</t>
  </si>
  <si>
    <t>Xây dựng</t>
  </si>
  <si>
    <t>Gạch nền nhà vệ sinh sử dụng gạch 600x600mm - có nên đổi sang 300x300</t>
  </si>
  <si>
    <t>- Trong bản vẽ cải tạo có thể hiện đèn, quạt hút: chưa có bản vẽ MEP</t>
  </si>
  <si>
    <t>- Chưa có bản vẽ cấp thoát nước của nhà vệ sinh</t>
  </si>
  <si>
    <t>- Seno mái có cần chống thấm hay không</t>
  </si>
  <si>
    <t>- Ghi chú: đơn vị thi công shopdrawing bản vẽ đảm bảo chịu lực trình cho đơn vị thiết kế, giám sát, chủ đầu tư phê duyệt</t>
  </si>
  <si>
    <t>- Sơn nước trong nhà có thực hiện hay không</t>
  </si>
  <si>
    <t>- Bồn hoa có cần: đất trồng và cỏ</t>
  </si>
  <si>
    <t>- Bê tống lót móng không nói rõ Mac bê tông</t>
  </si>
  <si>
    <t>- Bê tông móng bậc cấp không nói rõ Mac bê tông</t>
  </si>
  <si>
    <t>- Mở rộng móng M1, xem lại việc kết nối giữa cột và dầm hiện hữu</t>
  </si>
  <si>
    <t>- Hệ thống thoát nước ngưng máy lạnh treo nổi trên trần, trần cải tạo là trần lam nhôm (có gây mất thẩm mỹ)</t>
  </si>
  <si>
    <t>- Chưa có KL co, tê, lơi hệ thống ống uPVC thoát nước ngưng</t>
  </si>
  <si>
    <t>- Chưa có KL bộ điều khiển máy lạnh
- Dây cáp điện mới chỉ tính từ dàn lạnh đến giàn nóng, chưa tính từ giàn lạnh đến bộ điều khiển</t>
  </si>
  <si>
    <t>- Không có ống PVC D21, chỉ có ống PVC D20
- Thiếu KL măng xông D20</t>
  </si>
  <si>
    <t>Thiếu KL quạt gió thải EAF 01,02</t>
  </si>
  <si>
    <t>Đường ống thoát nước thải (nước phân, nước bẩn) kết nối với BTH không có chi tiết phui đào:
+ KL đào, tái lập</t>
  </si>
  <si>
    <t>- Không có vị trí bồn nước mái, bồn nước mái thay mới hay tận dụng</t>
  </si>
  <si>
    <t>CỔNG - HÀNG RÀO</t>
  </si>
  <si>
    <t>- Chưa có bản vẽ tường rào hiện trạng, để tính tháo dỡ</t>
  </si>
  <si>
    <t>- Hàng rào lưới thép (chưa nói rõ cụ thể là thay mới hay sơn dầu lại)</t>
  </si>
  <si>
    <t>- Bản vẽ A-408 (chi tiết đỉnh giằng tường bảng hiệu ốp đá granite màu vàng, mặt đứng thể hiện màu trắng)</t>
  </si>
  <si>
    <t>- Chưa có bảng thống kê thép của cột, dầm giằng đoạn tường xây mới</t>
  </si>
  <si>
    <t>- Chi tiết sân khấu không nói rõ bậc cấp là vật liệu gì</t>
  </si>
  <si>
    <t>HỆ THỐNG ĐIỆN</t>
  </si>
  <si>
    <t>- Chưa có chi tiết móng bệ máy, mái che phát điện</t>
  </si>
  <si>
    <t>- Kiểm tra lại chiều dài ống HDPE 85x65 -750m</t>
  </si>
  <si>
    <t>DANH MỤC TRANG THIẾT BỊ CƠ BẢN</t>
  </si>
  <si>
    <t>DỰ ÁN:  XÂY DỰNG TRƯỜNG THCS THỚI TAM THÔN 1</t>
  </si>
  <si>
    <t>ĐỊA ĐIỂM: XÃ THỚI TAM THÔN, HUYỆN HÓC MÔN, THÀNH PHỐ HỒ CHÍ MINH</t>
  </si>
  <si>
    <t>THÔNG SỐ KỸ THUẬT</t>
  </si>
  <si>
    <t>THÔNG SỐ KỸ THUẬT
điều chỉnh</t>
  </si>
  <si>
    <t>ĐVT</t>
  </si>
  <si>
    <t>SL
điều chỉnh</t>
  </si>
  <si>
    <t>Thuế suất</t>
  </si>
  <si>
    <t>Đơn giá</t>
  </si>
  <si>
    <t xml:space="preserve"> Ý KIẾN CỦA PGD </t>
  </si>
  <si>
    <t xml:space="preserve"> Ý KIẾN CỦA CĐT</t>
  </si>
  <si>
    <t>Trước thuế</t>
  </si>
  <si>
    <t>sau thuế</t>
  </si>
  <si>
    <t>Sau thuế</t>
  </si>
  <si>
    <t xml:space="preserve">Phòng học </t>
  </si>
  <si>
    <t>phòng</t>
  </si>
  <si>
    <t>Bàn học sinh 2 chỗ (bán trú)</t>
  </si>
  <si>
    <t>Kích thước: : 1200 x 450x 740mm 
 Bàn đa năng có mặt bàn lật ra dành cho học sinh bán trú.
Vật liệu:
+ Bàn Khung sắt dày 1,2 ly gồm  25 x 50, Vuông 25 x 25
Khung bàn và ghế sơn tĩnh điện 
+ Mặt bàn ghế, đáy bàn , hậu gỗ cao su ghép dày 18mm sơn PU</t>
  </si>
  <si>
    <t>cái</t>
  </si>
  <si>
    <t>Ghế học sinh</t>
  </si>
  <si>
    <t>Kích thước:  360x340x 440/ 790 mm (chiều cao điều chỉnh theo quy cách)
Vật liệu:
+ Khung ghế 25x25 dày 1,2mm
+ Mặt và đáy ghế gỗ ghép sơn PU dày 18mm
+ Màu sắc dựa theo màu thiết kế</t>
  </si>
  <si>
    <t>Bàn giáo viên</t>
  </si>
  <si>
    <t>- Kích thước: 1200x600x750 mm. 
+ Thùng di động: 450 x 500 x 600 
Bàn 1 ngăn kéo giữa nhỏ ray kéo 3 tầng , 1 đế đề CPU di động 
- Vật liệu: Gỗ cao su ghép đã qua tẩm sấy chống mối mọt, co rút, dày 18 mm, sơn PU, ngăn kéo trượt trên ray bi 3 tầng, tay nắm inox</t>
  </si>
  <si>
    <t>Ghế giáo viên</t>
  </si>
  <si>
    <t xml:space="preserve"> Ghế: 400x 400 x  450/ 900
- Ghế lưng tựa gỗ, mặt bọc nệm, Đầu ghế được uốn cong 2 đầu tạo thễm mỹ 
- Khung Sắt 20 x 20 x 1,2, 16 x 16 x 1,2 , toàn bộ khung sắt sơn tĩnh điện 
- Chân đế nhựa </t>
  </si>
  <si>
    <t>Tủ cao L1</t>
  </si>
  <si>
    <r>
      <rPr>
        <b/>
        <sz val="12"/>
        <rFont val="Times New Roman"/>
        <family val="1"/>
      </rPr>
      <t>- KT: 1200 x 400 x 1800 mm</t>
    </r>
    <r>
      <rPr>
        <sz val="12"/>
        <rFont val="Times New Roman"/>
        <family val="1"/>
      </rPr>
      <t xml:space="preserve">
- Phía trên 2 cánh cửa mở lồng kính, 5 ly cường lực có khoá , mỗi cánh 4 bản lề bật  trong có sắn đứng ,chia làm 6  ngăn có thể di động 
. Phía dưới 2 cửa pano mỗi cánh 2 bản lệ bật  có khoá và tay nắm. trong có sắn đứng và có 2 ngăn di động  
- Nóc tủ căp cổ dày 36 chạy  cạnh Profile  tạo thẩm mỹ 
-Vật liệu: Gỗ cao su ghép  đã qua tẩm sấy chống mối mọt, co rút, dày 18 mm, sơn PU, hậu tủ ván MDF dày 6 mm
</t>
    </r>
  </si>
  <si>
    <t>Hệ thống âm thanh cho lớp học</t>
  </si>
  <si>
    <t>1 x Âm li 100 w 
Điện áp: 220V ~ 50Hz
Công suất tiêu thụ: 200 W
Công suất đầu ra: 100W
2 x loa 50 w
Công suất liên tục: 50W
Độ nhạy: 90 dB
Dải tần: 53 Hz - 18 KHz
Trở kháng: 8 Ohm
1x micro có dây
 Dây tín hiệu, cáp điện, hộp đinh vis, bas treo loa, bas treo âm ly</t>
  </si>
  <si>
    <t>Bảng khẩu hiệu</t>
  </si>
  <si>
    <t>Kích thước: 400 x 600(x2)
1 bảng 5 điều Bác Hồ dạy…..
1 bảng non sông Việt Nam ……
- Vật liệu: format in pp</t>
  </si>
  <si>
    <r>
      <t>Kích thước:</t>
    </r>
    <r>
      <rPr>
        <sz val="11"/>
        <rFont val="Times New Roman"/>
        <family val="1"/>
      </rPr>
      <t xml:space="preserve"> 400 x 600(x2)
1 bảng 5 điều Bác Hồ dạy…..
1 bảng non sông Việt Nam ……
- Vật liệu: format in pp</t>
    </r>
  </si>
  <si>
    <t>Bộ</t>
  </si>
  <si>
    <t>Ảnh Bác Hồ</t>
  </si>
  <si>
    <t xml:space="preserve">- Kích thước: 260 x 360
Khung nhựa, hoặc khung nhôm , mặt trước kính 5 ly cường lực, mặt sau MDF 3 ly bảo vệ </t>
  </si>
  <si>
    <t>Bảng phấn từ</t>
  </si>
  <si>
    <r>
      <t xml:space="preserve">Hệ thống bảng trượt ngang
</t>
    </r>
    <r>
      <rPr>
        <b/>
        <sz val="12"/>
        <rFont val="Times New Roman"/>
        <family val="1"/>
      </rPr>
      <t>- Kích thước: 1200x 4800 mm</t>
    </r>
    <r>
      <rPr>
        <sz val="12"/>
        <rFont val="Times New Roman"/>
        <family val="1"/>
      </rPr>
      <t xml:space="preserve">
- Nguyên liệu:
+ Khung bảng nhôm hộp uralium (25*32) mm
+ Khung lùa sắt sơn tĩnh điện 30x60 dày 1.2mm
+ Mặt tole bảng màu xanh rêu đậm dày 0.4 mm, kẻ ô ly màu xám trắng , chống chói.
+ Lưng bảng bằng nhựa chống hút ẩm dày 10mm.
+ Bas treo tường chuyên dụng 
- Bao gồm 2 bảng từ cố định 2 bên, 1 bảng trượt giũa</t>
    </r>
  </si>
  <si>
    <t>Tấm</t>
  </si>
  <si>
    <t>Bảng tên phòng</t>
  </si>
  <si>
    <t xml:space="preserve">KT: 250 x 150 
khung nhôm, mặt mica trắng có rãnh/ khe lắp đặt bìa cứng, chữ nội dung bằng tiếng Việt, tiếng Anh, số phòng </t>
  </si>
  <si>
    <t xml:space="preserve">Ti vi LCD </t>
  </si>
  <si>
    <r>
      <t xml:space="preserve">Màn hình hiển thị:  4K UHD
Độ phân giải 3.840 x 2.160 (UHD)
Kích thước màn hình 65 inch
Tốc độ làm mới 60 Hz
</t>
    </r>
    <r>
      <rPr>
        <b/>
        <sz val="12"/>
        <rFont val="Times New Roman"/>
        <family val="1"/>
      </rPr>
      <t>Hệ điều hành (OS) webOS Smart TV</t>
    </r>
    <r>
      <rPr>
        <sz val="12"/>
        <rFont val="Times New Roman"/>
        <family val="1"/>
      </rPr>
      <t xml:space="preserve">
Chế độ tiết kiệm năng lượng:Có
Kết nối: HDMI 2.0, USB,  LAN,  Wi-Fi, Bluetooth
Hình ảnh: Nâng cấp AI Nâng cấp 4K, HDR, HDR 10 Pro
Loa (đầu ra âm thanh) 20 W (10 W mỗi kênh)
Âm thanh AI, Âm thanh vòm Bluetooth: Có
Nguồn điện AC 100-240 V, 50/60 Hz</t>
    </r>
  </si>
  <si>
    <t xml:space="preserve">Kích thước màn hình: 65 inch
Công nghệ hình ảnh: LED Direct. Độ phân giải: 3840x2160 (4K).Tuổi thọ: 30.000 giờ
Độ sang: 330 nit.Thời gian hoạt động: 16/24h.Góc nhìn: 178 độ.Truyền hình Kĩ thuật số: (DVB -T2/C). Hình ảnh HDR (10 Pro / HLG),SoC (System On Chip): Quad Core
Âm thanh: Đầu ra âm thanh: 20W (L:10W, R:10W), LG Sound Sync: có ( yêu cầu Bluetooth), AI Acoustic Tuning: có, AI Sound: có, Loại loa: 2 CH
Tính năng thông minh: Smart TV chuyên dụng; Hệ điều hành: WebOS23; Tính năng truy cập nhanh; Kho ứng dụng có sẵn, Trình duyệt web, Youtube; Chia sẻ dữ liệu từ thiết bị di động lên TV; Hỗ trợ tương thích Magic Remote; Hỗ trợ nhận dạng giọng nói; Hỗ trợ chia sẻ Wifi; Kết nối các thiết bị ngoại tuyến qua Bluetooth; Có lớp phủ bo mạch tăng độ bền TV.
Tính năng chuyên dụng :
Giải pháp: Pro:Centric (Smart, V, Direct, Cloud);Pro:Idiom, Quick Menu; Tích hợp set top box chạy IPTV; Hỗ trợ chuẩn đoán lỗi qua IP/USB; Data streaming: RF/IP; Tăt – Mở chế độ hiệu chỉnh kênh; Chế độ tiết kiệm năng lượng; Hiển thị lời chào: Hình ảnh/Video; Wifi tích hợp: 802.11gbn; Cài đặt nhanh bằng USB; Bật màn hình qua mạng LAN; Hỗ trợ HDMI-CEC 1.4; Hỗ trợ ngõ ra IR: Có (RS-232C , HDMI); Chế độ khóa một số tính năng TV; Hỗ trợ chuẩn BEACON; Hỗ trợ webRTC (Giao tiếp thời gian thực), Tương thích máy chủ SDP, Mood Display, Chế độ cài đặt nhanh EzManager; Chế độ tiết kiệm năng lượng; Chế độ hotel TV;Công nghệ bảo vệ chuyển động mắt Eye Care. Khóa chống trộm Kensington
Cổng kết nối:   HDMI In (3), USB 2.0, RF In,  Digital Audio Out (Optical), External Speaker Out (3.5 mm Phone Jack), Headphone Out, RJ45 (Usage Purpose) (2, Ethernet, Aux), RS-232C (Phone Jack), AV in
Thời gian bảo hành: 36 tháng
Nguồn vào: AC100-240V, 50/60Hz; </t>
  </si>
  <si>
    <t>Đề xuát 1 Tivi/phòng</t>
  </si>
  <si>
    <t>điều chỉnh thông số phù hợp cho lớp học</t>
  </si>
  <si>
    <t>Phòng Hiệu trưởng</t>
  </si>
  <si>
    <t>Bàn làm việc L1</t>
  </si>
  <si>
    <t xml:space="preserve">KT:  1800 x 900 x750 mm
- Vật liệu: gỗ cao su ghép dày 18 mm sơn PU  chống trầy.
- Chân hộp dày 60 mm 
- 1 Ngăn kéo âm , ray 3 tầng 
- Mặt bàn viền hộp dày 72 mm </t>
  </si>
  <si>
    <t xml:space="preserve">KT:  1800 x 900 x750 mm
- Vật liệu: gỗ cao su ghép dày 18 mm sơn PU chống trầy.
- Chân hộp dày 60 mm 
- 1 Ngăn kéo âm , ray 3 tầng 
- Mặt bàn viền hộp dày 72 mm </t>
  </si>
  <si>
    <t>Ghế xoay L1</t>
  </si>
  <si>
    <t>Kích thước : 550-630x500x1120-1220mm
Vật liệu:
- Đệm tựa bọc da, da công nghiệp hoặc PVC tương đương
- Chân ghế bằng nhựa có bánh xe, có chức năng điều chỉnh độ cao cần hơi.
- Ghế có tay điều chỉnh độ cao bằng cần hơi
- Màu sắc dựa theo màu thiết kế</t>
  </si>
  <si>
    <t>Ghế inox</t>
  </si>
  <si>
    <t>KT: D440xR440xC450/800mm.
+ Khung inox 201,  Ø 21, Ø 16 dày 1ly, sơn tĩnh điện, 
+ Mặt ghế và lưng tựa bọc nệm</t>
  </si>
  <si>
    <t>KT: D440xR480xC450/800mm.
+ Khung inox 201,  Ø 21, Ø 16 dày 1ly, sơn tĩnh điện, 
+ Mặt ghế và lưng tựa bọc nệm</t>
  </si>
  <si>
    <r>
      <rPr>
        <b/>
        <sz val="12"/>
        <rFont val="Times New Roman"/>
        <family val="1"/>
      </rPr>
      <t>- KT: 1200 x 400 x 1800 mm</t>
    </r>
    <r>
      <rPr>
        <sz val="12"/>
        <rFont val="Times New Roman"/>
        <family val="1"/>
      </rPr>
      <t xml:space="preserve">
- Phía trên 2 cánh cửa mở lồng kính, 5 ly cường lực có khoá , mỗi cánh 4 bản lề bật  trong có sắn đứng ,chia làm 6  ngăn có thể di động 
. Phía dưới 2 cửa pano mỗi cánh 2 bản lệ bật  có khoá và tay nắm. trong có sắn đứng và có 2 ngăn di động  
- Nóc tủ căp cổ dày 36 chạy  cạnh Profile  tạo thẩm mỹ 
-Vật liệu: Gỗ cao su ghép  đã qua tẩm sấy chống mối mọt, co rút, dày 18 mm, sơn PU , hậu tủ ván MDF dày 6 mm
</t>
    </r>
  </si>
  <si>
    <r>
      <rPr>
        <b/>
        <sz val="11"/>
        <rFont val="Times New Roman"/>
        <family val="1"/>
      </rPr>
      <t>- KT: 1200 x 400 x 1800 mm</t>
    </r>
    <r>
      <rPr>
        <sz val="11"/>
        <rFont val="Times New Roman"/>
        <family val="1"/>
      </rPr>
      <t xml:space="preserve">
- Phía trên 2 cánh cửa mở lồng kính, 5 ly cường lực có khoá , mỗi cánh 4 bản lề bật  trong có sắn đứng ,chia làm 6  ngăn có thể di động 
. Phía dưới 2 cửa pano mỗi cánh 2 bản lệ bật  có khoá và tay nắm. trong có sắn đứng và có 2 ngăn di động  
- Nóc tủ căp cổ dày 36 chạy  cạnh Profile  tạo thẩm mỹ 
-Vật liệu: Gỗ cao su ghép  đã qua tẩm sấy chống mối mọt, co rút, dày 18 mm, sơn PU, hậu tủ ván MDF dày 6 mm
</t>
    </r>
  </si>
  <si>
    <t>Bộ salon tiếp khách</t>
  </si>
  <si>
    <t xml:space="preserve">- 1 Ghế dài: 1800 x 550 x 400/ 800 
- 2 Ghế đơn: 600 x 550 x 400/ 800 
- 2 đôn: 350 x 350x 400 
- 1 Bàn nước: 800 x 400 x 450
- Bàn ghế tiếp khách salon bọc nệm.
Khung gỗ công nghiệp sơn PU , bọc nệm simili </t>
  </si>
  <si>
    <t>Bảng từ trắng B1</t>
  </si>
  <si>
    <t>KT:  W2400 x H1200 mm
Vật liệu:
- Khung nhôm hộp Uralium chuyên dụng
- Bảng từ treo tường hít nam châm, bề mặt phủ sơn màu trắng, có kẻ ô ly 5x5cm
- Cốt nhựa nhẹ và chống cong
- Khung nhôm với 4 đầu bịt nhựa, khay phấn đồng màu đi kèm.</t>
  </si>
  <si>
    <t>Điện thoại để bàn</t>
  </si>
  <si>
    <t xml:space="preserve">Dạng điện thoại IP Động 
- Có màn hình hiển thị số 
- Cap kết nói, ổ cấm điện, cáp điện các loại
- Công cài đặt và lắp đặt   </t>
  </si>
  <si>
    <t xml:space="preserve">Máy vi tính </t>
  </si>
  <si>
    <t xml:space="preserve">Máy tính thương hiệu Việt Nam đồng bộ (Khối CPU, màn hình, phụ kiện cùng thương hiệu), sản xuất trên dây chuyền công nghiệp ISO 9001:2015; ISO 14001: 2015; ISO/IEC 17025:2017; QCVN 118:2018/BTTTT.
Vi xử lý: Vi xử lý: Intel Core i5-12400 (Up to 4.4GHz, 6 nhân 12 luồng, 18MB Cache)
Bo mạch chủ: Intel H610 Chipset Supports 12th Generation Core / Pentium/ Celeron (Socket 1700); 2 x DIMM slots support dual channel DDR4-3200/ 2666/ 2400/ 2133MHz memory up  to  64  GB; 4 x  Serial ATA 6Gb/s port;1 x Case open header;1 x COM header;
Khe gắn mở rộng: 1  x  PCI  Express 3.0  x16 slot;1  x  PCI  Express 3.0 x1  slots;1  x  M.2 slot for SSD;1  x  M.2 Slot for Wifi;
Bộ nhớ: 8GB 2666Mhz.
Đồ họa: Intel HD Graphics tích hợp.
Ổ đĩa cứng: 256GB SSD.
Âm thanh: High  Definition  audio 
Kết nối mạng: 10/100/1000MB Ethernet
Các cổng kết nối sẵn sàng: 
Trước: 2 x USB 3.0; 2 x Audio jacks; Card Reader;
Sau: 2  x  PS/2  mouse / keyboard;1  x  HDMI  port;1  x  D-sub port (VGA port); 1  x  Display Port;2  x  USB  3.2  Gen1  ports ;1  x  RJ45  LAN  connector ;2  x  USB  2.0  ports;3  x  Audio  jacks;
Keyboard: USB standard Keyboard.
Mouse:  USB Optical Mouse.
Nguồn: 600W PSU.
Thùng máy:  Small Form Factor (SFF).
Màn hình: Kích thước 19.5 inch 16:9 Wide, Độ phân giải 1600 x 900 60Hz, thời gian đáp ứng 5ms, số màu 16.7M. Cổng kết nối: HDMI + VGA
Hệ điều hành: Free DOS.
</t>
  </si>
  <si>
    <r>
      <t>Máy tính đồng bộ thương hiệu Việt Nam FPT - Sản xuất trên dây chuyền công nghiệp (ISO 9001:2015; ISO 27001:2013; QCVN 118:2018)
'</t>
    </r>
    <r>
      <rPr>
        <b/>
        <sz val="11"/>
        <rFont val="Times New Roman"/>
        <family val="1"/>
      </rPr>
      <t>Bo mạch chủ:</t>
    </r>
    <r>
      <rPr>
        <sz val="11"/>
        <rFont val="Times New Roman"/>
        <family val="1"/>
      </rPr>
      <t>Chipset Intel® H610 Express Intel® Socket LGA1700 S/p Intel® CoreTM, Pentium® Gold and Celeron® processors, VGA &amp; Sound 08 Channel &amp; 1 x LAN port LANGUARD Gigabit onboard,  6 x USB 2.0 (6 port at midboard via 3 x USB connector), 4 x SATA 6.0 Gb/s Ports, 1 x SPDIF out connector, 1 x Chassis intrusion header, 1 x TPM header. (Đồng bộ với thương hiệu máy tính)
Bộ vi xử lý: Intel® Core™ i5 12400 Processor (2.50Ghz Max Turbo 4.40GHz/18MB Intel® Smart Cache/6C/12T) 
Bộ nhớ : 8GB DDR4 bus 2666MHz 
Ổ cứng: SSD 256GB Sata
Thùng máy và nguồn: mATX with PSU 450W (Đồng bộ với thương hiệu máy tính)
Bàn phím: USB Standard (Đồng bộ với thương hiệu máy tính)
Chuột: 
USB Optical (Đồng bộ với thương hiệu máy tính)
Khe cắm mở rộng: 3 x PCIe 4.0/3.0 x16 slot; 1 x PCI slot; 1 x M.2 2280, 2260, 2242 (Gen3 x4 PCIE mode); 6 x DIMM DDR4 3200/3000/2933/2800/2666/2400/2133 Non-ECC
Card đồ họa: Intel® UHD Intergrated Graphics.
Cổng kết nối:
- Cổng kết nối trước: 1x Headphone; 1x MIC in; 2 x USB 3.1 port(s)
- Cổng kết nối sau:1 x Parallel connector, 1 x D-Sub Port, 1 x DVI-D port, 1 x HDMI port, 1 x Display port, 2 x COM (1 x COM port at back panel, 1 x COM connector ), 1 x USB 3.1 port(s), 1 x USB 3.1 port(s) Type C, 2 x USB 2.0 port at rear panel, 3 x Audio jacks.
Âm thanh: High Definition Channel Audio
Tính năng khác: LANGuard: Bảo vệ chống đột biến điện mạng LAN, sét đánh và phóng tĩnh điện
Kiểm soát Thiết bị Di động: Luôn kiểm soát thông qua thiết bị di động
Bảo mật: Kích hoạt/vô hiệu hóa cổng USB
Khôi phục nhanh hệ thống bằng 1 nút nhấn.
Cho phép xoá sạch sẽ AN TOÀN tất cả dữ liệu ổ cứng
Chứng nhận: Chứng nhận hợp quy/công bố hợp quy theo quy định
Màn hình: 21.5" LED (Kích thước: 21.5", Độ phân giải: 1920 x 1080 (Full HD) (Đồng bộ với thương hiệu máy tính)</t>
    </r>
  </si>
  <si>
    <t>điều chỉnhtheo thông số mới nhất tại thời điểm</t>
  </si>
  <si>
    <t xml:space="preserve">Máy in </t>
  </si>
  <si>
    <t>Loại máy in: In laser trắng đen
Chức năng: In
Độ phân giải: 600 x 600 dpi
Tốc độ in trắng đen: 25 trang/phút
Tốc độ in màu : Không
In 2 mặt tự động: Có
Loại mực in : Cartridge 326
Bộ nhớ tích hợp: 64 MB
Khổ giấy: A4 , Letter
Khay đựng giấy: 250 tờ
Kết nối USB: USB 2.0
Kết nối mạng: LAN</t>
  </si>
  <si>
    <t>Laser đen trắng, Đơn năng, In hai mặt tự động
In trắng đen: 36 trang/phút
Độ phân giải: 600 x 600 dpi, 1.200 x 1.200dpi (chế độ nâng cao)
Bộ nhớ tối đa 1GB
Công suất khuyến nghị: 750 - 4.000 trang/tháng
Kết nối: USB, Ethernet, WiFi</t>
  </si>
  <si>
    <t>điều chỉnhtheo thông số mới nhất tại thời điểm
Máy in Laser Canon LBP 243dw</t>
  </si>
  <si>
    <t>Đồng hồ treo tường</t>
  </si>
  <si>
    <t>Loại thông thường, đường kính 30cm
Điểm nổi bật, Kim đồng hồ chạy êm, không gây tiếng ồn khi chạy trong đêm
Thiết kế trang trọng, độc đáo đến từng chi tiết nhỏ</t>
  </si>
  <si>
    <t>tấm</t>
  </si>
  <si>
    <t xml:space="preserve">Máy lạnh </t>
  </si>
  <si>
    <t xml:space="preserve">Công suất làm lạnh: 18000 BTU
Nguồn điện : 220V/50Hz/1.5A
Vật tư lắp đặt: ống đồng, cáp Điện, ống nước PVC, ke lắp đặt dàn nóng, đinh , vis các loại, công lắp đặt 
</t>
  </si>
  <si>
    <t xml:space="preserve">bộ </t>
  </si>
  <si>
    <t xml:space="preserve">Phòng Hiệu phó </t>
  </si>
  <si>
    <t>Bàn làm việc L2</t>
  </si>
  <si>
    <t xml:space="preserve">KT:  1600 x 800 x750 mm
- Vật liệu: gỗ cao su ghép dày 18 mm sơn PU chống trầy.
- Chân hộp dày 60 mm 
- 1 Ngăn kéo âm , ray 3 tầng 
- Mặt bàn viền hộp dày 72 mm </t>
  </si>
  <si>
    <t>Ghế xoay L2</t>
  </si>
  <si>
    <t xml:space="preserve">KT: 530x500x1100mm 
- Ghế xoay loại trung 
- Lưng tựa và mặt ghế bọc nệm 
- có điều chỉnh độ cao thấp , 5 x bánh xe </t>
  </si>
  <si>
    <t>Ghế I1</t>
  </si>
  <si>
    <r>
      <t>Máy tính đồng bộ thương hiệu Việt Nam FPT - Sản xuất trên dây chuyền công nghiệp 
(ISO 9001:2015; ISO 27001:2013; QCVN 118:2018)
'</t>
    </r>
    <r>
      <rPr>
        <b/>
        <sz val="11"/>
        <rFont val="Times New Roman"/>
        <family val="1"/>
      </rPr>
      <t>Bo mạch chủ:</t>
    </r>
    <r>
      <rPr>
        <sz val="11"/>
        <rFont val="Times New Roman"/>
        <family val="1"/>
      </rPr>
      <t>Chipset Intel® H610 Express Intel® Socket LGA1700 S/p Intel® CoreTM, Pentium® Gold and Celeron® processors, VGA &amp; Sound 08 Channel &amp; 1 x LAN port LANGUARD Gigabit onboard,  6 x USB 2.0 (6 port at midboard via 3 x USB connector), 4 x SATA 6.0 Gb/s Ports, 1 x SPDIF out connector, 1 x Chassis intrusion header, 1 x TPM header. (Đồng bộ với thương hiệu máy tính)
Bộ vi xử lý: Intel® Core™ i5 12400 Processor (2.50Ghz Max Turbo 4.40GHz/18MB Intel® Smart Cache/6C/12T) 
Bộ nhớ : 8GB DDR4 bus 2666MHz 
Ổ cứng: SSD 256GB Sata
Thùng máy và nguồn: mATX with PSU 450W (Đồng bộ với thương hiệu máy tính)
Bàn phím: USB Standard (Đồng bộ với thương hiệu máy tính)
Chuột: 
USB Optical (Đồng bộ với thương hiệu máy tính)
Khe cắm mở rộng: 3 x PCIe 4.0/3.0 x16 slot; 1 x PCI slot; 1 x M.2 2280, 2260, 2242 (Gen3 x4 PCIE mode); 6 x DIMM DDR4 3200/3000/2933/2800/2666/2400/2133 Non-ECC
Card đồ họa: Intel® UHD Intergrated Graphics.
Cổng kết nối:
- Cổng kết nối trước: 1x Headphone; 1x MIC in; 2 x USB 3.1 port(s)
- Cổng kết nối sau:1 x Parallel connector, 1 x D-Sub Port, 1 x DVI-D port, 1 x HDMI port, 1 x Display port, 2 x COM (1 x COM port at back panel, 1 x COM connector ), 1 x USB 3.1 port(s), 1 x USB 3.1 port(s) Type C, 2 x USB 2.0 port at rear panel, 3 x Audio jacks.
Âm thanh: High Definition Channel Audio
Tính năng khác: LANGuard: Bảo vệ chống đột biến điện mạng LAN, sét đánh và phóng tĩnh điện
Kiểm soát Thiết bị Di động: Luôn kiểm soát thông qua thiết bị di động
Bảo mật: Kích hoạt/vô hiệu hóa cổng USB
Khôi phục nhanh hệ thống bằng 1 nút nhấn.
Cho phép xoá sạch sẽ AN TOÀN tất cả dữ liệu ổ cứng
Chứng nhận: Chứng nhận hợp quy/công bố hợp quy theo quy định
Màn hình: 21.5" LED (Kích thước: 21.5", Độ phân giải: 1920 x 1080 (Full HD) (Đồng bộ với thương hiệu máy tính)</t>
    </r>
  </si>
  <si>
    <t xml:space="preserve">Phòng khách </t>
  </si>
  <si>
    <t xml:space="preserve">- 1 Ghế dài: 1800 x 550 x 400/ 800 
- 2 Ghế đơn: 600 x 550 x 400/ 800 
- 2 đôn: 350 x 350x 400 
- 1 Bàn nước: 800 x 400 x 450
- Bàn ghế tiếp khách salon bọc nệm.
Khung gỗ công nghiệp sơn PU, bọc nệm simili </t>
  </si>
  <si>
    <t>Văn phòng</t>
  </si>
  <si>
    <t>Bàn làm việc L3</t>
  </si>
  <si>
    <t xml:space="preserve">- Kích thước: 1200x600x750 mm. 
+ Thùng di động: 450 x 500 x 600 
Bàn 1 ngăn kéo giữa nhỏ ray kéo 3 tầng , 1 đế đề CPU di động 
- Vật liệu: Gỗ cao su ghép đã qua tẩm sấy chống mối mọt, co rút, dày 18 mm, sơn PU, ngăn kéo trượt trên ray bi 3 tầng, tay nắm inox </t>
  </si>
  <si>
    <t xml:space="preserve">+ KT: 480 x 480 x 900-1025 mm 
- Ghế xoay nhân viên 
- Lưng tựa  lưới , mặt ghế bọc nệm 
- có điều chỉnh độ cao thấp , 5 x bánh xe </t>
  </si>
  <si>
    <r>
      <rPr>
        <b/>
        <sz val="12"/>
        <rFont val="Times New Roman"/>
        <family val="1"/>
      </rPr>
      <t>- KT: 1200 x 400 x 1800 mm</t>
    </r>
    <r>
      <rPr>
        <sz val="12"/>
        <rFont val="Times New Roman"/>
        <family val="1"/>
      </rPr>
      <t xml:space="preserve">
- Phía trên 2 cánh cửa mở lồng kính, 5 ly cường lực có khoá , mỗi cánh 4 bản lề bật  trong có sắn đứng ,chia làm 6  ngăn có thể di động 
. Phía dưới 2 cửa pano mỗi cánh 2 bản lệ bật  có khoá và tay nắm. trong có sắn đứng và có 2 ngăn di động  
- Nóc tủ căp cổ dày 36 chạy  cạnh Profile  tạo thẩm mỹ 
-Vật liệu: Gỗ cao su ghép  đã qua tẩm sấy chống mối mọt, co rút, dày 18 mm, sơn PU hoặc sơn màu, hậu tủ ván MDF dày 6 mm
</t>
    </r>
  </si>
  <si>
    <t>KT:  W2400 x H1200 mm
Vật liệu:
- Khung nhôm hộp Uralium chuyên dụng, phủ 3 lớp sơn chuyên dụng ,dòng kẻ ô ly tiểu học 2x2cm được in chìm ở lớp thứ 2, phủ trên cùng lớp sơn bảo vệ.
- Bảng từ treo tường hít nam châm, bề mặt phủ sơn màu trắng, có kẻ ô ly 5x5cm
- Cốt nhựa nhẹ và chống cong
- Khung nhôm với 4 đầu bịt nhựa, khay phấn đồng màu đi kèm.</t>
  </si>
  <si>
    <t>Phòng hành chánh</t>
  </si>
  <si>
    <t xml:space="preserve">- Kích thước: 1200x600x750 mm. 
+ Thùng di động: 450 x 500 x 600 
Bàn 1 ngăn kéo giữa nhỏ ray kéo 3 tầng , 1 đế đề CPU di động 
- Vật liệu: Gỗ cao su ghép đã qua tẩm sấy chống mối mọt, co rút, dày 18 mm, sơn PU , ngăn kéo trượt trên ray bi 3 tầng, tay nắm inox </t>
  </si>
  <si>
    <t xml:space="preserve">Máy tính thương hiệu Việt Nam đồng bộ (Khối CPU, màn hình, phụ kiện cùng thương hiệu), sản xuất trên dây chuyền công nghiệp ISO 9001:2015; ISO 14001: 2015; ISO/IEC 17025:2017; QCVN 118:2018/BTTTT.
Vi xử lý: Vi xử lý: Intel Core i5-12400 (Up to 4.4GHz, 6 nhân 12 luồng, 18MB Cache)
Bo mạch chủ: Intel H610 Chipset Supports 12th Generation Core / Pentium/ Celeron (Socket 1700); 2 x DIMM slots support dual channel DDR4-3200/ 2666/ 2400/ 2133MHz memory up  to  64  GB; 4 x  Serial ATA 6Gb/s port;1 x Case open header;1 x COM header;
Khe gắn mở rộng: 1  x  PCI  Express 3.0  x16 slot;1  x  PCI  Express 3.0 x1  slots;1  x  M.2 slot for SSD;1  x  M.2 Slot for Wifi;
</t>
  </si>
  <si>
    <t>Bộ nhớ: 8GB 2666Mhz.
Đồ họa: Intel HD Graphics tích hợp.
Ổ đĩa cứng: 256GB SSD.
Âm thanh: High  Definition  audio 
Kết nối mạng: 10/100/1000MB Ethernet
Các cổng kết nối sẵn sàng: 
Trước: 2 x USB 3.0; 2 x Audio jacks; Card Reader;
Sau: 2  x  PS/2  mouse / keyboard;1  x  HDMI  port;1  x  D-sub port (VGA port); 1  x  Display Port;2  x  USB  3.2  Gen1  ports ;1  x  RJ45  LAN  connector ;2  x  USB  2.0  ports;3  x  Audio  jacks;
Keyboard: USB standard Keyboard.
Mouse:  USB Optical Mouse.
Nguồn: 600W PSU.
Thùng máy:  Small Form Factor (SFF).
Màn hình: Kích thước 19.5 inch 16:9 Wide, Độ phân giải 1600 x 900 60Hz, thời gian đáp ứng 5ms, số màu 16.7M. Cổng kết nối: HDMI + VGA
Hệ điều hành: Free DOS.</t>
  </si>
  <si>
    <t>Hiệu nào? Thị trường còn bán không?</t>
  </si>
  <si>
    <t>Máy photocopy</t>
  </si>
  <si>
    <t>•Tốc độ sao chụp/in: 20 bản A4/phút
(Sao chụp, In, Quét mạng)
- Bản gốc tối đa: A3 (tờ rời, sách, vật thể)
- Độ phân giải bản chụp: 600 dpi 
- Zoom: 25%-400%
- Khay nạp giấy tự động: 250 tờ x 2 khay 
- Khay nạp giấy tay: 100
- Định lượng giấy: 64 – 157 g/m2
- Sao chụp liên tục: 1 - 999 tờ
- Chia bộ điện tử tự động
- Điện năng tiêu thụ: tối đa 1,3KW
- Bộ nhớ trong: 128MB
- Giao tiếp: USB 2.0, Ethernet
- In mạng và quét mạng
- Bộ đảo bản sao tự động: In 2 mặt tự động
- Bộ nạp đảo bản gốc tự động : 70 tờ</t>
  </si>
  <si>
    <t xml:space="preserve">Loại máy: Máy photocopy trắng đen
Chức năng chuẩn: Copy, In mạng, Scan màu, Duplex, DADF
Tốc độ: tối đa 25 trang/phút (khổ A4) - 15 trang/phút (khổ A3)
Khổ giấy: tối đa A3
Bộ nhớ ram: 2GB + ổ cứng eMMC 30GB
Khay giấy tiêu chuẩn: 550 tờ x 2 khay
Khổ giấy sử dụng : khay 1 tối đa A4, khay 2 tối đa A3
Khay giấy tay: 100 tờ
Độ phân giải: tối đa 1.200 x 1.200 dpi
Phóng to – thu nhỏ: 25 - 400%
Phóng to – thu nhỏ: 25 - 400%
Bộ đảo bản sao: có sẵn
Chức năng in: qua mạng nội bộ
Chức năng scan: scan màu, scan to folder, scan to email.
Chuẩn kết nối: USB 2.0, ethernet 10/100/1000, wifi 802.11 b/g/n
Chức năng đặc biệt: màn hình cảm ứng màu 7 inch hiển thị tiếng Việt, chia bộ bản sao điện tử, copy/in/scan 2 mặt tự động, quản lý người dùng, quét 1 lần - sao chụp nhiều lần, in/scan trực tiếp từ ổ đĩa USB (tiff, jpeg, pdf)
</t>
  </si>
  <si>
    <t xml:space="preserve"> Máy konica Bizhub đời bao nhiêu?</t>
  </si>
  <si>
    <t xml:space="preserve">Máy photocopy Canon iR 2725i </t>
  </si>
  <si>
    <t>Phòng truyền thống</t>
  </si>
  <si>
    <t>Bàn họp L1</t>
  </si>
  <si>
    <t>Bàn họp 20 chỗ
KT bàn thẳng: D1200xR450xC750mm = 8  cái 
KT bàn góc: D1800xR600xC750mm, = 2 cái 
- bàn có có ngăn để tài liệu. Có thể xếp thành bàn oval, 
- Vật liệu: mặt bàn viền dày 36 mm, chạy cạnh  Frofile, yếm bàn thấp xuống sát chân, chạy chỉ âm tạo thẩm mỹ  
- Toàn bộ gỗ cao su ghép, dày 18 mm. Sơn Pu hoặc sơn màu chống trầy 
- Chân đế nhưa</t>
  </si>
  <si>
    <t>Kích thước: 480 x 440 x 450 / 830mm
Vật liệu:
+ Khung inox 201, lưng tựa, mặt ghế bọc nệm
+ Màu sắc dựa theo màu thiết kế</t>
  </si>
  <si>
    <t>Tủ cao L3</t>
  </si>
  <si>
    <t>Kích thước: 1200 x 400 x 2000 mm
Vật liệu:
Tủ gồm 2 phần: 
+ Phần trên chia làm 5 ngăn ( cao 32.5 mm) cánh mở kính cường trắng lực dày 8 mm
+ Phần còn lại cánh gỗ mở
+ Gỗ cao su ghép dày 18 mm sơn PU hoặc sơn màu chống trầy
+ Màu sắc dựa theo màu thiết kế</t>
  </si>
  <si>
    <t>có thể  giảm sl</t>
  </si>
  <si>
    <t>Khẩu hiệu + phông màn</t>
  </si>
  <si>
    <t xml:space="preserve">KT: 6000x3500mm
- 1 x  Bảng Đảng công sản Việt …....... Bằng Meca , khung viền nhôm, chử nổi
- 1 Khung cờ nước, mặt bằng nhung màu đỏ, cờ nước mica nổi
 - 1 Khung Búa liềm, mặt bằng nhung màu đỏ, bủa liềm  mica nổi 
- Màn sân Khấu bằng vải thun, nhúng gấp, Thanh treo bằng Inox  
- 1 khung nhôm có nhiều thanh dọc, để dán chử hội thảo 
</t>
  </si>
  <si>
    <t>Phòng hỗ trợ hs khuyết tật</t>
  </si>
  <si>
    <t>Bàn họp L2</t>
  </si>
  <si>
    <t>KT :  3000 x 1200 x 750 mm 
Chân hộp dày 60 mm tạo cạnh thẩm mỹ, hậu thấp 600 mm
- Vật liệu: mặt bàn viền dày 36 mm, chạy cạnh frofile 
- Toàn bộ gỗ cao su ghép, dày 18 mm. Sơn Pu chống trầy hoặc sơn màu 
- Chân đế nhựa</t>
  </si>
  <si>
    <t>tấm</t>
  </si>
  <si>
    <t>Phòng y tế</t>
  </si>
  <si>
    <r>
      <rPr>
        <b/>
        <sz val="12"/>
        <rFont val="Times New Roman"/>
        <family val="1"/>
      </rPr>
      <t>- KT: 1200 x 400 x 1800 mm</t>
    </r>
    <r>
      <rPr>
        <sz val="12"/>
        <rFont val="Times New Roman"/>
        <family val="1"/>
      </rPr>
      <t xml:space="preserve">
- Phía trên 2 cánh cửa mở lồng kính, 5 ly cường lực có khoá , mỗi cánh 4 bản lề bật  trong có sắn đứng ,chia làm 6  ngăn có thể di động 
. Phía dưới 2 cửa pano mỗi cánh 2 bản lệ bật  có khoá và tay nắm. trong có sắn đứng và có 2 ngăn di động  
- Nóc tủ căp cổ dày 36 chạy  cạnh Profile  tạo thẩm mỹ 
-Vật liệu: Gỗ cao su ghép  đã qua tẩm sấy chống mối mọt, co rút, dày 18 mm, sơn PU hoặc sơn màu, hậu tủ ván MDF dày 6 mm</t>
    </r>
  </si>
  <si>
    <t>Giường nệm y tế</t>
  </si>
  <si>
    <t>Kích thước: 1900x900x540 mm
- Vật liệu: 
+ inox 201dày 1mm
+ Khung giường: hộp inox  30 x 60 
+ Khung đầu và đuôi giường: ống inox, D32 
+ 1 song ngang đầu giường: ống inox, D25 
+ 4 song dọc đầu giường: ống inox ,D16 
+ Vạt giường: inox hộp 10 x 40mm, dày 0.6mm
+ Nệm giường: nệm mút dầy 50mm</t>
  </si>
  <si>
    <t>Dụng cụ y tế</t>
  </si>
  <si>
    <t>Theo tài liệu nâng cao sức khỏe trường học gồm:
- 1 túi sơ cấp cứu KT:300x200x200mm
- Ga-rô: 03 cái
- Nẹp các cỡ: 02 bộ
- Băng cuộn các loại: 03 cuộn (mỗi loại)
- Dây vải buộc nẹp: 10 mét
- Băng cá nhân: 01 hộp (100 miếng)
- Gạc vô trùng: 20 miếng
- Gạc Vaselin: 10 miếng
- Bông thấm nước: 200gram
- Hộp đựng dụng cụ (pine, kéo vô trùng): 02 hộp
- Găng y tế: 05 đôi
- Nhiệt kế: 02 cái
- Thiết bị thanh trùng (nồi hấp): 01 cái</t>
  </si>
  <si>
    <t>Cân sức khoẻ có thước đo chiều cao</t>
  </si>
  <si>
    <t>Có đồng hồ hiển thị chiều cao và cân nặng</t>
  </si>
  <si>
    <t>Bộ dụng cụ khám</t>
  </si>
  <si>
    <t>GỒM:
- 1 máy đo huyết áp
- 1 băng ca cứu thương
- 5 bộ nẹp chân, tay
- 1 hộp inox đựng bông gạc y tế
- 1 hộp để thuốc sát trùng bằng inox</t>
  </si>
  <si>
    <t>Đề xuất 1 bộ</t>
  </si>
  <si>
    <t>Rèm che</t>
  </si>
  <si>
    <t>KT: 1800x2000mm</t>
  </si>
  <si>
    <t xml:space="preserve">Máy nước uống nóng lạnh </t>
  </si>
  <si>
    <t>Làm nóng nhanh tới 90°C
Làm lạnh Block sâu dưới 10°C.
Nút nước nóng có khóa an toàn cho gia đình có trẻ em
Chất liệu bầu nóng/lạnh bằng inox, an toàn cho sức khỏe
Công nghệ làm lạnh bằng compressor tiết kiệm điện
Bộ bảo vệ nhiệt kép chống cháy khô đảm bảo an toàn tối đa</t>
  </si>
  <si>
    <t>Bảng đọc chữ kiểm tra thị giác</t>
  </si>
  <si>
    <t>Bảng Đèn Thử Thị Lực Chữ ZU Led Inox
Khoảng cách đọc: 5m
Nguồn: 220V; 0,2A
Bảng chữ hoặc bảng hình
Lỗ treo tường, chân để bàn, giá đỡ
Dây nguồn: 2m
Vỏ đèn bằng inox</t>
  </si>
  <si>
    <t>Phòng đoàn đội</t>
  </si>
  <si>
    <t>Bàn họp L3</t>
  </si>
  <si>
    <t>KT :  2400 x 1200 x 750 mm 
Chân hộp dày 60 mm tạo cạnh thẩm mỹ, hậu thấp 600 mm
- Vật liệu: mặt bàn viền dày 36 mm, chạy cạnh frofile 
- Toàn bộ gỗ cao su ghép, dày 18 mm. Sơn Pu chống trầy 
- Chân đế nhựa</t>
  </si>
  <si>
    <t>Phòng công đoàn</t>
  </si>
  <si>
    <t xml:space="preserve">- Kích thước: 1200x600x750 mm. 
+ Thùng di động: 450 x 500 x 600 
Bàn 1 ngăn kéo giữa nhỏ ray kéo 3 tầng , 1 đế đề CPU di động 
- Vật liệu: Gỗ cao su ghép đã qua tẩm sấy chống mối mọt, co rút, dày 18 mm, sơn PU hoặc sơn màu, ngăn kéo trượt trên ray bi 3 tầng, tay nắm inox </t>
  </si>
  <si>
    <t>KT :  2400 x 1200 x 750 mm 
Chân hộp dày 60 mm tạo cạnh thẩm mỹ, hậu thấp 600 mm
- Vật liệu: mặt bàn viền dày 36 mm, chạy cạnh frofile 
- Toàn bộ gỗ cao su ghép, dày 18 mm. Sơn Pu chống trầy
- Chân đế nhựa</t>
  </si>
  <si>
    <t>Phòng giám thị</t>
  </si>
  <si>
    <t>Phòng</t>
  </si>
  <si>
    <t xml:space="preserve">Phòng nghỉ giáo viên Nam </t>
  </si>
  <si>
    <t>Giường gấp cao cấp văn phòng</t>
  </si>
  <si>
    <t xml:space="preserve">Kích thước: 1800x600x260 mm
- Nguyên liệu:  
+ Khung sắt sơn tĩnh điện, mặt nệm bọc vải dày 50mm
- Giường xếp gọn </t>
  </si>
  <si>
    <t>Máy nước nóng lạnh</t>
  </si>
  <si>
    <t>Máy lạnh</t>
  </si>
  <si>
    <t>2 HP ,2 cục ; Điện nguồn: 220v, 1 pha, 50hz; Ống đồng , bas treo cục nóng, đinh vis các loại, ống nhựa thoát nước, công lắp đặt</t>
  </si>
  <si>
    <t>Phòng nghỉ giáo viên Nữ</t>
  </si>
  <si>
    <t>Phòng thiết bị giáo dục</t>
  </si>
  <si>
    <t>Tủ cao L2</t>
  </si>
  <si>
    <r>
      <rPr>
        <b/>
        <sz val="12"/>
        <rFont val="Times New Roman"/>
        <family val="1"/>
      </rPr>
      <t>- KT: 1200 x 400 x 1800 mm</t>
    </r>
    <r>
      <rPr>
        <sz val="12"/>
        <rFont val="Times New Roman"/>
        <family val="1"/>
      </rPr>
      <t xml:space="preserve">
- Phía trên 2 cánh cửa mở lồng kính, 5 ly cường lực có khoá , mỗi cánh 4 bản lề bật  trong có sắn đứng ,chia làm 6  ngăn có thể di động 
. Phía dưới 2 cửa pano mỗi cánh 2 bản lệ bật  có khoá và tay nắm. trong có sắn đứng và có 2 ngăn di động  
- Nóc tủ căp cổ dày 36 chạy  cạnh Profile  tạo thẩm mỹ 
-Vật liệu: Gỗ cao su ghép  đã qua tẩm sấy chống mối mọt, co rút, dày 18 mm, sơn PU, hậu tủ ván MDF dày 6 mm</t>
    </r>
  </si>
  <si>
    <t>Phòng hội đồng</t>
  </si>
  <si>
    <t>Bàn 2 chỗ</t>
  </si>
  <si>
    <r>
      <rPr>
        <b/>
        <sz val="12"/>
        <rFont val="Times New Roman"/>
        <family val="1"/>
      </rPr>
      <t>Kích thước: 1200x450x750 mm</t>
    </r>
    <r>
      <rPr>
        <sz val="12"/>
        <rFont val="Times New Roman"/>
        <family val="1"/>
      </rPr>
      <t xml:space="preserve">
- Bàn có có ngăn để tài liệu. 
- Vật liệu: mặt bàn viền dày 36 mm, chạy cạnh  Frofile, yếm bàn thấp xuống sát chân, chạy chỉ âm tạo thẩm mỹ  
- Toàn bộ gỗ cao su ghép, dày 18 mm. Sơn Pu chống trầy hoặc sơn màu
- Chân đế nhưa</t>
    </r>
  </si>
  <si>
    <t>Bảng từ trắng 2 mặt di động</t>
  </si>
  <si>
    <t>KT Khung : 2000 x 500 ( chân) x 1800 ( kể cả bảng)
KT Bảng: D 2000x xC 1000mm, , 1 mặt từ xanh và 1 mặt từ trắng
- Khung sắt 25 x 50 dày 1,2 , sơn tĩnh điện , Chân có 4 bánh xe có khoá</t>
  </si>
  <si>
    <t xml:space="preserve">Màn hình tương tác 65''
1. Kích thước:
- 65 inchs Đường chéo ;
- Kích thước/kích thước đóng gói: 1516.3*947.1*104.6mm / 1646*1062*230mm
2. Hiển thị
- Vùng hiển thị: 1428.48mm(H) x 803.52mm(V)
- Tỷ lệ khung hình: 16:9
- Độ sáng: 350cd/㎡
- Kiểu màn hình: DLED
- Độ phân giải màn hình: 3840x2160( 4K)
- Tỷ lệ tương phản: 4000:1
-  Góc nhìn tối đa: 178°(V)/178°(H)
- Hỗ trợ điểm chạm: 20 điểm tiếp xúc
- Công nghệ cảm ứng: Công nghệ quét nhiều tia hồng ngoại
- Chất liệu bề mặt viết cảm ứng: Kính cường lực 4mm, kính chịu nhiệt, kính chống chói chống nhòe và dấu vân tay.
- Tuổi thọ màn hình hơn 60.000 giờ
3. Hệ điều hành
- Sử dụng hệ điều hành kép Android  8.0 + Windows 
- Cấu hình Android
   + Phiên bản hệ thống: Android 8.0
   + Ram/rom: 2G/16G
- Hổ Trợ OPS-PC chạy hệ điều hành Windown
    + i5--6400/ 4G/ 128G SSD
</t>
  </si>
  <si>
    <t>4. Kết nối
- Cổng giao tiếp hệ thống cảm ứng: USB 2.0
- Đầu vào: RS232*1，YPbPr*1，AV*1，RF*1,RJ45*1，USB2.0*2，HDMI*2，VGA*1，VGA Audio*1，SD_Card*1,HDMI*1，Touch USB*1，
USB3.0*1，USB2.0*1，USB2.0*1
- Đầu ra: Coaxial*1，AV Out*1,Touch USB*1，Earphone*1
5. Hình Ảnh, Âm Thanh và video
- Loa: 2x15 W 
- Hệ thống Âm Thanh &amp; Video: PAL, NTSC, SECAM 
- Định dạng Video: mpeg-2/4，h.265，TS，AVS，VP，WMV 
6. Khác
- Chứng chận: 9001, 14001, 45001, CE, FCC, RoHSCE, FCC, RohS</t>
  </si>
  <si>
    <t>Máy chiếu</t>
  </si>
  <si>
    <t>Máy chiếu đa phương tiện công nghệ LCD 
- Độ sáng: 4100 ANSI Lumens
- Độ tương phản:  20.000:1
- Độ phân giải thực: XGA (1024x768)
- Bóng đèn: 230W-tuổi thọ tối đa 20.000 giờ
- Kích thước chiếu :30” – 300”
- Zoom 1.2X
- Cổng tín hiệu vào: HDMI x 2, Dsub 15 pin, Video, Audio, Serial, RJ45, USB
- Tự động dò tìm tín hiệu đầu vào.
- Chức năng chỉnh vuông hình ảnh .
- Chức năng trình chiếu hình ảnh từ USB
- Điều khiển máy chiếu qua mạng LAN
- Direct Power Off
- Công suất loa 10W
Giá treo máy điều chỉnh độ cao 
- Khung sắt, sơn tĩnh điện.
- giá treo thích hợp cho tất cả các loại máy chiếu 
- có thể chỉnh máy chiếu theo đúng hướng thẳng  cần trình chiếu.
- Cho phép đưa dây tín hiệu, dây điện một cách dễ dàng tăng cao độ thẩm mỹ.</t>
  </si>
  <si>
    <t xml:space="preserve">Chủng loại: Máy chiếu thông minh (smart projector), tích hợp sẵn trong máy chiếu hệ điều hành Android 
Hệ điều hành(Smart System): Hệ điều hành Android 9.0
Vi xử lý: Amlogic S905X3, ROM: 16GB; RAM: 2GB
Tự động cập nhật firmware khi có phiên bản mới qua internet (OTA)
Ngôn ngữ giao diện có TiếngViệt 
Công nghệ xử lý ánh sáng số: DLP Single 0.65" WXGA
Độ phân giải thực: WXGA (1280x800 pixels)
Độ phân giải nén: VGA(640 x 480) to WUXGA_RB(1920 x 1200) *RB=Reduced blanking
Cường độ chiếu sáng: 3,600ANSI Lumens
Màu hiển thị: 1,07 tỷ màu
Tỷ số tương phản: 20,000 : 1  
Tỷ lệ khung hình: chuẩn 16:10 (có 5 chế độ khác nhau)
Throw Ratio: 0.49
Zoom ratio: Fixed
Kích thước hình chiếu: 70 - 120 inch. 
Nguồn sáng: Bóng đèn 200W
Tuổi thọ bóng đèn: Normal:6,000 giờ / Economic:10,000 giờ / Smart Eco:10,000 giờ / Lamp save:15,000 giờ 
Chỉnh méo hình: 1D, Ngang ± 40 độ 
Tần số quét: Ngang: 15K~102KHz; Dọc: 23~120Hz
Tương thích máy tính: 480i, 480p, 576i, 567p, 720p, 1080i, 1080p
Công suất loa: 5W x 1
Wireless: Wireless Dual Band 802.11ac/b/g/n, 2.4G/5G
Bluetooth: Bluetooth 4.0
Cổng kết nối: HDMI x1; VGA in x1; VGA out x1; RJ45 x1; USB Type A x4; USB Type B mini x1; Audio in x1; Audio out x1; RS232 x1
Kích thước (WxDxH): 296.3x 250.1 x 119.7mm
Trọng lượng: 2.8 kg
Điện nguồn: AC 100 - 240 V
Độ ồn: 33/29 dB ((Normal/Eco)
Công suất tiêu thụ: Max 300W,  Normal 275W, Eco 232W, chế độ chờ Max. 0.5W or Max. 2W at Network Standby
Nhiệt độ hoạt động: 0~40oC
Các chức năng tiêu chuẩn của máy chiếu:
Máy chiếu được tích hợp hệ điều hành Android 9.0
Chức năng kết nối wifi, truy cập internet , Hỗ trợ trình duyệt web trực tiếp trên máy chiếu
Chức năng truy cập internet trực tiếp từ máy chiếu không qua máy tính hoặc các thiết bị di động khác.
Chức năng Kết nối trực tiếp với sóng wifi không cần máy tính (Wireless 802.11ac/b/g/n, 2.4G/5G)
Chức năng kết nối không dây với loa Bluetooth, tai nghe Bluetooth. (chuẩn Bluetooth 4.0)
Tính năng Wifi Hotspot cho phép phát sóng wifi cho phép các thiết bị di động khác kết nối
Chức năng kết nối trực tiếp với bàn phím và chuột (có dây và không dây). Sử dụng bàn phím và chuột để thao tác trực tiếp trên máy chiếu không cần máy tính.
Chia sẻ không dây đồng thời 4 thiết bị
Tăng cường 3 đầu đọc USB để hỗ trợ sử dụng chuột, bàn phím, USB cùng một lúc.
Trình chiếu không dây với mọi thiết bị (Laptop/PC/Macbook/iPhone/iPad/Android Phone &amp; Tablet).
Chức năng đọc trực tiếp file trên thiết bị USB, hỗ trợ nhiều định dạng file như: DOC, XLS, PDF, PPT, JPEG, MP3, MP4)
Chức năng bàn phím ảo, 36 ngôn ngữ
Điều khiển từ xa (Remote) được tích hợp bút chỉ laser.
Máy chiếu tích hợp sẵn trình duyệt cho phép người dùng trực tiếp truy cập các website phổ biến như Youtube, Google,...
Hệ thống quản lý tài khoản giúp người dùng dễ dàng trong việc đăng nhập, quản lý, đồng bộ và cá nhân hóa cài đặt.
Giải pháp quản lý thiết bị từ xa cho phép người dùng quản lý, phân tích, điều khiển thiết bị máy chiếu thông minh của mình (như Tắt nguồn, cập nhật phần mềm, điều chỉnh âm lượng, chọn nguồn vào, điều chỉnh chế độ khung hình, điều chỉnh chế độ hình ảnh, tải/xóa ứng dụng...)
Người dùng dễ dàng tạo các thông báo từ xa và đẩy lên máy chiếu thông minh.
Chức năng trình chiếu phim 3D 
Chức năng tắt hình thông minh khi máy chiếu không sử dụng, giúp giảm lượng tiêu thụ điện đến 70%.
Ngôn ngữ Menu: 30 ngôn ngữ, trong đó có tiếng Việt.
Chức năng quản lý máy chiếu qua mạng LAN
Máy chiếu tích hợp công nghệ chống bụi, loại bỏ lượng lớn bụi tích tụ, tăng độ bền của thiết bị và giảm chi phí bảo hành bảo trì.
Hệ thống quản lý tài khoản: người sử dụng có thể truy cập vào tài khoản cloud trên máy chiếu (như Google Drive, OneDrive, Dropbox, Box, Nextcloud) để truy cập file lưu trữ bằng cách đăng nhập vào tài khoản 
</t>
  </si>
  <si>
    <t>ko cần thiết, có thể bỏ
Rất cần, không thể bỏ</t>
  </si>
  <si>
    <t>điều chỉnh thông số phù hợp với công năng sử dụng phòng hội trường</t>
  </si>
  <si>
    <t>Màn chiếu</t>
  </si>
  <si>
    <t>KT: 2130 x 2130 mm
màn chiếu điện có động cơ, điều khiển thừ xa có Remote 15"</t>
  </si>
  <si>
    <t>Phòng đọc sách giáo viên</t>
  </si>
  <si>
    <t>KT :  3000 x 1200 x 750 mm 
Chân hộp dày 60 mm tạo cạnh thẩm mỹ, hậu thấp 600 mm
- Vật liệu: mặt bàn viền dày 36 mm, chạy cạnh frofile 
- Toàn bộ gỗ cao su ghép, dày 18 mm. Sơn Pu chống trầy hoặc sơn màu
- Chân đế nhựa</t>
  </si>
  <si>
    <t>Kích thước: 1200 x 400 x 2000 mm
Vật liệu:
Tủ gồm 2 phần: 
+ Phần trên chia làm 5 ngăn ( cao 32.5 mm) cánh mở kính cường trắng lực dày 8 mm
+ Phần còn lại cánh gỗ mở
+ Gỗ cao su ghép dày 18 mm sơn PU chống trầy
+ Màu sắc dựa theo màu thiết kế</t>
  </si>
  <si>
    <t>Tủ cao L4</t>
  </si>
  <si>
    <t>Kích thước: 1200 x 400 x 2000 mm
Vật liệu:
Tủ gồm 2 phần: 
+ Phần trên chia làm 5 ngăn ( cao 32.5 mm). Các ngăn nghiên 60 độ để kê sách
+ Phần dưới ngăn bình thường
+ Gỗ cao su ghép dày 18 mm sơn PU chống trầy
+ Màu sắc dựa theo màu thiết kế</t>
  </si>
  <si>
    <t>Bảng nội quy</t>
  </si>
  <si>
    <t>KT: 800 x 1000 
Khung nhôm hộp Uralium chuyên dụng , mặt  bảng MDF Formica trắng dày 3mm, chữ decal xanh</t>
  </si>
  <si>
    <t>IXX</t>
  </si>
  <si>
    <t>Kho sách</t>
  </si>
  <si>
    <t>Kệ sách 1 mặt</t>
  </si>
  <si>
    <t xml:space="preserve">Kích thước: 1200 x 350 x 2000 mm
 Vật liệu:
- Kệ 5 ngăn cố định 
-  khung sắt 30 x 30 x 1,2 ,  25 x 25 x 1.2 ,sơn tĩnh điện. 
Mặt Gỗ cao su ghép, dày 18 mm sơn PU hoặc sơn màu 
- Chân đế nhựa </t>
  </si>
  <si>
    <t>Kệ sách 2 mặt</t>
  </si>
  <si>
    <t xml:space="preserve">Kích thước: 1200 x 600 x 2000 mm
Vật liệu:
- Kệ 5 ngăn cố định ,  có sắn giữa chia sách 2 bên
-  khung sắt 30 x 30 x 1,2 ,  25 x 25 x 1.2 ,sơn tĩnh điện. 
Mặt Gỗ cao su ghép, dày 18 mm sơn PU hoặc sơn màu 
- Chân đế nhựa </t>
  </si>
  <si>
    <t>Phòng đọc học sinh</t>
  </si>
  <si>
    <t>Máy vi tính</t>
  </si>
  <si>
    <t>điều chỉnh theo thông số mới nhất tại thời điểm</t>
  </si>
  <si>
    <t>Kích thước: 1200 x 400 x 2000 mm
Vật liệu:
Tủ gồm 2 phần: 
+ Phần trên chia làm 5 ngăn ( cao 32.5 mm). Các ngăn nghiên 60 độ để kê sách
+ Phần dưới ngăn bình thường
+ Gỗ cao su ghép dày 18 mm sơn PU chống trầy 
+ Màu sắc dựa theo màu thiết kế</t>
  </si>
  <si>
    <t>Tủ phích</t>
  </si>
  <si>
    <t xml:space="preserve">- Kích thước: 900 x 400 x 2000 mm. 
- Vật liệu: loại 24 hộc, Gỗ ghép công nghiệp  đã qua tẩm sấy chống mối mọt, co rút, dày 18 mm, sơn PU </t>
  </si>
  <si>
    <t xml:space="preserve">Bàn ghép hình lục giác </t>
  </si>
  <si>
    <t>Bàn hình thang lắp ghép, gồm 6 bàn lắp ghép thành lục giác 
KT bàn đơn: 600x450x750mm
- Khung sắt 25 x 25  dày 1.2mm,  sơn tĩnh điện 
Mặt bàn 
+ Gỗ cao su ghép đã qua tẩm sấy chống mối mọt, co rút, dày 18 mm, sơn PU nhiều màu sắc tươi sáng</t>
  </si>
  <si>
    <t xml:space="preserve">Ghế </t>
  </si>
  <si>
    <t>Kích thước:  360x340x 440/ 790 mm 
Vật liệu:
+ Khung ghế 25x25 dày 1,2mm
+ Mặt và đáy ghế gỗ ghép sơn PU dày 18mm
+ Màu sắc dựa theo màu thiết kế</t>
  </si>
  <si>
    <t>đổi ghế nhựa sang ghế khung sắt ( ghế nhựa chỉ dùng cho mầm non)</t>
  </si>
  <si>
    <t>Tủ đựng bản đồ</t>
  </si>
  <si>
    <t xml:space="preserve"> Tủ để bản đồ khổ bản đồ 62cm x 84 cm
KT: D1200xR 700 x C1800mm, 
- Kệ 5 ngăn cố định ,
-  khung sắt 30 x 30 x 1,2 ,  25 x 25 x 1.2 ,sơn tĩnh điện. 
Mặt Gỗ cao su ghép, dày 18 mm sơn PU 
- Chân đế nhựa </t>
  </si>
  <si>
    <t>Bảng từ trắng B2</t>
  </si>
  <si>
    <t>KT:  W800 x H1200 mm
Vật liệu:
- Khung nhôm hộp Uralium chuyên dụng, phủ 3 lớp sơn chuyên dụng ,dòng kẻ ô ly tiểu học 2x2cm được in chìm ở lớp thứ 2, phủ trên cùng lớp sơn bảo vệ.
- Bảng từ treo tường hít nam châm, bề mặt phủ sơn màu trắng, có kẻ ô ly 5x5cm
- Cốt nhựa nhẹ và chống cong
- Khung nhôm với 4 đầu bịt nhựa, khay phấn đồng màu đi kèm.</t>
  </si>
  <si>
    <t>Hội trường đa năng</t>
  </si>
  <si>
    <t>Ghế inox xếp liền bàn</t>
  </si>
  <si>
    <t>KÍCH THƯỚC: 445mm x 505mm x 850mm
Ghế gấp Khung inox 201
- Ghế có tựa lớn; Có bàn viết gỗ MFC màu vân gỗ.
- Mặt, và tựa ghế là đệm mút bọc giả da.</t>
  </si>
  <si>
    <t>KÍCH THƯỚC: 445mm x 505mm x 850mm
Ghế gấp Khung inox 201
- Ghế có tựa lớn; Có bàn viết gỗ MFC màu vân gỗ.
- Mặt, và tựa ghế là simili hoặc đệm mút bọc giả da.</t>
  </si>
  <si>
    <t xml:space="preserve"> Hệ thống âm thanh</t>
  </si>
  <si>
    <t>1 cái x Amli 600 w
Điện áp: 220V ~ 50Hz
Công suất tiêu thụ: 600 W
Công suất đầu ra: 600W
4 cái x loa 100W 
Công suất liên tục: 100W
Độ nhạy: 90 dB
Dải tần: 53 Hz - 18 KHz
Trở kháng: 8 Ohm
1 Mixer 8 ngõ 
1 cây x Micro cổ ngỗng 
1 bộ x micro không dây (2 cây) + bộ thu tín hiệu-
 Dây tín hiệu, cáp điện, hộp đinh vis, bas treo loa, bas treo âm ly, vật tư thi công , công lắp đặt</t>
  </si>
  <si>
    <t>Bục để tượng Bác + Tượng Bác</t>
  </si>
  <si>
    <t xml:space="preserve"> Kích thước: 700x 500x1400 mm
- Nguyên liệu:
+ Gỗ ghép công nghiệp  đã qua tẩm sấy chống mối mọt, co rút, dày 18 mm, sơn PU.
+ tượng Bác bằng thạch cao cao 800mm</t>
  </si>
  <si>
    <t>Bục thuyết trình</t>
  </si>
  <si>
    <t>Kích thước:800x500x1200 mm
- Nguyên liệu:
+ Gỗ ghép công nghiệp  đã qua tẩm sấy chống mối mọt, co rút, dày 18 mm, sơn PU.</t>
  </si>
  <si>
    <t xml:space="preserve"> Phông - màn</t>
  </si>
  <si>
    <t xml:space="preserve">KT: 11000 x 4500mm
- 1 x  Bảng Đảng công sản Việt …....... Bằng Meca , khung viền nhôm, chử nổi
- 1 Khung cờ nước, mặt bằng nhung màu đỏ, cờ nước mica nổi
 - 1 Khung Búa liềm, mặt bằng nhung màu đỏ, bủa liềm  mica nổi 
- Màn sân Khấu bằng vải thun, nhúng gấp, Thanh treo bằng Inox  
- 1 khung nhôm có nhiều thanh dọc, để dán chử hội thảo 
</t>
  </si>
  <si>
    <t xml:space="preserve">màn  hình tương tác 65''
1. Kích thước:
- 65 inchs Đường chéo ;
- Kích thước/kích thước đóng gói: 1516.3*947.1*104.6mm / 1646*1062*230mm
2. Hiển thị
- Vùng hiển thị: 1428.48mm(H) x 803.52mm(V)
- Tỷ lệ khung hình: 16:9
- Độ sáng: 350cd/㎡
- Kiểu màn hình: DLED
- Độ phân giải màn hình: 3840x2160( 4K)
- Tỷ lệ tương phản: 4000:1
-  Góc nhìn tối đa: 178°(V)/178°(H)
- Hỗ trợ điểm chạm: 20 điểm tiếp xúc
- Công nghệ cảm ứng: Công nghệ quét nhiều tia hồng ngoại
- Chất liệu bề mặt viết cảm ứng: Kính cường lực 4mm, kính chịu nhiệt, kính chống chói chống nhòe và dấu vân tay.
- Tuổi thọ màn hình hơn 60.000 giờ
3. Hệ điều hành
- Sử dụng hệ điều hành kép Android  8.0 + Windows 
- Cấu hình Android
   + Phiên bản hệ thống: Android 8.0
   + Ram/rom: 2G/16G
- Hổ Trợ OPS-PC chạy hệ điều hành Windown
    + i5--6400/ 4G/ 128G SSD
</t>
  </si>
  <si>
    <t>Máy chiếu</t>
  </si>
  <si>
    <t>ko cần thiết, có thể bỏ
Rất cần thiết, không thể bỏ</t>
  </si>
  <si>
    <t>Phòng Sinh Hoc</t>
  </si>
  <si>
    <r>
      <rPr>
        <b/>
        <sz val="12"/>
        <rFont val="Times New Roman"/>
        <family val="1"/>
      </rPr>
      <t>- Kích thước: 1200x 4800 mm</t>
    </r>
    <r>
      <rPr>
        <sz val="12"/>
        <rFont val="Times New Roman"/>
        <family val="1"/>
      </rPr>
      <t xml:space="preserve">
- Nguyên liệu:
+ Khung nhôm hộp uralium (25*32) mm
+ Mặt tole bảng màu xanh rêu đậm dày 0.4 mm, kẻ ô ly màu xám trắng , chống chói.
+ Bas treo tường chuyên dụng </t>
    </r>
  </si>
  <si>
    <t>Bàn thí nghiệm giáo viên_ HS</t>
  </si>
  <si>
    <t xml:space="preserve">-KT bàn: D1200xR500xC750mm, 
+ Bàn Khung Inox 304 dày 1 ly ,  gồm  25x25,  25 x 50, 
+ Mặt bàn Đá Granite dày 18 mm, 4 góc R20,  các cạnh bo tròng đáng bóng tạo thẩm mỹ. 
+ Phía trên bàn có kệ Inox tấm 304 dày 0.8, xung quang có viền Inox phi 6.
+ Chân đế nhựa tăng đưa.  </t>
  </si>
  <si>
    <t xml:space="preserve">- KT bàn: D1200xR600xC750/850mm, 
+ Khung bàn bằng ống thép sơn tĩnh điện, 
+ Mặt bàn bằng composite hoặc compact.
+ Kết hợp ốp vách gỗ công nghiệp dày 17mm 
+ Bàn có trang bị chậu và vòi rửa để vệ sinh khi làm thí nghiệm. </t>
  </si>
  <si>
    <t>điều chỉnh thông số phù hợp công năng phòng sinh học</t>
  </si>
  <si>
    <t>Ghế giáo viên _ phòng thí nghiệm</t>
  </si>
  <si>
    <t xml:space="preserve"> Ghế: 380x 380 x  450/ 900
- Ghế lưng tựa gỗ, mặt bọc nệm, Đầu ghế được uốn cong 2 đầu tạo thẫm  mỹ 
- Khung Sắt 20 x 20 x 1,2, 16 x 16 x 1,2 , toàn bộ khung sắt sơn tĩnh điện 
- Chân đế nhựa </t>
  </si>
  <si>
    <t>Bàn thí nghiệm học sinh _ HS</t>
  </si>
  <si>
    <t xml:space="preserve">- KT bàn: D1200xR600xC750/850mm, 
+ Khung bàn bằng ống thép sơn tĩnh điện, 
+ Mặt bàn bằng composite hoặc compact.
+ Kết hợp ốp vách gỗ cao su ghép dày 18mm
+ Bàn có trang bị chậu và vòi rửa để vệ sinh khi làm thí nghiệm. </t>
  </si>
  <si>
    <t xml:space="preserve">- KT bàn: D2400xR600xC750/850mm, 
+ Khung bàn bằng ống thép sơn tĩnh điện, 
+ Mặt bàn bằng composite hoặc compact.
+ Kết hợp ốp vách gỗ công nghiệp dày 17mm 
+ Bàn có trang bị chậu và vòi rửa để vệ sinh khi làm thí nghiệm. </t>
  </si>
  <si>
    <t>điều chỉnh số lượng 45hs/phòng</t>
  </si>
  <si>
    <t xml:space="preserve">4hs/1 bàn </t>
  </si>
  <si>
    <t>Ghế hoc sinh  _ phòng thí nghiệm</t>
  </si>
  <si>
    <t xml:space="preserve">Ghế KT: tròn 350 x 500 mm,
Mặt ghế xoay 360 Ghế có trục tăng đưa phi 15 tạo răng , 
Ghế khung sắt sơn tĩnh điện, mặt ghế gỗ ghép công nghiệp đã qua tẩm sấy chống mối mọt, co rút, dày 18 mm, sơn PU.
- Chân đế nhựa </t>
  </si>
  <si>
    <t>Phòng chuẩn bị Sinh Hoc</t>
  </si>
  <si>
    <t>có thể giảm sl</t>
  </si>
  <si>
    <t>Bàn họp L4</t>
  </si>
  <si>
    <t>KT :  1500 x 900 x 750 mm 
Chân hộp dày 40 mm tạo cạnh thẩm mỹ, hậu thấp 600 mm
- Vật liệu: mặt bàn viền dày 36 mm, chạy cạnh frofile 
- Toàn bộ gỗ cao su ghép, dày 18 mm. Sơn Pu chống trầy 
- Chân đế nhựa</t>
  </si>
  <si>
    <t xml:space="preserve"> Ghế: 380x 380 x  450/ 900
- Ghế lưng tựa gỗ, mặt bọc nệm, Đầu ghế được uốn cong 2 đầu tạo thẩm  mỹ 
- Khung Sắt 20 x 20 x 1,2, 16 x 16 x 1,2 , toàn bộ khung sắt sơn tĩnh điện 
- Chân đế nhựa </t>
  </si>
  <si>
    <t>Phòng Hóa Hoc</t>
  </si>
  <si>
    <t xml:space="preserve">- KT bàn: D1200xR500xC750mm, 
+ Bàn Khung Inox 304 dày 1 ly ,  gồm  25x25,  25 x 50, 
+ Mặt bàn Đá Granite dày 18 mm, 4 góc R20,  các cạnh bo tròng đáng bóng tạo thẩm mỹ 
+ Phía trên bàn có kệ Inox tấm 304 dày 0.8, xung quang có viền Inox phi 6,
+ Chân đế nhựa tăng đưa  </t>
  </si>
  <si>
    <t>điều chỉnh thông số phù hợp công năng phòng hóa học</t>
  </si>
  <si>
    <t>Phòng chuẩn bị Hóa Hoc</t>
  </si>
  <si>
    <t>Phòng Lý</t>
  </si>
  <si>
    <t>Bàn thí nghiệm giáo viên_  L</t>
  </si>
  <si>
    <t>- Kích thước: 1200x600x750 mm. 
+ Bàn khung sắt dày 1,2 ly gồm  25x25,  25 x 50, 
mặt bàn gỗ cao su ghép đã qua tẩm sấy chống mối mọt, co rút, dày 18 mm, sơn PU</t>
  </si>
  <si>
    <t xml:space="preserve">- KT bàn: D1200xR600xC750mm, 
+ Bàn Khung sắt 30x30x1.2mm, 25x25x1.2mm, sắt 16x16x1.2mm. Mặt bàn compact dày 18mm hoặc gỗ cao su ghép dày 18mm. Chân đế nhựa. Bố trí ổ cắm đôi 3 chấu. </t>
  </si>
  <si>
    <t>điều chỉnh thông số phù hợp công năng phòng lý</t>
  </si>
  <si>
    <t>Bàn thí nghiệm học sinh _ L</t>
  </si>
  <si>
    <t xml:space="preserve">- KT bàn: D1200xR500xC750mm, 
+ Bàn Khung sắt 30x30x1.2mm, 25x25x1.2mm, sắt 16x16x1.2mm. Mặt bàn compact dày 18mm hoặc gỗ cao su ghép dày 18mm. Chân đế nhựa. Bố trí ổ cắm đôi 3 chấu. </t>
  </si>
  <si>
    <t>Phòng chuẩn bị Lý</t>
  </si>
  <si>
    <t>có  thể giảm sl</t>
  </si>
  <si>
    <t>Phòng Công Nghệ</t>
  </si>
  <si>
    <t>điều chỉnh thông số phù hợp công năng phòng công nghệ</t>
  </si>
  <si>
    <t>- KT bàn: D1200xR500xC750mm, 
- KT Ghế : tròn 350 x 500 mm
+ Bàn Khung sắt dày 1,2 ly gồm  25x25,  25 x 50
mặt bàn gỗ cao su ghép đã qua tẩm sấy chống mối mọt, co rút, dày 18 mm, sơn PU</t>
  </si>
  <si>
    <t>Phòng chuẩn bị C.Nghệ</t>
  </si>
  <si>
    <t>Phòng Âm Nhạc</t>
  </si>
  <si>
    <t>Phòng</t>
  </si>
  <si>
    <t>Ghế học sinh đơn</t>
  </si>
  <si>
    <t>KT: 480 x 440 x 450 / 830mm
Vật liệu:
+ khung ghế bằng sắt O21 dày 1,2mm
+ lựng tựa và nệm ngồi bằng nệm simili
+ màu sắc theo thiết kế</t>
  </si>
  <si>
    <t>Đàn organ giáo viên</t>
  </si>
  <si>
    <t xml:space="preserve"> (Bao gồm : Đàn,adapter, chân đàn,bao đàn)
Màu sắc: Steel; Bàn phím 61; Cảm ứng phím có
Màn hình Custom LCD; Phức điệu 64
Âm sắc 820; Tiết tấu (Nhạc đệm) 290; Nhạc mẫu 30
Phần ghi 10-6 Track; Bộ nhớ 1.73Mb/USB
Kết nối: DC In, HeadphonePedal, USB to Device, AUX IN; Nguồn
PA-150A/5D
• 2 kênh/41 loại hiệu ứng chèn DSP
• Lấy mẫu nhanh Quick Sampling
• Trình tạo giai điệu Groove Creator
• Núm Live Control, chức năng Motion Effect, bánh xe điều chỉnh cao
độ
• Tính năng Mega Boost
• Các nút truy cập danh mục trực tiếp Direct Category Access
• Giao diện/Ghi âm thanh qua USB
• Ngõ vào mic và hiệu ứng thanh âm
• Ngõ ra L/R riêng rẽ</t>
  </si>
  <si>
    <t>Đàn organ học viên</t>
  </si>
  <si>
    <t xml:space="preserve">
Bao gồm : Đàn,adapter, chân đànbao đàn
Màu sắc: Steel; Bàn phím 61
622 tiếng âm sắc (Voices) chất lượng cao cùng với cách lấy mẫu tốt
hơn
Bàn phím cảm ứng lực (Touch-sensitive) cùng với 48 âm polyphony
Hiệu ứng DSP hoàn toàn mới và 11 Tiếng nhạc Super Articulation
Lite
Số đa âm (Phức điệu): 48
205 tiết tấu kiểu nhạc đệm đi kèm
26 loại hợp âm Harmony
150 loại hợp âm Arpeggio
154 bài hát cài đặt sẵn
Tính năng tự học "Keys to Success" với các chế độ khác nhau
Chức năng "Duo Mode" chia nửa bàn phím
Có sẵn sách Easy Song Book để tải xuống
Kết nối USB TO HOST cho phép truyền cho phép truyền 2 chiều âm
thanh kỹ thuật số audio và MIDI
Melody Suppressor cho âm thanh analog và audio
</t>
  </si>
  <si>
    <t xml:space="preserve"> Âm thanh phòng âm nhạc</t>
  </si>
  <si>
    <t>1 x Ampli  micxer 250  w 
4 x loa 50 w treo tường
2 x micro không dây 
Dây diện, nẹp PVC, pas treo loa, Ông, cáp , đinh vis,  các loại</t>
  </si>
  <si>
    <t xml:space="preserve">Công xuất làm lạnh: 18000 BTU
Nguồn điện : 220V/50Hz/1.5A
Vật tư lắp đặt:  ông đồng, cáp Điện, ống nước PVC, ke lắp đặt dàn nóng, đinh , vis các loại, công lắp đặt 
</t>
  </si>
  <si>
    <t xml:space="preserve">Phòng hội họa </t>
  </si>
  <si>
    <t>Giá vẽ</t>
  </si>
  <si>
    <t xml:space="preserve">D600xR500xC1200mm.
-  Khung sắt dày 1,2  20 x 20, 25 x 25 sơn tĩnh điện, 3 chân
- Khung thép gấp gọn, có tăng đưa chiều cao theo kích thước người vẽ 
- tấm MDF dày 6 ly, có kẹp bảng vẽ </t>
  </si>
  <si>
    <t>Ghế xoay</t>
  </si>
  <si>
    <t>Giá treo tranh</t>
  </si>
  <si>
    <t>KT; 1200x500
Giá treo 15 móc, Khung sắt 25x25, 20x20 dày 1,2mm sơn tĩnh điện</t>
  </si>
  <si>
    <t>Tủ đựng tranh</t>
  </si>
  <si>
    <t>KT; 1200x800x1200
+ Gỗ ghép công nghiệp, dày 18 mm, hậu tủ ván MDF dày 4.5ly</t>
  </si>
  <si>
    <t xml:space="preserve">Phòng Vi tính </t>
  </si>
  <si>
    <t xml:space="preserve">Ghế: 380x 380 x 450/ 900
- Ghế lưng tựa gỗ, mặt bọc nệm, Đầu ghế được uốn cong 2 đầu tạo thẫm  mỹ 
- Khung Sắt 20 x 20 x 1,2, 16 x 16 dày 1,2mm , toàn bộ khung sắt sơn tĩnh điện 
- Chân đế nhựa </t>
  </si>
  <si>
    <t>Bàn vi tính học sinh 2 chổ</t>
  </si>
  <si>
    <t xml:space="preserve">Bàn D1400 xR700x C750mm,
+ Bàn có 1 vách đứng cao 250 để CPU trên bàn 
+ Khung sắt dày 1,2 , 30 x 30 , diềm trên bàn 20 x 40 , sơn tĩnh điện 
+ Chân đế nhựa 
Mặt bàn Gỗ cao su ghép đã qua tẩm sấy chống mối mọt, co rút, dày 18 mm, sơn PU. </t>
  </si>
  <si>
    <t>- Kích thước: 360x340x450+340 mm
- Khung sắt dày 1,2 vuông 20 x 20, 16 x 16 hàn liên kết có khí CO2 bảo vệ sơn tĩnh điện
- Mặt ghế và lưng tựa Gỗ cao su ghép dày 18mm 
- Chân đế nhựa</t>
  </si>
  <si>
    <t xml:space="preserve">Bảng từ </t>
  </si>
  <si>
    <t>Máy vi tính chủ</t>
  </si>
  <si>
    <t>Máy tính thương hiệu Việt Nam đồng bộ (Khối CPU, màn hình, phụ kiện cùng thương hiệu), sản xuất trên dây chuyền công nghiệp ISO 9001:2015; ISO 14001: 2015; ISO/IEC 17025:2017; QCVN 118:2018/BTTTT.
Vi xử lý: Vi xử lý: Intel Core i5-12400 (Up to 4.4GHz, 6 nhân 12 luồng, 18MB Cache)
Bo mạch chủ: Intel H610 Chipset Supports 12th Generation Core / Pentium/ Celeron (Socket 1700); 2 x DIMM slots support dual channel DDR4-3200/ 2666/ 2400/ 2133MHz memory up  to  64  GB; 4 x  Serial ATA 6Gb/s port;1 x Case open header;1 x COM header;
Khe gắn mở rộng: 1  x  PCI  Express 3.0  x16 slot;1  x  PCI  Express 3.0 x1  slots;1  x  M.2 slot for SSD;1  x  M.2 Slot for Wifi;
Bộ nhớ: 8GB 2666Mhz.
Đồ họa: Intel HD Graphics tích hợp.
Ổ đĩa cứng: 256GB SSD.
Âm thanh: High  Definition  audio 
Kết nối mạng: 10/100/1000MB Ethernet
Các cổng kết nối sẵn sàng: 
Trước: 2 x USB 3.0; 2 x Audio jacks; Card Reader;
Sau: 2  x  PS/2  mouse / keyboard;1  x  HDMI  port;1  x  D-sub port (VGA port); 1  x  Display Port;2  x  USB  3.2  Gen1  ports ;1  x  RJ45  LAN  connector ;2  x  USB  2.0  ports;3  x  Audio  jacks;</t>
  </si>
  <si>
    <r>
      <t>Máy tính đồng bộ thương hiệu Việt Nam - Sản xuất trên dây chuyền công nghiệp (ISO 9001:2015; ISO 27001:2013; QCVN 118:2018)
'</t>
    </r>
    <r>
      <rPr>
        <b/>
        <sz val="11"/>
        <rFont val="Times New Roman"/>
        <family val="1"/>
      </rPr>
      <t>Bo mạch chủ:</t>
    </r>
    <r>
      <rPr>
        <sz val="11"/>
        <rFont val="Times New Roman"/>
        <family val="1"/>
      </rPr>
      <t>Chipset Intel® H610 Express Intel® Socket LGA1700 S/p Intel® CoreTM, Pentium® Gold and Celeron® processors, VGA &amp; Sound 08 Channel &amp; 1 x LAN port LANGUARD Gigabit onboard,  6 x USB 2.0 (6 port at midboard via 3 x USB connector), 4 x SATA 6.0 Gb/s Ports, 1 x SPDIF out connector, 1 x Chassis intrusion header, 1 x TPM header. (Đồng bộ với thương hiệu máy tính)
Bộ vi xử lý: Intel® Core™ i5 12400 Processor (2.50Ghz Max Turbo 4.40GHz/18MB Intel® Smart Cache/6C/12T) 
Bộ nhớ : 8GB DDR4 bus 2666MHz 
Ổ cứng: SSD 256GB Sata
Thùng máy và nguồn: mATX with PSU 450W (Đồng bộ với thương hiệu máy tính)
Bàn phím: USB Standard (Đồng bộ với thương hiệu máy tính)
Chuột: 
USB Optical (Đồng bộ với thương hiệu máy tính)
Khe cắm mở rộng: 3 x PCIe 4.0/3.0 x16 slot; 1 x PCI slot; 1 x M.2 2280, 2260, 2242 (Gen3 x4 PCIE mode); 6 x DIMM DDR4 3200/3000/2933/2800/2666/2400/2133 Non-ECC
Card đồ họa: Intel® UHD Intergrated Graphics.</t>
    </r>
  </si>
  <si>
    <t xml:space="preserve">
Keyboard: USB standard Keyboard.
Mouse:  USB Optical Mouse.
Nguồn: 600W PSU.
Thùng máy:  Small Form Factor (SFF).
Màn hình: Kích thước 19.5 inch 16:9 Wide, Độ phân giải 1600 x 900 60Hz, thời gian đáp ứng 5ms, số màu 16.7M. Cổng kết nối: HDMI + VGA
Tính năng phòng chống xua đuổi côn trùng bảo vệ tăng tuổi thọ sử dụng cho thiết bị (đồng bộ cùng thương hiệu)
 - Mạch tích hợp trong thiết bị 
-  Điều khiển chọn tần số theo nhu cầu sử dụng của khách hàng.
 - Tần số phát: 20 KHz ~35 KHz
Hệ điều hành: Free DOS.
</t>
  </si>
  <si>
    <t>Cổng kết nối: 
- Cổng kết nối trước: 1x Headphone; 1x MIC in; 2 x USB 3.1 port(s)
- Cổng kết nối sau:1 x Parallel connector, 1 x D-Sub Port, 1 x DVI-D port, 1 x HDMI port, 1 x Display port, 2 x COM (1 x COM port at back panel, 1 x COM connector ), 1 x USB 3.1 port(s), 1 x USB 3.1 port(s) Type C, 2 x USB 2.0 port at rear panel, 3 x Audio jacks.
Âm thanh: High Definition Channel Audio
Tính năng khác: LANGuard: Bảo vệ chống đột biến điện mạng LAN, sét đánh và phóng tĩnh điện
Kiểm soát Thiết bị Di động: Luôn kiểm soát thông qua thiết bị di động
Bảo mật: Kích hoạt/vô hiệu hóa cổng USB
Khôi phục nhanh hệ thống bằng 1 nút nhấn.
Cho phép xoá sạch sẽ AN TOÀN tất cả dữ liệu ổ cứng
Chứng nhận: Chứng nhận hợp quy/công bố hợp quy theo quy định
Màn hình: 21.5" LED (Kích thước: 21.5", Độ phân giải: 1920 x 1080 (Full HD)(Đồng bộ với thương hiệu máy tính)</t>
  </si>
  <si>
    <r>
      <rPr>
        <b/>
        <sz val="12"/>
        <rFont val="Times New Roman"/>
        <family val="1"/>
      </rPr>
      <t>Tích hợp phần mềm điều khiển dạy và học ngoại ngữ</t>
    </r>
    <r>
      <rPr>
        <sz val="12"/>
        <rFont val="Times New Roman"/>
        <family val="1"/>
      </rPr>
      <t>:  có chức năng ghi âm để phát những đoạn video với từng đoạn khác nhau cho máy tính học sinh. Giáo viên cũng có thể sử dụng để ghi âm giọng nói và phát lại cho học sinh, học sinh cũng có thể tự ghi âm và so sánh với âm chuẩn.giáo viên có thể truyền hình ảnh màn hình, giám sát máy tính học sinh, khóa máy tính học sinh, chạy video hoặc âm thanh, làm bài kiểm tra, khóa chương trình đang chạy v.v….có thể hỗ trợ tốt Windows 7, Windows 10 nó có thể làm việc hoàn hảo trên wireless 802.11b/g/n. Hệ thống mở rộng tới 255 học viên. Ngôn ngữ sử dụng đa ngôn ngữ trong đó có Tiếng Việt.</t>
    </r>
  </si>
  <si>
    <r>
      <t xml:space="preserve">Tích hợp Phần mềm quản lý lớp học trang bị Theo Thông Tư 37, 38, 39/2021/TT-BGDĐT cho Môn Tin Học cấp TIỂU HỌC - THCS - THPT Đạt tiêu chuẩn : ISO 9001 : 2015, ISO 27001:2013 + Giấy chứng nhận quyền tác giả của phần mềm.
</t>
    </r>
    <r>
      <rPr>
        <sz val="12"/>
        <rFont val="Times New Roman"/>
        <family val="1"/>
      </rPr>
      <t xml:space="preserve">+ 01 x USB quản lý key và kích hoạt bản quyền phần mềm quản lý lớp học của Giáo Viên.
- USB key được dùng để quản lý và kích hoạt bản quyền phần mềm, trường hợp máy tính bị hư hỏng, phần mềm bị lỗi cần phải thay thế, sửa chữa hoặc cài lại hệ điều hành máy tính thì vẫn không bị mất key bản quyền của phần mềm và không cần đăng ký lại với Hãng. Khi cài đặt và active key cho các máy của phòng không cần các máy phải có Internet, rất thuận tiện cho các Trường chưa kịp có Internet hoặc các Trường ở vùng sâu, vùng xa chưa có Internet. Một hay nhiều Giáo viên giảng dạy cùng một phòng hoặc khác phòng. Ngoài máy tính Giáo viên của phòng, có thể cài sẵn phần mềm trên các máy cá nhân của mình để chủ động nguồn tư liệu giảng dạy khác như : máy tính đề bàn, máy tính xách tay, các loại máy khác …chỉ cần luân chuyển USB cho máy Giáo viên là sử dụng được ngay.
'+ 01 x Phần mềm quản lý lớp học có bản quyền dành cho Giáo Viên. Hỗ trợ 28 ngôn ngữ, trong đó có phiên bản Tiếng Việt và Tiếng Anh </t>
    </r>
  </si>
  <si>
    <r>
      <rPr>
        <b/>
        <sz val="12"/>
        <rFont val="Times New Roman"/>
        <family val="1"/>
      </rPr>
      <t>Mô đun cho giáo viên</t>
    </r>
    <r>
      <rPr>
        <sz val="12"/>
        <rFont val="Times New Roman"/>
        <family val="1"/>
      </rPr>
      <t>: Được cài đặt trên máy tính của giáo viên, mô đun này cung cấp quyền điều khiển lớp học cho giáo viên.
Mô đun cho học viên: Được cài trên máy tính trong lớp học, Mô đun này cung cấp cho học viên khả năng kết nối tới mô đun giáo viên.
Các tính năng chính:
Truyền hình ảnh màn hình: Giáo viên có thể truyền toàn bộ hình ảnh màn hình âm thanh tới máy tính sinh viên, xác định lại kích thước màn hình máy tính sinh viên. Giáo viên cũng có thể truyền màn hình âm thanh với chất lượng cao nhất, trung bình hoặc thấp tới máy tính sinh viên theo tốc độ mạng LAN, kèm theo lời giải thích thông qua Headphone.
Sinh viên minh họa: giáo viên có thể chỉ định một sinh viên đóng vai giáo viên và truyền hình ảnh tới sinh viên khác.
Ghi âm ảo: giáo viên có thể chạy tất cả định dạng hình ảnh hoặc âm thanh tới máy sinh viên bằng cách chia nó thành một vài đoạn và phát tới máy sinh viên. Giáo viên có thể sử dụng để ghi âm và video và sau đó phát lại cho sinh viên. Sinh viên có thể đọc sau đó ghi âm lại và so sánh với bản gốc.
Giám sát và điều khiển: Giáo viên có thể giám sát từ xa và điều khiển máy tính sinh viên, giúp học viên bằng điều khiển từ xa, dạy từ xa bằng việc sử dụng bảng trắng, sinh viên có thể học cùng lúc theo giáo viên bằng hình ảnh và trao đổi bằng âm thanh, bố trí xắp xếp chỗ ngồi.
Quản lý: Giới hạn học sinh lướt Wed; Kiểm soát sử dụng các ứng dụng; Khóa các cổng dùng cho tin nhắn và chát; Kết hợp với các chính sách bảo mật; Làm tối màn hình học viên để tập trung nghe giảng.
Trợ giúp: Thu hút sự tập trung của toàn lớp học; Mở tập tin và chạy các ứng dụng của máy học sinh; Tự động phân phát và thu lại bài tập; Chỉnh sửa bài học của sinh viên, học sinh mẫu; Khởi động và tắt máy tính từ xa.
Tạo nhóm và nói chuyện nhóm: Giáo viên và sinh viên có thể nói chuyện với nhau bằng chat văn bản hoặc âm thanh, Chuyển quyền giảng bài cho học sinh, Thảo luận nhóm có điều khiển, Thảo luận nhóm tự do, Tạo nhóm học tập, Giáo viên có thể tham gia vào hội thoại để trao đổi với một, nhiều, hoặc cả lớp .
Chuẩn bị bài giảng: Giảng bài bằng giáo án đã soạn trước, Ghi trước bài giảng, Chuẩn bị bài giảng bằng USB, Web….
Tạo đề thi: giáo viên có thể sử dụng chức năng Tạo đề thi. Nó bao gồm một vài loại câu hỏi kiểm tra như: một câu trả lời, nhiều câu trả lời, câu lựa chọn v.v… Giáo viên có thể đặt điểm cho từng câu, và thời gian thi cho cả bài thi.
Kiểm tra ngay trên lớp: Đánh giá sự tiến bộ của học sinh trong quá trình giảng dạy, Thiết kế bài kiểm tra và khảo sát bằng Wizard, Quản lý bài kiểm tra bằng hình thức kéo thả, Tự động đánh giá và xếp loại theo thời gian thực, Tùy biến giao diện, giáo viên có thể sử dụng chức năng Kiểm tra ngay trên lớp để xem kết quả ngay lập tức. Nó có 3 kiểu câu hỏi kiểm tra: một câu trả lời, nhiều câu trả lời, câu lựa chọn.
Phân phối tài liệu: giáo viên có thể phân phối file hoặc folder trực tiếp tới sinh viên. Giáo viên có thể lưu file hoặc folder tới địa chỉ cụ thể ở máy sinh viên...
Đầu vào tín hiệu từ DVD / CD-ROM, Video, tín hiệu 
từ Internet, máy tính, USB …
Hệ thống sử dụng được headphone giữa giáo viên với học viên, học viên với giáo viên, học viên với học viên.
Phần mềm được cấp giấy chứng nhận quyền tác giả cùng giấy chứng nhận nhãn hiệu phần mềm được bảo hộ hợp pháp tại Việt Nam, có xác nhận thông số từ nhà sản xuất</t>
    </r>
  </si>
  <si>
    <t>Giáo viên quản lý lớp học thông qua các chức năng, tính năng của phần mềm như sau :
- Chức năng xem màn hình Thumbnail View tất cả các máy học sinh. Giáo viên tạo : Danh sách lớp, sơ đồ lớp, bài kiểm tra viết, kiểm tra đọc hiểu, đề thi trắc nghiệm. Giáo viên từ xa tắt / khởi động lại máy của học sinh. Giáo viên đóng / mở ứng dụng từ xa máy của học sinh. Giáo viên có thể tạo một lớp học mới, cho học sinh đăng ký thông tin để vào lớp ( tên học sinh, ID học sinh, tên lớp ).
- Quảng bá âm thanh.Chức năng trợ giảng và tương tác. Học sinh làm mẫu. Quảng bá Media, Quảng bá Webcam. Chức năng Bảng tương tác. Giám sát và điều khiển màn hình Học sinh. Giám sát âm thanh micro của Học sinh. Chức năng Chat. Chức năng tự động tạo nhóm Đàm Thoại. Chức năng Nhóm. Chức năng Thi Trắc Nghiệm. Bài kiểm tra thông thường.Giáo viên in ra giấy kết quả bài kiểm tra theo từng câu, bài kiểm tra hiển thị tên lớp, tên Giáo viên, tên bài kiểm tra, tên học sinh. Giáo viên có thể tự soạn đề thi hoặc bài kiểm tra theo từng lớp. Hỗ trợ tạo câu hỏi đề thi hoặc kiểm tra bằng file Word.  Chức năng trả lời nhanh. Chức năng Khảo sát.Truyền và nhận tập tin . Chức năng tạm che màn hình học sinh
- Chức năng phân quyền: Web policy : Cấm học sinh truy cập vào trang web, hoặc cho phép học sinh chỉ vào những trang web định sẵn.
Application policy : Cấm học sinh vào những ứng dụng không cần thiết hoặc vào những ứng dụng được định sẵn.
USB, CD policy: Cấm học sinh mở USB, CD.</t>
  </si>
  <si>
    <t xml:space="preserve">Máy tính thương hiệu Việt Nam đồng bộ (Khối CPU, màn hình, phụ kiện cùng thương hiệu), sản xuất trên dây chuyền công nghiệp ISO 9001:2015; ISO 14001: 2015; ISO/IEC 17025:2017; QCVN 118:2018/BTTTT.
Vi xử lý: Vi xử lý: Intel Core i3-12100 (Up to 4.3GHz, 4 nhân 8 luồng, 12MB Cache)
Bo mạch chủ: Intel H610 Chipset Supports 12th Generation Core / Pentium/ Celeron (Socket 1700); 2 x DIMM slots support dual channel DDR4-3200/ 2666/ 2400/ 2133MHz memory up  to  64  GB; 4 x  Serial ATA 6Gb/s port;1 x Case open header;1 x COM header;
Khe gắn mở rộng: 1  x  PCI  Express 3.0  x16 slot;1  x  PCI  Express 3.0 x1  slots;1  x  M.2 slot for SSD;1  x  M.2 Slot for Wifi;
Bộ nhớ: 4GB 2666Mhz.
Đồ họa: Intel HD Graphics tích hợp.
Ổ đĩa cứng: 256GB SSD.
Âm thanh: High  Definition  audio 
Kết nối mạng: 10/100/1000MB Ethernet
Các cổng kết nối sẵn sàng: 
Trước: 2 x USB 3.0; 2 x Audio jacks; Card Reader;
Sau: 2  x  PS/2  mouse / keyboard;1  x  HDMI  port;1  x  D-sub port (VGA port); 1  x  Display Port;2  x  USB  3.2  Gen1  ports ;
1  x  RJ45  LAN  connector ;2  x  USB  2.0  ports;3  x  Audio  jacks;
Keyboard: USB standard Keyboard.
Mouse:  USB Optical Mouse.
Nguồn:  600W PSU.
Thùng máy:  Small Form Factor (SFF).
Màn hình: Kích thước 19.5 inch 16:9 Wide, Độ phân giải 1600 x 900 60Hz, thời gian đáp ứng 5ms, số màu 16.7M. Cổng kết nối: HDMI + VGA
Hệ điều hành: Free DOS.
</t>
  </si>
  <si>
    <r>
      <t>Máy tính đồng bộ thương hiệu Việt Nam - Sản xuất trên dây chuyền công nghiệp (ISO 9001:2015; ISO 27001:2013; QCVN 118:2018)
'</t>
    </r>
    <r>
      <rPr>
        <b/>
        <sz val="11"/>
        <rFont val="Times New Roman"/>
        <family val="1"/>
      </rPr>
      <t>Bo mạch chủ:</t>
    </r>
    <r>
      <rPr>
        <sz val="11"/>
        <rFont val="Times New Roman"/>
        <family val="1"/>
      </rPr>
      <t>'Chipset Intel® H610 Express Intel® Socket LGA1700 S/p Intel® CoreTM, Pentium® Gold and Celeron® processors, VGA &amp; Sound 08 Channel &amp; 1 x LAN port LANGUARD Gigabit onboard,  6 x USB 2.0 (6 port at midboard via 3 x USB connector), 4 x SATA 6.0 Gb/s Ports, 1 x SPDIF out connector, 1 x Chassis intrusion header, 1 x TPM header. (Đồng bộ với thương hiệu máy tính)
Bộ vi xử lý: Intel® Core™ i3 12100 Processor (3.30Ghz up to 4.30GHz/12MB Intel® Smart Cache/4C/8T)
Bộ nhớ : 4GB DDR4 bus 2666MHz 
Ổ cứng: SSD 256GB Sata
Thùng máy và nguồn: mATX with PSU 450W (Đồng bộ với thương hiệu máy tính)
Bàn phím: USB Standard (Đồng bộ với thương hiệu máy tính)
Chuột: USB Optical (Đồng bộ với thương hiệu máy tính)
Khe cắm mở rộng: 3 x PCIe 4.0/3.0 x16 slot; 1 x PCI slot; 1 x M.2 2280, 2260, 2242 (Gen3 x4 PCIE mode); 6 x DIMM DDR4 3200/3000/2933/2800/2666/2400/2133 Non-ECC
Card đồ họa: Intel® UHD Intergrated Graphics.
'Cổng kết nối: 
- Cổng kết nối trước: 1x Headphone; 1x MIC in; 2 x USB 3.1 port(s)
- Cổng kết nối sau:1 x Parallel connector, 1 x D-Sub Port, 1 x DVI-D port, 1 x HDMI port, 1 x Display port, 2 x COM (1 x COM port at back panel, 1 x COM connector ), 1 x USB 3.1 port(s), 1 x USB 3.1 port(s) Type C, 2 x USB 2.0 port at rear panel, 3 x Audio jacks.
Âm thanh: High Definition Channel Audio
Tính năng khác: LANGuard: Bảo vệ chống đột biến điện mạng LAN, sét đánh và phóng tĩnh điện
Kiểm soát Thiết bị Di động: Luôn kiểm soát thông qua thiết bị di động
Bảo mật: Kích hoạt/vô hiệu hóa cổng USB
Khôi phục nhanh hệ thống bằng 1 nút nhấn.
Cho phép xoá sạch sẽ AN TOÀN tất cả dữ liệu ổ cứng
Chứng nhận: Chứng nhận hợp quy/công bố hợp quy theo quy định
Màn hình: 21.5" LED (Kích thước: 21.5", Độ phân giải: 1920 x 1080 (Full HD) (Đồng bộ với thương hiệu máy tính)</t>
    </r>
  </si>
  <si>
    <r>
      <t xml:space="preserve">Tích hợp hần mềm hệ thống quản lý lớp học có bản quyền dành cho Học sinh. Đạt tiêu chuẩn : ISO 9001 : 2015, ISO 27001:2013 + Giấy chứng nhận quyền tác giả của phần mềm.
</t>
    </r>
    <r>
      <rPr>
        <sz val="12"/>
        <rFont val="Times New Roman"/>
        <family val="1"/>
      </rPr>
      <t xml:space="preserve">Học sinh sử dụng và được quản lý thông qua các chức năng, tính năng của phần mềm như sau :
'- Chức năng xin trợ giúp hoặc giơ tay phát biểu : Học sinh dùng chức năng này xin phát biểu hoặc xin Giáo viện giúp đỡ trong quá trình học.
'- Chức năng gửi tin nhắn hoặc chat : Học sinh dùng chức năng này để gửi tin nhắn hoặc chat với Giáo viên.
'- Chức năng gửi tập tin, nộp bài : Học sinh đề nghị gửi một tập tin đến giáo viên để hỏi hoặc nộp bài tập, nếu Giáo viên đồng ý nhận thì quá trình này bắt đầu cho đến lúc kết thúc
'- Xem tập tin hoặc nhận tài liệu của Giáo viên : Học sinh dùng chức năng này để mở các tập tin mà giáo viên đã gửi.
'- Xem tống kết điểm bài kiểm tra mà học sinh đã từng làm
'- Chức năng hỗ trợ học sinh chụp hình lại bài giảng của Giáo Viên bằng file hình ảnh (JPG) hoặc ghi lại bài giảng giáo viên thành file Video để xem lại sau này. </t>
    </r>
  </si>
  <si>
    <t>Thiết bị kết nối mạng</t>
  </si>
  <si>
    <t xml:space="preserve"> - 2 x Swith 24 Port 10/100Mbps 
-1 x Swith 8 Port 10/100Mbps tự động chuyển chế độ cáp thẳng hoặc chéo (MDI/MDI-X). Băng thông Full Duplex cho mỗi port là 200Mbps.
- Đạt tiêu chuẩn: UL (UL 60950), CSA (CSA 22.2), CE mark, FCC Part 15 (CFR 47) Class A.
- Nguồn điện: 12VDC/1A.</t>
  </si>
  <si>
    <t xml:space="preserve"> UPS </t>
  </si>
  <si>
    <t>UPS 1KVA
Công suất: 1000VA /600W
Công suất:600W
Điện áp đầu vào:220V
Tần số đầu vào:46 - 54Hz
Điện áp đầu ra:220V</t>
  </si>
  <si>
    <t xml:space="preserve">Hê thống mạng </t>
  </si>
  <si>
    <t xml:space="preserve">Cáp điện cadivi 
- Cáp chính 3.0. Cáp phụ : 1.0 
- Hộp điện 6 lỗ Sino : 46 cái 
- 1 x CB tổng 50 A ( 1 pha hoặc 3 pha) 
- Ống ruột gà
- Họp nhựa bán nguyệt
- Đinh, vis, băng keo các loại 
- Công lắp đặt các loại 
</t>
  </si>
  <si>
    <t xml:space="preserve">Phòng </t>
  </si>
  <si>
    <t xml:space="preserve">Ổn áp </t>
  </si>
  <si>
    <t>Loại thiết bị : Ổn áp tự động 1 PHA
Dải điện áp : 140--240 V
Công suất : 20 KVA
Điện áp vào : 220V AC
Điện áp ra : 220 V + 110 V</t>
  </si>
  <si>
    <t xml:space="preserve"> Âm thanh phòng vi tính</t>
  </si>
  <si>
    <t xml:space="preserve">Máy lạnh 1,5HP
Công xuất làm lạnh: 12000 BTU
Nguồn điện : 220V/50Hz/1.5A
Vật tư lắp đặt:  ông đồng, cáp Điện, ống nước PVC, ke lắp đặt dàn nóng, đinh , vis các loại, công lắp đặt 
</t>
  </si>
  <si>
    <t xml:space="preserve">Phòng Anh văn </t>
  </si>
  <si>
    <t xml:space="preserve">Thiết Bị Cơ Bản </t>
  </si>
  <si>
    <t>Bàn học phòng anh văn</t>
  </si>
  <si>
    <t>Bàn: 1200 x 500x 750 + 400 mm
Vật liệu:
Bàn khung sắt dày 1,2 ly gồm  25 x 50, Vuông 25 x 25, Vuông 20 x 20 , sơn tĩnh điện 
+ Mặt bàn, đáy bàn , hậu gỗ cao su ghép dày 18mm sơn PU
+ Phía trước kính trắng dày 5mm cường lực</t>
  </si>
  <si>
    <t>điều chỉnh số lượng dùng cho 2phòng</t>
  </si>
  <si>
    <t>Thiết Bị Chuyên Dùng ,Thiết Bị Đồng  Bộ Không Thể tách rời</t>
  </si>
  <si>
    <t>Máy vi tính Giáo viên Chuyên Dụng</t>
  </si>
  <si>
    <t>Bộ điều khiển chính</t>
  </si>
  <si>
    <t>Bộ điều khiển chính 
'Tính năng: Bộ điều khiển chính có đầy đủ tính năng của Lab hiện đại, Xử lý kênh đôi cho tất cả các kênh âm thanh ( âm thanh nổi stereo ), Có ngõ vào stereo cho các nguồn âm thanh bên ngoài, Có ngõ ra stereo cho loa ngoài, được điều khiển trực tiếp trên máy tính.</t>
  </si>
  <si>
    <t>Bộ nguồn cung cấp</t>
  </si>
  <si>
    <t>Bộ nguồn cung cấp AA
Nguồn điện vào AC 220V/110V
Nguồn điện ra  ± 9V 
Công tác tắt mở hệ thống Lab.
Công tác tắt mở PC
Jack in cho mic và headphone giáo viên</t>
  </si>
  <si>
    <t xml:space="preserve">Cassett chuyên dụng </t>
  </si>
  <si>
    <t>Cassett Chuyên Dụng 
Xử lý và cung cấp nguồn âm thanh cho giáo viên và học viên USB hoặc thẻ nhớ SD
Bộ ghi và chạy âm thanh nổi (một bộ chạy kênh A, một bộ chạy kênh B)
Chương trình AB lặp lại, thiết lập lại chức năng
Điều khiển được 4 tốc độ: Fast, normal, slow, very slow
Đánh dấu lặp lại một đoạn băng bất kỳ với số lần định trước, luyện khả năng nghe, nói, đọc, viết.
Được điều khiển hoàn toàn qua máy tính</t>
  </si>
  <si>
    <t>PM</t>
  </si>
  <si>
    <t>Phần mềm cài đặt cho máy tính giáo viên phòng chuyên dụng:</t>
  </si>
  <si>
    <t xml:space="preserve"> Phần mềm điều khiển
  Quản lý, giám sát hoạt động của hệ thống và điều khiển trực tiếp hệ thống qua giao diện đồ họa Windows</t>
  </si>
  <si>
    <t>- Phần mềm điều khiển
  Quản lý, giám sát hoạt động của hệ thống và điều khiển trực tiếp hệ thống qua giao diện đồ họa Windows</t>
  </si>
  <si>
    <t>Tích hợp Bộ học liệu điện tử Smart Elearning, Bộ học liệu điện tử Video Tiếng Anh tích hợp Toán, Khoa học</t>
  </si>
  <si>
    <t>1. Bộ học liệu điện tử Smart Elearning (Đã đăng ký bản quyền tác giả)</t>
  </si>
  <si>
    <t>Tính năng chính:</t>
  </si>
  <si>
    <t>Hỗ trợ giáo viên xây dựng kế hoạch bài dạy, giáo án (điện tử), bài giảng (điện tử), học liệu (điện tử), bài tập, bài kiểm tra đánh giá.</t>
  </si>
  <si>
    <t>Học sinh có thể học qua phần Bài giảng đóng gói từ phần mềm Smart Elearning và phần mềm Smart English của giáo viên gửi cho học sinh</t>
  </si>
  <si>
    <t>Học sinh học Tiếng Anh bằng các chức năng: Ghi âm, luyện nghe tự động, các dạng bài tập hỗ trợ, Dữ liệu bải giảng, âm thanh phần mềm Smart English.</t>
  </si>
  <si>
    <t xml:space="preserve">  </t>
  </si>
  <si>
    <t>Học sinh đăng nhập tài khoản và học bài qua Video giáo viên dạy trực tiếp và tham gia trả lời câu hỏi trên hệ thống học trực tuyến.</t>
  </si>
  <si>
    <t xml:space="preserve"> Hệ thống thư viện bài giảng được xây dựng theo chuẩn Elearning, đa dạng phong phú với hơn 10000 bài giảng được chia thành các khối lớp, các môn học, các chủ đề khác nhau.</t>
  </si>
  <si>
    <t>Kho thư viện bài giảng và tư liệu giảng dạy liên tục được bổ sung cả về số lượng và chất lượng, là nguồn tư liệu giảng dạy vô cùng phong phú và chất lượng hỗ trợ giáo viên.</t>
  </si>
  <si>
    <t>1.   Xây dựng bài giảng mới</t>
  </si>
  <si>
    <t>2.   Quản lý dữ liệu bài giảng - mở bài giảng</t>
  </si>
  <si>
    <t>3.   Quản lý dữ liệu hình ảnh, Quản lý dữ liệu video, âm thanh.</t>
  </si>
  <si>
    <t>4.   Hình vẽ khó</t>
  </si>
  <si>
    <t>5.   Biểu đồ</t>
  </si>
  <si>
    <t>Người dùng chỉ cần tạo nội dung và giá trị biểu diễn, lựa chọn dạng biểu đồ. Phần mềm sẽ vẽ ngay ra Biểu đồ cần thiết.</t>
  </si>
  <si>
    <t>1.   Trò chơi ô chữ</t>
  </si>
  <si>
    <t>2.   Đồ thị hàm số</t>
  </si>
  <si>
    <t>3.   Xây dựng các dạng câu hỏi tương tác</t>
  </si>
  <si>
    <t>4.   Bảng biểu</t>
  </si>
  <si>
    <t>5.   Chuyển đỗi dữ liệu đinh dạng Powerpoint</t>
  </si>
  <si>
    <t>-       Phần mềm cho phép chuyển đổi dữ liệu định dạng powerpoint (*pptx) vào trong bài giảng để có thể sử dụng những tính năng hỗ trợ của phần mềm tạo ra 1 bài giảng tương tác khác.</t>
  </si>
  <si>
    <t>6.   Nhập công thức Latex, ký tự đặc biệt</t>
  </si>
  <si>
    <t>7.   Hiệu ứng chuyển trang, hiệu ứng đối tượng: hiệu ứng làm đẹp và hiệu ứng chuyển động.</t>
  </si>
  <si>
    <t>8.   Phát âm tiếng anh.</t>
  </si>
  <si>
    <t>-       Chức năng này cho phép phát âm bất cứ 1 đoạn text Tiếng Anh nào khi ta đưa vào chương trình.</t>
  </si>
  <si>
    <t>-       Ngôn ngữ Tiếng anh chuẩn Microsoft</t>
  </si>
  <si>
    <t>-       Giọng đọc nam, nữ theo lựa chọn</t>
  </si>
  <si>
    <t>9.   Chèn liên kết</t>
  </si>
  <si>
    <t>10.         Chức năng trình chiếu: Thuyết minh bài giảng</t>
  </si>
  <si>
    <t>11.         Đóng gói bài giảng</t>
  </si>
  <si>
    <t>1.2 Bộ học liệu điện tử Smart English (Đã đăng ký bản quyền tác giả)</t>
  </si>
  <si>
    <r>
      <t>1.</t>
    </r>
    <r>
      <rPr>
        <sz val="7"/>
        <rFont val="Times New Roman"/>
        <family val="1"/>
      </rPr>
      <t xml:space="preserve">      </t>
    </r>
    <r>
      <rPr>
        <sz val="13"/>
        <rFont val="Times New Roman"/>
        <family val="1"/>
      </rPr>
      <t>Hệ thống thư viện bài giảng Tiếng Anh</t>
    </r>
  </si>
  <si>
    <r>
      <t>-</t>
    </r>
    <r>
      <rPr>
        <sz val="7"/>
        <rFont val="Times New Roman"/>
        <family val="1"/>
      </rPr>
      <t xml:space="preserve">         </t>
    </r>
    <r>
      <rPr>
        <sz val="13"/>
        <rFont val="Times New Roman"/>
        <family val="1"/>
      </rPr>
      <t>Hệ thống thư viện bài giảng môn Tiếng Anh được xây dựng theo chuẩn  đa dạng phong phú với hơn 600 bài giảng được chia thành các khối lớp khác nhau.</t>
    </r>
  </si>
  <si>
    <r>
      <t>-</t>
    </r>
    <r>
      <rPr>
        <sz val="7"/>
        <rFont val="Times New Roman"/>
        <family val="1"/>
      </rPr>
      <t xml:space="preserve">         </t>
    </r>
    <r>
      <rPr>
        <sz val="13"/>
        <rFont val="Times New Roman"/>
        <family val="1"/>
      </rPr>
      <t>Kho thư viện bài giảng và tư liệu giảng dạy liên tục được bổ sung cả về số lượng và chất lượng, là nguồn tư liệu giảng dạy vô cùng phong phú và chất lượng hỗ trợ giáo viên.</t>
    </r>
  </si>
  <si>
    <r>
      <t>2.</t>
    </r>
    <r>
      <rPr>
        <sz val="7"/>
        <rFont val="Times New Roman"/>
        <family val="1"/>
      </rPr>
      <t xml:space="preserve">      </t>
    </r>
    <r>
      <rPr>
        <sz val="13"/>
        <rFont val="Times New Roman"/>
        <family val="1"/>
      </rPr>
      <t>Xây dựng bài giảng mới</t>
    </r>
  </si>
  <si>
    <r>
      <t>-</t>
    </r>
    <r>
      <rPr>
        <sz val="7"/>
        <rFont val="Times New Roman"/>
        <family val="1"/>
      </rPr>
      <t xml:space="preserve">         </t>
    </r>
    <r>
      <rPr>
        <sz val="13"/>
        <rFont val="Times New Roman"/>
        <family val="1"/>
      </rPr>
      <t>Cho phép người dùng nhanh chóng, dễ dàng xây dựng bài giảng Tiếng Anh mới dựa theo những công cụ đã tích hợp sẵn trên phần mềm.</t>
    </r>
  </si>
  <si>
    <r>
      <t>3.</t>
    </r>
    <r>
      <rPr>
        <sz val="7"/>
        <rFont val="Times New Roman"/>
        <family val="1"/>
      </rPr>
      <t xml:space="preserve">      </t>
    </r>
    <r>
      <rPr>
        <sz val="13"/>
        <rFont val="Times New Roman"/>
        <family val="1"/>
      </rPr>
      <t>Quản lý dữ liệu bài giảng - mở bài giảng</t>
    </r>
  </si>
  <si>
    <r>
      <t>-</t>
    </r>
    <r>
      <rPr>
        <sz val="7"/>
        <rFont val="Times New Roman"/>
        <family val="1"/>
      </rPr>
      <t xml:space="preserve">         </t>
    </r>
    <r>
      <rPr>
        <sz val="13"/>
        <rFont val="Times New Roman"/>
        <family val="1"/>
      </rPr>
      <t>Chức năng này cho phép người dùng mở bài giảng đã lưu trên máy tính cá nhân. Người dùng tạo Thư viện quản lý riêng, có chứa những bài giảng đã chuẩn bị riêng để sử dụng phần mềm.</t>
    </r>
  </si>
  <si>
    <r>
      <t>4.</t>
    </r>
    <r>
      <rPr>
        <sz val="7"/>
        <rFont val="Times New Roman"/>
        <family val="1"/>
      </rPr>
      <t xml:space="preserve">      </t>
    </r>
    <r>
      <rPr>
        <sz val="13"/>
        <rFont val="Times New Roman"/>
        <family val="1"/>
      </rPr>
      <t>Quản lý dữ liệu hình ảnh, Quản lý dữ liệu video, Quản lý dữ liệu âm thanh</t>
    </r>
  </si>
  <si>
    <r>
      <t>-</t>
    </r>
    <r>
      <rPr>
        <sz val="7"/>
        <rFont val="Times New Roman"/>
        <family val="1"/>
      </rPr>
      <t xml:space="preserve">         </t>
    </r>
    <r>
      <rPr>
        <sz val="13"/>
        <rFont val="Times New Roman"/>
        <family val="1"/>
      </rPr>
      <t xml:space="preserve">Kho dữ liệu đa dạng, phong phú với tư liệu giảng dạy gồm: hình ảnh, video, âm thanh được xây dựng bám sát nội dung. </t>
    </r>
  </si>
  <si>
    <r>
      <t>-</t>
    </r>
    <r>
      <rPr>
        <sz val="7"/>
        <rFont val="Times New Roman"/>
        <family val="1"/>
      </rPr>
      <t xml:space="preserve">         </t>
    </r>
    <r>
      <rPr>
        <sz val="13"/>
        <rFont val="Times New Roman"/>
        <family val="1"/>
      </rPr>
      <t>Cho phép người dùng chèn hình ảnh từ, video: máy tính, từ Google và từ Thư viện.</t>
    </r>
  </si>
  <si>
    <r>
      <t>-</t>
    </r>
    <r>
      <rPr>
        <sz val="7"/>
        <rFont val="Times New Roman"/>
        <family val="1"/>
      </rPr>
      <t xml:space="preserve">         </t>
    </r>
    <r>
      <rPr>
        <sz val="13"/>
        <rFont val="Times New Roman"/>
        <family val="1"/>
      </rPr>
      <t>Thay đổi thuộc tính hình ảnh, video: Thay đổi vị trí, phóng to, thu nhỏ, tạo hiệu ứng chuyển động, hiệu ứng.</t>
    </r>
  </si>
  <si>
    <r>
      <t>-</t>
    </r>
    <r>
      <rPr>
        <sz val="7"/>
        <rFont val="Times New Roman"/>
        <family val="1"/>
      </rPr>
      <t xml:space="preserve">         </t>
    </r>
    <r>
      <rPr>
        <sz val="13"/>
        <rFont val="Times New Roman"/>
        <family val="1"/>
      </rPr>
      <t>Gán âm thanh, gán liên kết lên đối tượng</t>
    </r>
  </si>
  <si>
    <r>
      <t>5.</t>
    </r>
    <r>
      <rPr>
        <sz val="7"/>
        <rFont val="Times New Roman"/>
        <family val="1"/>
      </rPr>
      <t xml:space="preserve">      </t>
    </r>
    <r>
      <rPr>
        <sz val="13"/>
        <rFont val="Times New Roman"/>
        <family val="1"/>
      </rPr>
      <t>Thực hiện theo nhiệm vụ và giải pháp của việc nâng cao chất lượng môn học Tiếng Anh, bám sát chương trình của Bộ giáo dục và Đào tạo, đảm bảo phát triển các kỹ năng: Nghe – Nói – Đọc – Viết.</t>
    </r>
  </si>
  <si>
    <r>
      <t>6.</t>
    </r>
    <r>
      <rPr>
        <sz val="7"/>
        <rFont val="Times New Roman"/>
        <family val="1"/>
      </rPr>
      <t xml:space="preserve">      </t>
    </r>
    <r>
      <rPr>
        <sz val="13"/>
        <rFont val="Times New Roman"/>
        <family val="1"/>
      </rPr>
      <t>Chức năng Text-to-Speech: cho phép chuyển đổi văn bản thành file audio theo giọng đọc Nam – Nữ; Có thể điều chỉnh âm độ, tốc độ đọc để tạo bài đọc mẫu, học sinh luyện kỹ năng nghe.</t>
    </r>
  </si>
  <si>
    <t>7. Thêm ảnh: Thêm ảnh từ các nguồn</t>
  </si>
  <si>
    <r>
      <t>-</t>
    </r>
    <r>
      <rPr>
        <sz val="7"/>
        <rFont val="Times New Roman"/>
        <family val="1"/>
      </rPr>
      <t xml:space="preserve">         </t>
    </r>
    <r>
      <rPr>
        <sz val="13"/>
        <rFont val="Times New Roman"/>
        <family val="1"/>
      </rPr>
      <t>Thư viện: Hình ảnh có trong các giáo trình sách giáo khoa của Bộ GD&amp;ĐT (6 bộ) và các hình ảnh tham khảo khác.</t>
    </r>
  </si>
  <si>
    <r>
      <t>-</t>
    </r>
    <r>
      <rPr>
        <sz val="7"/>
        <rFont val="Times New Roman"/>
        <family val="1"/>
      </rPr>
      <t xml:space="preserve">         </t>
    </r>
    <r>
      <rPr>
        <sz val="13"/>
        <rFont val="Times New Roman"/>
        <family val="1"/>
      </rPr>
      <t>Từ máy tính và tìm kiếm trên môi trường Internet</t>
    </r>
  </si>
  <si>
    <r>
      <t>8.</t>
    </r>
    <r>
      <rPr>
        <sz val="7"/>
        <rFont val="Times New Roman"/>
        <family val="1"/>
      </rPr>
      <t xml:space="preserve">      </t>
    </r>
    <r>
      <rPr>
        <sz val="13"/>
        <rFont val="Times New Roman"/>
        <family val="1"/>
      </rPr>
      <t>Thêm văn bản: Chức năng cơ bản của phần mềm, tạo nhanh các đoạn văn bản, text theo nội dung của bài giảng. Có thể gán hiệu ứng, gán âm thanh và liên kết đến đoạn văn bản vừa tạo.</t>
    </r>
  </si>
  <si>
    <r>
      <t>9.</t>
    </r>
    <r>
      <rPr>
        <sz val="7"/>
        <rFont val="Times New Roman"/>
        <family val="1"/>
      </rPr>
      <t xml:space="preserve">      </t>
    </r>
    <r>
      <rPr>
        <sz val="13"/>
        <rFont val="Times New Roman"/>
        <family val="1"/>
      </rPr>
      <t>Thêm video, audio: Thêm Video, Audio từ các nguồn: Từ máy tính, Google hoặc dùng chức năng ghi âm, ghi màn hình của phần mềm.</t>
    </r>
  </si>
  <si>
    <r>
      <t>10.</t>
    </r>
    <r>
      <rPr>
        <sz val="7"/>
        <rFont val="Times New Roman"/>
        <family val="1"/>
      </rPr>
      <t xml:space="preserve">      </t>
    </r>
    <r>
      <rPr>
        <b/>
        <sz val="13"/>
        <rFont val="Times New Roman"/>
        <family val="1"/>
      </rPr>
      <t xml:space="preserve"> </t>
    </r>
    <r>
      <rPr>
        <sz val="13"/>
        <rFont val="Times New Roman"/>
        <family val="1"/>
      </rPr>
      <t>Các dạng bài tập: Có 15 dạng bài tập tương tác và trò chơi Ô chữ thực hiện việc phát triển đầy đủ kỹ năng Nghe – Nói – Đọc – Viết trong môn học Tiếng Anh.</t>
    </r>
  </si>
  <si>
    <r>
      <t>-</t>
    </r>
    <r>
      <rPr>
        <sz val="7"/>
        <rFont val="Times New Roman"/>
        <family val="1"/>
      </rPr>
      <t xml:space="preserve">         </t>
    </r>
    <r>
      <rPr>
        <sz val="13"/>
        <rFont val="Times New Roman"/>
        <family val="1"/>
      </rPr>
      <t>Trắc nghiệm nhiêu lựa chọn</t>
    </r>
  </si>
  <si>
    <r>
      <t>-</t>
    </r>
    <r>
      <rPr>
        <sz val="7"/>
        <rFont val="Times New Roman"/>
        <family val="1"/>
      </rPr>
      <t xml:space="preserve">         </t>
    </r>
    <r>
      <rPr>
        <sz val="13"/>
        <rFont val="Times New Roman"/>
        <family val="1"/>
      </rPr>
      <t>Trắc nghiệm đúng sai</t>
    </r>
  </si>
  <si>
    <r>
      <t>-</t>
    </r>
    <r>
      <rPr>
        <sz val="7"/>
        <rFont val="Times New Roman"/>
        <family val="1"/>
      </rPr>
      <t xml:space="preserve">         </t>
    </r>
    <r>
      <rPr>
        <sz val="13"/>
        <rFont val="Times New Roman"/>
        <family val="1"/>
      </rPr>
      <t>Trắc nghiệm 1 lựa chọn</t>
    </r>
  </si>
  <si>
    <r>
      <t>-</t>
    </r>
    <r>
      <rPr>
        <sz val="7"/>
        <rFont val="Times New Roman"/>
        <family val="1"/>
      </rPr>
      <t xml:space="preserve">         </t>
    </r>
    <r>
      <rPr>
        <sz val="13"/>
        <rFont val="Times New Roman"/>
        <family val="1"/>
      </rPr>
      <t>Bài tập ẩn hiện từ</t>
    </r>
  </si>
  <si>
    <r>
      <t>-</t>
    </r>
    <r>
      <rPr>
        <sz val="7"/>
        <rFont val="Times New Roman"/>
        <family val="1"/>
      </rPr>
      <t xml:space="preserve">         </t>
    </r>
    <r>
      <rPr>
        <sz val="13"/>
        <rFont val="Times New Roman"/>
        <family val="1"/>
      </rPr>
      <t>Bài tập điền khuyết</t>
    </r>
  </si>
  <si>
    <r>
      <t>-</t>
    </r>
    <r>
      <rPr>
        <sz val="7"/>
        <rFont val="Times New Roman"/>
        <family val="1"/>
      </rPr>
      <t xml:space="preserve">         </t>
    </r>
    <r>
      <rPr>
        <sz val="13"/>
        <rFont val="Times New Roman"/>
        <family val="1"/>
      </rPr>
      <t>Bài tập lựa chọn từ</t>
    </r>
  </si>
  <si>
    <r>
      <t>-</t>
    </r>
    <r>
      <rPr>
        <sz val="7"/>
        <rFont val="Times New Roman"/>
        <family val="1"/>
      </rPr>
      <t xml:space="preserve">         </t>
    </r>
    <r>
      <rPr>
        <sz val="13"/>
        <rFont val="Times New Roman"/>
        <family val="1"/>
      </rPr>
      <t>Bài tập kéo thả từ</t>
    </r>
  </si>
  <si>
    <r>
      <t>-</t>
    </r>
    <r>
      <rPr>
        <sz val="7"/>
        <rFont val="Times New Roman"/>
        <family val="1"/>
      </rPr>
      <t xml:space="preserve">         </t>
    </r>
    <r>
      <rPr>
        <sz val="13"/>
        <rFont val="Times New Roman"/>
        <family val="1"/>
      </rPr>
      <t>Bài tập ghép đôi</t>
    </r>
  </si>
  <si>
    <r>
      <t>-</t>
    </r>
    <r>
      <rPr>
        <sz val="7"/>
        <rFont val="Times New Roman"/>
        <family val="1"/>
      </rPr>
      <t xml:space="preserve">         </t>
    </r>
    <r>
      <rPr>
        <sz val="13"/>
        <rFont val="Times New Roman"/>
        <family val="1"/>
      </rPr>
      <t>Nghe và đánh số</t>
    </r>
  </si>
  <si>
    <r>
      <t>-</t>
    </r>
    <r>
      <rPr>
        <sz val="7"/>
        <rFont val="Times New Roman"/>
        <family val="1"/>
      </rPr>
      <t xml:space="preserve">         </t>
    </r>
    <r>
      <rPr>
        <sz val="13"/>
        <rFont val="Times New Roman"/>
        <family val="1"/>
      </rPr>
      <t>Nghe và lựa chọn</t>
    </r>
  </si>
  <si>
    <r>
      <t>-</t>
    </r>
    <r>
      <rPr>
        <sz val="7"/>
        <rFont val="Times New Roman"/>
        <family val="1"/>
      </rPr>
      <t xml:space="preserve">         </t>
    </r>
    <r>
      <rPr>
        <sz val="13"/>
        <rFont val="Times New Roman"/>
        <family val="1"/>
      </rPr>
      <t>Nghe và ghép ảnh với ảnh</t>
    </r>
  </si>
  <si>
    <r>
      <t>-</t>
    </r>
    <r>
      <rPr>
        <sz val="7"/>
        <rFont val="Times New Roman"/>
        <family val="1"/>
      </rPr>
      <t xml:space="preserve">         </t>
    </r>
    <r>
      <rPr>
        <sz val="13"/>
        <rFont val="Times New Roman"/>
        <family val="1"/>
      </rPr>
      <t>Nghe và nối text với ảnh</t>
    </r>
  </si>
  <si>
    <r>
      <t>-</t>
    </r>
    <r>
      <rPr>
        <sz val="7"/>
        <rFont val="Times New Roman"/>
        <family val="1"/>
      </rPr>
      <t xml:space="preserve">         </t>
    </r>
    <r>
      <rPr>
        <sz val="13"/>
        <rFont val="Times New Roman"/>
        <family val="1"/>
      </rPr>
      <t>Nghe và kéo thả đáp án hình ảnh</t>
    </r>
  </si>
  <si>
    <r>
      <t>-</t>
    </r>
    <r>
      <rPr>
        <sz val="7"/>
        <rFont val="Times New Roman"/>
        <family val="1"/>
      </rPr>
      <t xml:space="preserve">         </t>
    </r>
    <r>
      <rPr>
        <sz val="13"/>
        <rFont val="Times New Roman"/>
        <family val="1"/>
      </rPr>
      <t>Nghe và chọn hoặc viết câu trả lời</t>
    </r>
  </si>
  <si>
    <r>
      <t>-</t>
    </r>
    <r>
      <rPr>
        <sz val="7"/>
        <rFont val="Times New Roman"/>
        <family val="1"/>
      </rPr>
      <t xml:space="preserve">         </t>
    </r>
    <r>
      <rPr>
        <sz val="13"/>
        <rFont val="Times New Roman"/>
        <family val="1"/>
      </rPr>
      <t>Trắc nghiệm lựa chọn đáp án là hình ảnh</t>
    </r>
  </si>
  <si>
    <r>
      <t>-</t>
    </r>
    <r>
      <rPr>
        <sz val="7"/>
        <rFont val="Times New Roman"/>
        <family val="1"/>
      </rPr>
      <t xml:space="preserve">         </t>
    </r>
    <r>
      <rPr>
        <sz val="13"/>
        <rFont val="Times New Roman"/>
        <family val="1"/>
      </rPr>
      <t>Trò chơi Ô chữ</t>
    </r>
  </si>
  <si>
    <r>
      <t>11.</t>
    </r>
    <r>
      <rPr>
        <sz val="7"/>
        <rFont val="Times New Roman"/>
        <family val="1"/>
      </rPr>
      <t xml:space="preserve">      </t>
    </r>
    <r>
      <rPr>
        <sz val="13"/>
        <rFont val="Times New Roman"/>
        <family val="1"/>
      </rPr>
      <t xml:space="preserve"> Từ điển tương tác: Từ điển tương tác tích hợp sẵn trên phần mềm, cho phép phát âm, dịch nghĩa: Từ, nghĩa từ, cách phát âm, mẫu câu minh họa, hình và hình ảnh động theo từ. </t>
    </r>
  </si>
  <si>
    <r>
      <t>12.</t>
    </r>
    <r>
      <rPr>
        <sz val="7"/>
        <rFont val="Times New Roman"/>
        <family val="1"/>
      </rPr>
      <t xml:space="preserve">      </t>
    </r>
    <r>
      <rPr>
        <sz val="13"/>
        <rFont val="Times New Roman"/>
        <family val="1"/>
      </rPr>
      <t>Ghi âm: Ghi âm giọng đọc giáo viên, học sinh và lưu lại để phục vụ kiểm tra nói, học trực tuyến…đáp ứng yêu cầu đào tạo kỷ năng nói của học sinh.</t>
    </r>
  </si>
  <si>
    <r>
      <t>13.</t>
    </r>
    <r>
      <rPr>
        <sz val="7"/>
        <rFont val="Times New Roman"/>
        <family val="1"/>
      </rPr>
      <t xml:space="preserve">      </t>
    </r>
    <r>
      <rPr>
        <sz val="13"/>
        <rFont val="Times New Roman"/>
        <family val="1"/>
      </rPr>
      <t xml:space="preserve"> Luyện nghe tự động: Chức năng luyện kỹ năng nghe của học sinh, hỗ trợ giáo viên phát âm Tiếng Anh chuẩn ngữ theo giọng đọc Nam, nữ của Microsoft.</t>
    </r>
  </si>
  <si>
    <r>
      <t>14.</t>
    </r>
    <r>
      <rPr>
        <sz val="7"/>
        <rFont val="Times New Roman"/>
        <family val="1"/>
      </rPr>
      <t xml:space="preserve">      </t>
    </r>
    <r>
      <rPr>
        <sz val="13"/>
        <rFont val="Times New Roman"/>
        <family val="1"/>
      </rPr>
      <t xml:space="preserve"> Đóng gói bài giảng</t>
    </r>
  </si>
  <si>
    <r>
      <t>15.</t>
    </r>
    <r>
      <rPr>
        <sz val="7"/>
        <rFont val="Times New Roman"/>
        <family val="1"/>
      </rPr>
      <t xml:space="preserve">      </t>
    </r>
    <r>
      <rPr>
        <sz val="13"/>
        <rFont val="Times New Roman"/>
        <family val="1"/>
      </rPr>
      <t xml:space="preserve">Trình chiếu bài giảng </t>
    </r>
  </si>
  <si>
    <r>
      <t>Phần</t>
    </r>
    <r>
      <rPr>
        <i/>
        <sz val="13"/>
        <rFont val="Times New Roman"/>
        <family val="1"/>
      </rPr>
      <t xml:space="preserve"> mềm tự động cập nhật, bổ sung tính năng mới, chương trình sách giáo khoa mới của Bộ GD&amp;ĐT</t>
    </r>
  </si>
  <si>
    <t>1.3. Bộ học liệu điện tử Video Tiếng Anh tích hợp Toán, Khoa học  (Đã đăng ký bản quyền tác giả)</t>
  </si>
  <si>
    <t xml:space="preserve">- Những thước phim đặt làm riêng của Twig được tạo ra bằng cách sử dụng những đoạn phim tài liệu gồm những cảnh quay từ BBC, NASA, thông tấn xã AP, NHK. Wellcome Trust, ABC và CBS. </t>
  </si>
  <si>
    <t>- Mỗi đoạn phim khoảng 3 phút.</t>
  </si>
  <si>
    <t xml:space="preserve"> - Nguồn tài nguyên phù hợp cho cấp TH, THCS, THPT. Hỗ trợ về mặt giảng dạy tại lớp học và giải thích cho học sinh các hiện tượng và nghiên cứu các bộ môn Vật lí, Hoá học, Sinh học, Toán học và Địa lý và Khoa học và các ứng dụng thế giới thực của chúng.</t>
  </si>
  <si>
    <t xml:space="preserve"> - Các chủ đề chương trình TH, THCS, THPT bao gồm: Vật lí, Hoá học, Sinh học, Toán học, Thí nghiệm, Địa lý con người và Khoa học trái đất. </t>
  </si>
  <si>
    <t xml:space="preserve">• Vật lí: </t>
  </si>
  <si>
    <t>- Điện và mạch điện: Circuits - Mạch điện, Electricity - Điện, Magnets - Nam châm, Experiments – các thí nghiệm</t>
  </si>
  <si>
    <t>- Lực: Applying Force - Lực tác dụng, Newton’s Law - Các định luật Newton, Pressure - Áp suất, Experiments – các thí nghiệm</t>
  </si>
  <si>
    <t xml:space="preserve">- Vũ trụ: Big Bang, Outer Space - Không gian, Satellites - Vệ tinh, Life in the Universe - Sự sống trong vũ trụ, Experiments – các thí nghiệm </t>
  </si>
  <si>
    <t xml:space="preserve">- Năng lượng và Bức xạ: Energy - Năng lượng, Nhiệt, Radioactivity - Bức xạ, Experiments – các thí nghiệm </t>
  </si>
  <si>
    <t xml:space="preserve">- Hệ Mặt trời: Solar System - Hệ Mặt trời, Sun and Stars - Mặt trời và các ngôi sao, The Moon - Mặt trăng, Experiments – các thí nghiệm  </t>
  </si>
  <si>
    <t>- Sóng: EM Spectrum - Phổ phát xạ, Sound - Âm thanh, Visible Light - Ánh sáng nhìn thấy, Experiments – các thí nghiệm</t>
  </si>
  <si>
    <t xml:space="preserve">• Hoá học: </t>
  </si>
  <si>
    <t xml:space="preserve">- Atoms and Bonding - Nguyên tử và liên kết: Atoms - Nguyên tử, Chemical Bonds - Liên kết hóa học, States of Matter - Các trạng thái vật chất, Experiments – các thí nghiệm </t>
  </si>
  <si>
    <t xml:space="preserve">- Chemical Industries - Công nghiệp hóa chất: Food Basics - Thực phẩm cơ bản, Oil Products - Sản phầm từ dầu mỏ, Experiments – các thí nghiệm </t>
  </si>
  <si>
    <t xml:space="preserve">- Periodic Table - Bảng tuần hoàn: Discovering Elements - Khám phá các nguyên tố, Metals - Kim loại, Non-metals - Phi kim, Experiments – các thí nghiệm </t>
  </si>
  <si>
    <t>- Reactions - Phản ứng: Acids and Bases - Axít và Bazơ, Energy Changes - Biến đổi năng lượng, Experiments – các thí nghiệm</t>
  </si>
  <si>
    <r>
      <t>• Sinh học:</t>
    </r>
    <r>
      <rPr>
        <sz val="12"/>
        <rFont val="Times New Roman"/>
        <family val="1"/>
      </rPr>
      <t xml:space="preserve"> </t>
    </r>
  </si>
  <si>
    <t xml:space="preserve">- Human Body - Cơ thể người: Digestion - Tiêu hóa, Heart and Blood - Tim và mạch máu, Lungs - Phổi, Muscles and Bones - Cơ và xương </t>
  </si>
  <si>
    <t xml:space="preserve">- Being Human - Loài người: Brain – Não, Pregnancy - Mang thai, Puberty - Dậy thì, Hormones, Senses - Các giác quan, </t>
  </si>
  <si>
    <t>- Healthy Living – Sống khỏe: Fitness - Thích nghi, Nutrition - Dinh dưỡng, Substance Misuse - Lạm dụng chất gây nghiện, Health and Disease - Sức khỏe và bệnh tật</t>
  </si>
  <si>
    <t>- Adaptation and Evolution - Thích nghi và tiến hóa: Adaptation – Thích nghi, Evolutionary Theory – Thuyết tiến hóa, Extinction – Tuyệt chủng</t>
  </si>
  <si>
    <t xml:space="preserve">- Ecosystems - Các hệ sinh thái: Food chains – Chuỗi thức ăn, Ecosystems – Hệ sinh thái, Changing Ecosystems – Biến đổi hệ sinh thái </t>
  </si>
  <si>
    <t>- Animal Kingdom - Thực vật: Reptiles – Loài bò sát, Mammals – Động vật có vú, Fish – Loài cá, Birds – Loài chim, Invertebrates – Loài không xương sống, Amphibians – Loài lưỡng cư</t>
  </si>
  <si>
    <t>- Cells and DNA - Tế bào và DNA: Using genetics - Ứng dụng hệ di truyền, The cell – Tế bào, Immune Defence – Hệ miễn dịch, Genetics – Di truyền học , DNA</t>
  </si>
  <si>
    <r>
      <t>• Thí nghiệm</t>
    </r>
    <r>
      <rPr>
        <sz val="12"/>
        <rFont val="Times New Roman"/>
        <family val="1"/>
      </rPr>
      <t>: Vật lí, Hoá học, Sinh học</t>
    </r>
  </si>
  <si>
    <t xml:space="preserve">• Toán học: </t>
  </si>
  <si>
    <t xml:space="preserve">- Shape - Hình dạng: 3D Shapes - Các hình 3D, Circles - Hình tròn, Similarity and Transformations - Tương tự và biến đổi, Triangles - Tam giác, Topology - Hình học tôpô, Trigonometry - Lượng giác </t>
  </si>
  <si>
    <t xml:space="preserve">- Space - Không gian: Coordinates - Tọa độ, Lines and Curves - Đường thẳng và đường cong, Scale and Perspective - Thang và phối cảnh </t>
  </si>
  <si>
    <t xml:space="preserve">- Measurement - Phép đo: Ratio and Proportion - Tỉ số và tỉ lệ, Scale and Perspective - Thang và phối cảnh </t>
  </si>
  <si>
    <t xml:space="preserve">- Accuracy and Estimation - Độ chính xác và ước lượng: Proof - Phép chứng minh </t>
  </si>
  <si>
    <t xml:space="preserve">- Number - Số học: Decimals and Fractions - Số thập phân và phân số, Percentages - Phần trăm, Integers and Natural Numbers - Số tự nhiên và số nguyên, Powers - Lũy thừa, Ratio and Proportion - Tỉ số và tỉ lệ, Special Numbers - Số đặc biệt, Number Patterns - Mẫu số, Binary - Số nhị phân </t>
  </si>
  <si>
    <t xml:space="preserve">- Algebra - Đại số: Algebraic Modelling - Đại số mô hình, Coordinates - Tọa độ, Equations - Phương trình, Sets - Chuỗi </t>
  </si>
  <si>
    <t>- Accuracy and Proof - Độ chính xác và phép chứng minh: Accuracy and Estimation - Độ chính xác và ước lượng, Proof - Phép chứng minh</t>
  </si>
  <si>
    <t xml:space="preserve">- Statistics and Probability - Thống kê và xác suất: Probability Modelling - Mô hình xác suất, Extreme Events - Biến cố, Sampling - Mẫu, Statistical Measures - Phép đo thống kê, Charts - Biểu đồ </t>
  </si>
  <si>
    <t>- History of Maths - Lịch sử toán học: Maths Through the Ages 1 - Toán học qua các thời đại, Maths Through the Ages 2 - Toán học qua các thời đại, Maths in Modern History - Lịch sử toán học hiện đại, Great Mathematicians 1 - Những nhà toán học vĩ đại, Great Mathematicians 2 - Những nhà toán học vĩ đại</t>
  </si>
  <si>
    <t>• Khoa học trái đất:</t>
  </si>
  <si>
    <t xml:space="preserve">- Earth’s Resources - Tài nguyên Trái đất: Non-renewable Energy - Năng lượng không thể phục hồi, Renewable Energy - Năng lượng có thể phục hồi, Future of Energy Resources - Các nguồn năng lượng tương lai, Water as a Resource - Tài nguyên nước </t>
  </si>
  <si>
    <t>- Geology - Địa lý: Earth’s Structure - Cấu trúc Trái đất, Earthquakes</t>
  </si>
  <si>
    <t xml:space="preserve">- Động đất, Volcanoes - Núi lửa, Earth’s Rocks – Đá, River Erosion - Xói mòn sông, Coastal Erosion - Xói mòn bờ biển, Glacial Erosion - Xói mòn băng, </t>
  </si>
  <si>
    <t xml:space="preserve">- Human Impacts - Tác động của con người: Changing Atmosphere - Thay đổi khí quyển, Pollution - Ô nhiễm, Humans and the Carbon Cycle - Con người và vòng tuần hoàn của Cacbon </t>
  </si>
  <si>
    <t>- Weather - Thời tiết: Water - Nước, Wind – Gió, Weather Systems - Điều kiện thời tiết, World Climate - Khí hậu toàn cầu</t>
  </si>
  <si>
    <t xml:space="preserve">• Địa lý con người: </t>
  </si>
  <si>
    <t xml:space="preserve">- Orientation and Settlements - Định hướng và định cư: Mapping Earth - Bản đồ Trái đất, Where We Live - Nơi chúng ta sống, Town vs Country - Thị trấn và nông thôn, Travel and Migration - Di chuyển và nhập cư </t>
  </si>
  <si>
    <t>- A Changing World - Một thế giới đang thay đổi: Globalisation - Toàn cầu hóa, Changing Lives - Thay đổi cuộc sống, Unequal World - Thế giới không cân bằng, umans and the Carbon Cycle - Con người và vòng tuần hoàn Cacbon.</t>
  </si>
  <si>
    <t>Phần mềm được cấp giấy chứng nhận quyền tác giả cùng giấy chứng nhận nhãn hiệu phần mềm được bảo hộ hợp pháp tại Việt Nam</t>
  </si>
  <si>
    <t xml:space="preserve">  Khối điều khiển học viên 2 cổng </t>
  </si>
  <si>
    <t>Khối điều khiển học viên 2 cổng 
 kết nối tới 2 máy học viên thông qua Cable
Cổng  COM IN và COM OUT kết nối tiếp tới khối điều khiển học viên kế tiếp.
Điện vào và ra:  ± 9V  
Cổng kết nối tới khối điều khiển học viên COM IN và COM OUT</t>
  </si>
  <si>
    <t xml:space="preserve"> Thiết bị truyền thông
 của học viên </t>
  </si>
  <si>
    <t>Thiết bị truyền thông của học viên 
Màn hình LCD 3" giắc cắm Mic, Headphone, cổng kết nối với Box học viên
* Gọi, nói chuyện, trả lời
* Bấm phím Light để làm sáng, tối màn hình LCD
* Chuyển chế độ nghe tai phải, trái, cả hai bên tai, chỉnh tốc độ nghe lớn, nhỏ.
* Chế độ xem văn bản, trả lời câu hỏi, chỉnh sửa câu trả lời bằng phím Up, Down
* Chế độ chuyển kênh nghe A hoặc B
* Chế độ trả lời thi trắc nghiệm bằng phím A, B, C, D, E, F
* Chế độ học viên cần sự giúp đỡ từ giáo viên qua phím Call
Chức năng nâng cấp ( chọn thêm): 
Cho phép chuyển đổi dạng USB hoặc RJ11
Chức năng bảo vệ, chế độ bảo vệ màn hình cho phép bảo vệ máy khi kết thúc buổi học, cho phép báo động thông qua smartphone ( android và iOS) báo động khi có học viên mở màn hình hoặc tháo dỡ máy khi không có giáo viên ở lớp, cho phép giáo viên chia sẻ nội dung thông báo báo động cho người khác khi giáo viên đi công tác.
ISO9001 CB, CE, TOT2017</t>
  </si>
  <si>
    <t xml:space="preserve">Tai nghe cho giáo viên và học viên </t>
  </si>
  <si>
    <t>Tai nghe học viên và giáo viên
* Chắn từ trường
* Trở kháng đầu ra 16W
* Trở kháng đầu vào: 200W</t>
  </si>
  <si>
    <t>Cable kết nối</t>
  </si>
  <si>
    <t xml:space="preserve">Hệ thống cable kết nối 
</t>
  </si>
  <si>
    <t>HV</t>
  </si>
  <si>
    <t>Vật tư phụ  thi công lắp đặt</t>
  </si>
  <si>
    <t xml:space="preserve">- Nẹp nhựa, đinh ốc, nẹp bán nguyệt, nẹp vuông 
- Cáp điện, ổ cắm 6 lổ, CB </t>
  </si>
  <si>
    <t>Máy Lạnh 1,5HP</t>
  </si>
  <si>
    <t>Bảng tương tác thông minh</t>
  </si>
  <si>
    <r>
      <rPr>
        <b/>
        <sz val="12"/>
        <rFont val="Times New Roman"/>
        <family val="1"/>
      </rPr>
      <t xml:space="preserve">
1. Kích thước:</t>
    </r>
    <r>
      <rPr>
        <sz val="12"/>
        <rFont val="Times New Roman"/>
        <family val="1"/>
      </rPr>
      <t xml:space="preserve">
- 65 inchs Đường chéo ;
- Kích thước/kích thước đóng gói: 1598x869x99mm/ 1758x1029x230mm
</t>
    </r>
    <r>
      <rPr>
        <b/>
        <sz val="12"/>
        <rFont val="Times New Roman"/>
        <family val="1"/>
      </rPr>
      <t>2. Hiển thị</t>
    </r>
    <r>
      <rPr>
        <sz val="12"/>
        <rFont val="Times New Roman"/>
        <family val="1"/>
      </rPr>
      <t xml:space="preserve">
- Vùng hiển thị: 1430.4(H) x 805.9(V)mm
- Tỷ lệ khung hình: 16:9
- Độ sáng: 400cd/㎡
- Kiểu màn hình: DLED
- Độ phân giải màn hình: 3840x2160( 4K)
- Tỷ lệ tương phản: 4000:1
-  Góc nhìn tối đa: 178°(V)/178°(H)
- Hỗ trợ điểm chạm: 20 điểm tiếp xúc
- Công nghệ cảm ứng: Cảm ứng hồng ngoại
- Chất liệu bề mặt viết cảm ứng: Kính cường lực 4mm, kính chịu nhiệt, kính chống chói chống nhòe và dấu vân tay.
- Tuổi thọ màn hình hơn 60.000 giờ
</t>
    </r>
    <r>
      <rPr>
        <b/>
        <sz val="12"/>
        <rFont val="Times New Roman"/>
        <family val="1"/>
      </rPr>
      <t>3. Hệ điều hành</t>
    </r>
    <r>
      <rPr>
        <sz val="12"/>
        <rFont val="Times New Roman"/>
        <family val="1"/>
      </rPr>
      <t xml:space="preserve">
- Sử dụng hệ điều hành kép Android  11.0 + Windows 10 PRO
- Cấu hình Android
   + Phiên bản hệ thống: Android 11.0
   + Ram/rom: 4G/32G
- Hổ Trợ OPS-PC chạy hệ điều hành Windown
   + Bộ xử lý: Intel® Core™ Processor I5-7400 (4 Cores,3,0-3,5GHz)
   + Bộ nhớ trong: 8GB DDR4，512GB hard drive
   + Card video: Intel®️ HD Graphics 630
   + LAN: Gigabit Ethernet
   + Kết nối không dây: 2.4G &amp; 5G</t>
    </r>
    <r>
      <rPr>
        <b/>
        <sz val="12"/>
        <rFont val="Times New Roman"/>
        <family val="1"/>
      </rPr>
      <t/>
    </r>
  </si>
  <si>
    <t xml:space="preserve">- Kiểu công nghệ: bảng cảm ứng hồng ngoại 94"
- Kiểu viết: Cảm ứng bằng bằng tay hoặc bút. Có thể thay đổi màu viết trên bảng khác nhau. Có thể chỉnh sửa, viết, vẽ ,..
- Thời gian phản hồi: 4ms-12ms, 180 điểm / giây
- Độ phân giải: 32768x32768, 520 LPI
- Độ chình xác: ± 1mm
-Bề mặt bảng: Thép- gốm (E3)/ Thép sơn
-Giao diện: USB 2.0 (Chuẩn HID)
-Tương thích: Windows 10/8.1/7/Vista/XP; Mac; Linux
- Cảm ứng đa điểm: 10 điểm
Điện năng tiêu thụ: USB 5V
- Tốc độ quét: 125 điểm / giây.
- Độ chính xác : 1mm
- Giao diện : USB, chuẩn A-B
-  Công suất tiêu thụ: &lt;0.5W
- Hệ điều hành tương thích: hỗ trợ 
không cần cài đặt (plug &amp; play) đối với WinXP/ Vista/ 7/ 8/ 32bit hoặc 70bit.
Kích thước bảng:2062 x 1245 x 32mm
Kích thước đóng gói: 2150 x 1400 x 80mm
Cân nặng: 24 kg
Cân nặng đóng gói: 38 kg
Phụ kiện đi  kèm: Bút x 2, Phần mềm x 1, Cáp USB x 1, khung treo tường x 1
Bảo hành: 12 tháng, Xuất xứ: Trung Quốc.
Phần mềm phát triển bài giảng tương tác (điều khiển tích hợp)
1. Giao diện bằng ngôn ngữ tiếng Việt giúp giáo viên và học sinh dễ dàng sử dụng. Có thể chuyển đổi giao diện sang nhiều ngôn ngữ khác như Anh / Tây Ban Nha / Nga / Trung Quốc / Thái Lan / Thổ Nhĩ Kỳ / …
2. Nhập bài giảng / giáo án của giáo viên bất kỳ lúc nào dưới dạng file PPT, Word, Excel, PDF (.ppt/ .pptx/ .xls/ .xlsx/ .doc/ pdf)
3. Bổ sung / sao chép / xóa bài giảng trên danh sách
4. Tìm kiếm tài liệu tiếp trên Internet và chèn nội dung trang web vào trang
5. Lưu nội dung trang / bài giảng đang dạy dở của giáo viên dưới dạng file Rio để tiết sau tiếp tục dạy mà không phải dạy lại từ đầu
6. Chức năng chụp hình, chụp văn bản từ bên ngoài để giáo viên có tài liệu giảng dạy ngay lập tức vào trang
7. Chức năng ghi lại các hoạt động trong quá trình giảng dạy của giáo viên dưới dạng file video làm tư liệu học tập cho học sinh hoặc giám sát hoạt động giảng dạy của giáo viên từ xa
8. Cung cấp bộ sưu tập / giáo trình do giáo viên biên soạn để giảng dạy
9. Chức năng xem trước danh sách giáo án giảng dạy cho giáo viên
10. Chức năng khởi tạo trang mới với trang trắng / trang đen / trang xanh / trang nền 
11. Chức năng dịch chuyển trang tới / lui
12. Chức năng đóng đầy màn hình hoặc một phần do giáo viên điều chỉnh tùy ý
13. Cung cấp bút viết với ba chế độ bút thường / bút mềm / bút lông và có thể điều chỉnh nét bút, màu sắc mực viết
14. Cung cấp bút huỳnh quang để đánh dấu các điểm, ý cần nhấn mạnh
15. Cung cấp chế độ tẩy chữ viết hoặc hình ảnh theo đối tượng hoặc tẩy nhỏ
16. Cung cấp bút tạo sáng với những hình ảnh ngộ nghĩnh thoải mái trong học tập
17. Nhận diện chữ viết tay, chữ viết đánh máy
18. Chọn kiểu thao tác nhanh theo bảng trắng hoặc hình nền
19. Chiếu đèn sáng làm nổi bật phần cần nhấn mạnh trong trang đang giảng dạy
20. Chức năng phóng to / thu nhỏ từng điểm và di chuyển điểm trong toàn trang
21. Trang có thể di chuyển hoặc phòng to thu nhỏ
22. Chức năng cắt và chèn hình
23. Chức năng chụp nhanh hệ thống và hình ảnh đang chạy bằng cả màn hình hoặc tùy chỉnh cắt kích thước
24. Chức năng thu nhỏ chữ viết hoặc bản vẽ để tiết kiệm cho các nội dung giảng dạy khác
25. Chức năng đóng dấu / lựa chọn dấu để biểu đạt ý đúng / sai … giáo viên và học sinh có thể tự cung cấp tài nguyên để làm phong phú cho tiết học
26. Chức năng tự động nhận diện các hình khối khi thao tác rồi chuyển thành các hình tương ứng như hình tam giác / tròn / chữ nhật / …có các đường thẳng và góc cạnh chính xác (vẽ tự do)
27. Chức năng vẽ đường thẳng/ hình chữ nhật/ tròn/ elip/ tam giác/ tam giác vuông/ ngũ giác/ đa giác/ hình sao/ …
28. Chức năng vẽ hình 3D hình khối/ hình thoi nón / kim cương nón/ nón/ trụ
29. Công cụ toán học cung cấp cho hoạt động giảng dạy như thước kẻ / ê ke / compa / thước đo góc …
30. Chức năng đổ màu cho các hình vẽ / hình khối / hình ảnh thực
31. Chức năng chuyển đổi / ẩn / hiện thanh công cụ
</t>
  </si>
  <si>
    <t>điều chỉnh để phù hợp sử dụng máy chiếu</t>
  </si>
  <si>
    <t>4. Kết nối
- Cổng giao tiếp hệ thống cảm ứng: USB 2.0
- Đầu vào: Type-C*1, USB-A 3.0*2,HDMI2,0 IN*4, AV IN·1, ANDROID USB-A 2.0*1 ANDROID USB-A 3.0*1, USB-B (TOUCH) *1, USB-A (TOUCH) *1,Slot plug OPS*1,Ethernet(100M) RJ45*1,RS232*1,  
- Đầu ra: 3.5mm Audio*1, SPDIF*1,AV OUT*1
- Cổng I/O: JAE Connector *1，DP*1,HDMI *1,LAN *1,USB3.0*6,Audio*1(Audio Out*MIC In ),Serial Port*4
5. Hình Ảnh, Âm Thanh và video
- Loa: 2x20 W
- Âm thanh: MPEG1/2 layer I/II, AAC, PCM…
- Video: MPEG-2/4, AVS, H.264, H.265, AV1, VP8, VP9…
- Hình ảnh: Hỗ trợ chế độ xem JPG / BMP / PNG và xoay / trình chiếu hình ảnh
6. Tích hợp
- Tích hợp camera
  + Cảm biến: 8 million pixels
  + Góc nhìn: 126° (D)/ 120° (H)/ 85° (V)
- Tích hợp Microphones
  + Microphones array: 6-element
  + Khoảng cách nhận diện giọng nói: 8 mét
- Tích hợp phần mềm giảng dạy sinh động các môn: toán, hóa, sinh, lý, nhạc...
- Chứng chận: 9001, 14001, 45001, CE, FCC, RoHSCE, FCC, RohS</t>
  </si>
  <si>
    <t xml:space="preserve">Máy chiếu </t>
  </si>
  <si>
    <t xml:space="preserve">Máy chiếu đa năng kỹ thuật số (máy chiếu thông minh)
Chủng loại: Máy chiếu thông minh (smart projector), tích hợp sẵn trong máy chiếu hệ điều hành Android
Hệ điều hành (Smart System): Hệ điều hành Android 9.0
CPU: Amlogic S905X3; ROM: 16GB; RAM: 2GB
Tự động cập nhật firmware khi có phiên bản mới qua internet (OTA)
Ngôn ngữ giao diện có TiếngViệt
Công nghệ xử lý ánh sáng số: DLP Single 0.55" XGA
Loại DMD: DMD Chip
Độ phân giải thực: XGA (1024x768 pixels)
Độ phân giải nén: VGA(640 x 480) to WUXGA_RB(1920 x 1200) *RB-Reduced Blanking
Cường độ chiếu sáng: 4,000 ANSI Lumens
Màu hiển thị: 1,07 tỷ màu
Tỷ số tương phản: 20,000 : 1  
Tỷ lệ khung hình: chuẩn 4:3 (có 5 chế độ khác nhau)
Throw Ratio: 1.96~2.15
Zoom ratio: 1.1X
Kích thước hình chiếu: 60 - 150 inch. 
Bóng đèn: 200W 
Tuổi thọ bóng đèn: Normal 6,000 giờ; Economic 10,000 giờ; SmartEco 10,000  giờ; LampSave 15,000 giờ
Chỉnh méo hình: chiều dọc  +/- 40 mức 
Công suất loa: 5W x 1
Wireless: Wireless Dual Band 802.11ac/b/g/n, 2.4G/5G
Bluetooth: Bluetooth 4.0
Cổng kết nối: HDMI x 1; VGA in x 1; VGA out  x 1; Audio in(mini jack) x 1; Audio out (mini jack) x 1;  RS232 x 1; USB TypeA x 4; USB Type mini B x 1;
</t>
  </si>
  <si>
    <t>điều chỉnh thông số phù hợp với công năng sử dụng phòng học anh văn</t>
  </si>
  <si>
    <t xml:space="preserve">Kích thước: 296 x 120 x 232 mm
Trọng lượng: 2.6 kg
Điện nguồn: AC 100 - 240 V
Các chức năng tiêu chuẩn:
Chức năng kết nối wifi, truy cập internet , Hỗ trợ trình duyệt web trực tiếp trên máy chiếu
Chức năng truy cập internet trực tiếp từ máy chiếu không qua máy tính hoặc các thiết bị di động khác.
Chức năng kết nối không dây với loa Bluetooth, tai nghe Bluetooth. (chuẩn Bluetooth 4.0)
Tính năng Wifi Hotspot cho phép phát sóng wifi cho phép các thiết bị di động khác kết nối
Chức năng kết nối trực tiếp với bàn phím và chuột (có dây và không dây). Sử dụng bàn phím và chuột để thao tác trực tiếp trên máy chiếu không cần máy tính.
Chia sẻ không dây đồng thời 4 thiết bị
Tăng cường 3 đầu đọc USB để hỗ trợ sử dụng chuột, bàn phím, USB cùng một lúc.
Trình chiếu không dây với các thiết bị (Windows / Mas OS / iPad / iPhone / Android / Chromebook).
Máy chiếu tích hợp sẵn trình duyệt cho phép người dùng trực tiếp truy cập các website phổ biến như Youtube, Google,...
Giải pháp quản lý thiết bị từ xa cho phép người dùng quản lý, phân tích, điều khiển thiết bị máy chiếu thông minh của mình (như Tắt nguồn, cập nhật phần mềm, điều chỉnh âm lượng, chọn nguồn vào, điều chỉnh chế độ khung hình, điều chỉnh chế độ hình ảnh, tải/xóa ứng dụng...)
Người dùng dễ dàng tạo các thông báo từ xa và đẩy lên máy chiếu thông minh.
Chức năng trình chiếu phim 3D 
Ngôn ngữ Menu: 30 ngôn ngữ, trong đó có tiếng Việt.
Hệ thống quản lý tài khoản: người sử dụng có thể truy cập vào tài khoản cloud trên máy chiếu (như Google Drive, OneDrive, Dropbox, Box, Nextcloud) để truy cập file lưu trữ bằng cách đăng nhập vào tài khoản </t>
  </si>
  <si>
    <t>Âm thanh cho lớp học</t>
  </si>
  <si>
    <t xml:space="preserve">Phòng bảo vệ </t>
  </si>
  <si>
    <t>Tủ thấp T2</t>
  </si>
  <si>
    <t>- Kích thước: W1200 x D400 x H1200 mm
- Vật liệu: 
+ gỗ cao su ghép dày 18 mm sơn PU chống trầy , hậu MDF dày 6mm, sơn cùng màu
- cánh gỗ mở, phía trong có đợt di động. Có khoá và tay nắm
+ Màu sắc dựa theo màu thiết kế</t>
  </si>
  <si>
    <t>Tủ treo chìa khóa</t>
  </si>
  <si>
    <t>KT: 800x200x1200
gỗ ghép dày 18mm, sơn phủ PU. Kính cường lực trắng dày 5 mm (có khóa), trượt nhẹ nhàng trên rãnh nhôm</t>
  </si>
  <si>
    <t>Phòng dụng cụ học phẩm</t>
  </si>
  <si>
    <t xml:space="preserve">Kho dụng cụ </t>
  </si>
  <si>
    <t>Phòng ăn</t>
  </si>
  <si>
    <t xml:space="preserve"> Bàn ăn inox</t>
  </si>
  <si>
    <t>- Bàn vuông 2000 x 800 x 750 mm
Inox 201 hàn liên kết có khí Argon bảo vệ
Mặt bàn có độ dày là 0,8mm
Chân bàn inox ống vuông 38 có độ dày 0,8mm
Có gân tăng cứng chắc chắn</t>
  </si>
  <si>
    <t>KT Bàn tròn 1120 x 750 
 Inox 201 hàn liên kết có khí Argon bảo vệ
Mặt bàn tròn inox có đường kính 1120mm, có độ dày là 0,8mm
Chân bàn inox ống tròn D32mm có độ dày 0,8mm
Có gân tăng cứng chắc chắn</t>
  </si>
  <si>
    <t>điều chỉnh bàn tròn xếp gọn để tiết kiệm diện tích</t>
  </si>
  <si>
    <t>Ghế nhà ăn</t>
  </si>
  <si>
    <t>Ghế Inox ống 19x1mm, cao 0,5m
Inox 201 hàn liên kết có khí Argon bảo vệ
Mặt ghế tròn inox có đường kính 280mm, có độ dày là 1,0mm
Chân bàn inox ống tròn D25mm có độ dày 1mm</t>
  </si>
  <si>
    <t>Nhà bếp</t>
  </si>
  <si>
    <t>Tấm</t>
  </si>
  <si>
    <t>Bếp đôi ga công nghiệp</t>
  </si>
  <si>
    <t>- KT: 1500x700x550/750mm
- Bếp đôi
- Mặt sàn bếp bằng inox 304, 1 li
- Phía sau bếp có thanh chắn cao 200mm, có vòi cấp nước
- Khung sàn bếp 25x25mm
- 4 chân inox 304 có tăng đưa điều chỉnh
- Van đánh lửa tự động</t>
  </si>
  <si>
    <t>Hệ thống hút khói + ống khói Inox</t>
  </si>
  <si>
    <t xml:space="preserve">Hệ thống hút khói  cho bếp và tủ hấp cơm 
KT: 6000 x 700 x 400mm
Tủ có lá chắn gió và 3 khay lọc mỡ, toàn bộ bằng Inox 
1 x Quạt hút 1,5 HP. + giá đỡ bằng  sắt sơn tĩnh Điện 
10 x Mét ống hút khói bằng Inox phi 150 
</t>
  </si>
  <si>
    <t>HT</t>
  </si>
  <si>
    <t xml:space="preserve">Tủ hấp cơm </t>
  </si>
  <si>
    <t>- Toàn bộ băng Inox 304 
- Tủ nấu 100kg gạo
KT khay: 600x450x80 mm
- KT tủ: 1200x800x1680 mm
- Nấu 100 Kg, 20 khay
- Gồm có 2 cánh cửa và 2 tay khóa an toàn
- Cửa tủ và thân 2 bên tủ có 2 lớp cách nhiệt bông thủy tinh
- Gồm có 20 khay hấp cơm, mỗi khay chứa 5 kg gạo
- Khay hấp dày 0.8 mm
- Khung xương lò tủ cơm inox vỏ bọc ngoài inox chịu nhiệt
- 1 bếp ga Đài Loan
- 1 đồng hồ báo nhiệt
- 1 van xả hơi tự động
- Có 4 chân tăng đơ điều chỉnh</t>
  </si>
  <si>
    <t>Máy xay thịt đa năng</t>
  </si>
  <si>
    <t>Công suất: 3/4HP
- Công dụng: xay nhuyễn thịt cá, xúc xích, pate.
- Dùng để xây thịt làm chả giò, xay thịt làm cá viên, bò viên, xay cua...
- Bộ sản phẩm: 4 lưỡi dao, 4 mặt cắt (2 mặt cắt 6 li, 1 mặt cắt 8 li, 1 mặt cắt 10 li), 1 cây nhồi, 1 đầu làm xúc xích
- Điện áp: 220V.
- Kích thước: 49x28x36 cm
- Trọng lượng: 24.5 kg.</t>
  </si>
  <si>
    <t>Máy xay sinh tố</t>
  </si>
  <si>
    <t>- Công suất: 500W, 3 tốc độ</t>
  </si>
  <si>
    <t xml:space="preserve">Xe đẩy thực phẩm </t>
  </si>
  <si>
    <t xml:space="preserve"> inox 304
Kích thước: 800x600x1100
NL: Khung Inox, mặt bàn Inox tấm dày 1 mm  , tiếp xúc sàn 4 bánh xe có khóa chịu lực 100mm </t>
  </si>
  <si>
    <t>Bàn 2 tầng</t>
  </si>
  <si>
    <t xml:space="preserve">Kích thước: 1500x750x800mm
KT mặt bàn: 1500x750
NL: Khung Inox, mặt bàn Inox tấm dày 1 mm  , mặt ngăn Inox song, tiếp súc sàn 4 bánh xe có khóa </t>
  </si>
  <si>
    <t>Bàn 2 tầng, 
có kệ song trên</t>
  </si>
  <si>
    <t xml:space="preserve">Kích thước: 1200x750x800/1200mm
KT mặt bàn: 1200x750, KT kệ: 1200x300x400mm
NL: Khung Inox, mặt bàn Inox tấm dày 1 mm  , mặt ngăn Inox song, tiếp súc sàn 4 bánh xe có khóa </t>
  </si>
  <si>
    <t xml:space="preserve">Kệ inox 4 tầng </t>
  </si>
  <si>
    <t xml:space="preserve">Kích thước: 1500x500x1500
- Bằng thanh nan inox 10×20 khoảng cách 3cm.
- Kệ inox 304 - 4 tầng  dày 1ly
- Chân vuông 40mm </t>
  </si>
  <si>
    <t>Xoong chống dính</t>
  </si>
  <si>
    <t xml:space="preserve"> Đường kính 40cm</t>
  </si>
  <si>
    <t>Khay, thìa, nĩa Inox (mỗi em 1 bộ): Việt Nam</t>
  </si>
  <si>
    <t xml:space="preserve">Khay chia thức bằng Inox, nắp đậy bằng nhựa
KT:  350 x 270
Thìa, nĩa Inox </t>
  </si>
  <si>
    <t xml:space="preserve">Tủ lạnh </t>
  </si>
  <si>
    <t>Tủ lạnh Inverter 300 lít 
Dung tích: 300 lít
Tủ lạnh  2 cửa, không đóng tuyết
Công nghệ Digital Inverter máy hoạt động êm, tiết kiệm điện 
Bộ lọc than hoạt tính Deodorizer giúp kháng khuẩn, khử mùi
Công nghệ làm lạnh đa chiều, thực phẩm bảo quản tươi ngon
Ngăn đựng rau quả duy trì độ ẩm tốt, giữ thực phẩm tươi ngon
Ngăn đá trên</t>
  </si>
  <si>
    <t xml:space="preserve">Tủ cấp đông </t>
  </si>
  <si>
    <t>Tủ đông 1 ngăn 208 lít 
Dung tích: 208 lít
Tủ đông 1 ngăn, 2 cửa
Hiệu suất làm lạnh của tủ đông nhanh và sâu
Dung tích 195 lít lưu trữ được lượng lớn thực phẩm
Gas R134a làm lạnh tốt và thân thiện với môi trường
Thân tủ bằng nhựa ABS cao cấp, có độ bền cao
Có khóa an toàn, bánh xe và giỏ đựng rất tiện lợi</t>
  </si>
  <si>
    <t>Tủ lưu trữ thức ăn</t>
  </si>
  <si>
    <t>Tủ mát 200 lít 
Tủ mát 1 cửa
Công nghệ kính Low-E chống tia cực tím, giữ nhiệt tốt
Dàn lạnh bằng nhôm làm lạnh nhanh, dẫn khí tốt
Thiết kế đèn LED siêu tiết kiệm điện, có hệ thống sưởi kính
Gas R600a thân thiện với môi trường, hiệu suất làm lạnh cao
Chất liệu nhựa ABS cao cấp có độ bền cao, dễ vệ sinh</t>
  </si>
  <si>
    <t>Tủ inox 4 tầng</t>
  </si>
  <si>
    <t>Kích thước: 1500x500x1500
- Hàn argon được đánh bóng chống oxi hóa.
- Mặt quầy tủ inox bằng inox 304 dầy 1ly đến 1.5ly
- Giá dưới và giá giữa bằng inox 304 dầy 1.0mm
- Thân quầy và cánh bằng inox 304 dầy 1ly
- Có hệ thống gân chịu lực
- Chân quầy tủ inox vuông 40mm, có tăng đưa điều chỉnh</t>
  </si>
  <si>
    <t>Nồi INOX 5-10-15 lít chia thức ăn (3 loại, mỗi loại 10 cái)</t>
  </si>
  <si>
    <t>- 1 nồi 5 lít, ĐK 20cm
- 1 nồi 10 lít, ĐK 26cm
- 1 nồi 15 lít, ĐK 30cm
inox 304</t>
  </si>
  <si>
    <t>Thau INOX 7 lít</t>
  </si>
  <si>
    <t>Thau inox 7 lít, ĐK 36cm, inox 304</t>
  </si>
  <si>
    <t>Xoong nhôm 70lít</t>
  </si>
  <si>
    <t>Xoong nhôm 70 lit, ĐK 50cm, cao 23cm</t>
  </si>
  <si>
    <t>Xoong nhôm 60 lít</t>
  </si>
  <si>
    <t>Xoong nhôm 60 lit, ĐK 40cm, cao 17cm</t>
  </si>
  <si>
    <t>Xoong nhôm 50 lít</t>
  </si>
  <si>
    <t>Xoong nhôm 50 lit, ĐK 30cm, cao 14cm</t>
  </si>
  <si>
    <t xml:space="preserve">Tủ sấy chén </t>
  </si>
  <si>
    <t>KT:  1200x750x1600mm
Tủ được thiết kế và sản xuất bằng inox 304
- có 2 lớp cách nhiệt
-Thân trong cách nhiệt dày 1mm
- 01 cánh cửa có khóa
- 01 mô tô trộn gió
- 02 điện trở
- 01 công tắc
- 01 đồng hồ nhiệt
- Đèn tia cực tím sát trùng.
- 01 bộ điều chỉnh nhiệt
- 01 đèn báo có điện
- 01 đèn báo đủ nhiệt
- chân D38mm, có điều chỉnh</t>
  </si>
  <si>
    <t xml:space="preserve"> Hệ thống ga 6 bình</t>
  </si>
  <si>
    <t>Hệ thống bình gas bao gồm:
- Hệ thống quản lý bình gas 6 bình ( không bao gồm bình gas) 
1 x đồng hồ điều áp gas tổng 
1 x Khóa ngắt gas tổng 
6 x khóa ngắt gas cho 6 bình gas
2 x đồng hồ báo áp xuất loại 10kg
6 x dây gas cao cấp cho 6 bình gas
1 x khóa ngắt gas ( đầu cuối)
1 x đồng hồ báo áp xuất gas 7 Kg 
- Đường ông dẫn gas chuyên dụng bằng inox  O16 , co, tê, đinh vis các loại  
1 x bảng sơ đồ hệ thống bình gas  bằng mica
1 x bảng cấm lửa bằng  mica</t>
  </si>
  <si>
    <t xml:space="preserve">Hệ thống cấp nước </t>
  </si>
  <si>
    <t xml:space="preserve">Hệ thống cấp nước đến Tủ cơm, bếp , tủ sấy chén bằng Inox 304 
- 40m x ống Inox Ø19 dày 1mm
- 6 x Vòi Inox cho bếp gar công nghiệp 
- 4 x van khoá Inox </t>
  </si>
  <si>
    <t>Chi phí kiểm định</t>
  </si>
  <si>
    <t xml:space="preserve">chi phí kiểm định
- Đường ống dẫn gas
- Hệ thống quản lý bình  gas
- Các đồng hồ báo áp, khóa gas  
- Khí thử, thiết bị thử, công cụ, dụng cụ thử 
</t>
  </si>
  <si>
    <t xml:space="preserve"> Máy giặt 9 kg</t>
  </si>
  <si>
    <t>Kiểu máy giặt: Cửa trên
Kiểu lồng giặt: Lồng đứng
Khối lượng giặt: 9Kg
Tốc độ quay vắt (vòng/ phút): 700 vòng/phút
Truyền động: Bằng dây Curoa</t>
  </si>
  <si>
    <t>Bồn rửa 3 ngăn Inox ( để rửa thịt , cá, rau)</t>
  </si>
  <si>
    <t>Bồn rửa 3 hộc  inox 304
KT: 1800x750x850/950
- Khung chân Inox 38x38x1mm, kiềng chân inox 30x30/1mm, bồn inox,  chân đế tăng đưa 
- Gồm 3 vòi cấp nước, 3 ô bồn ,3 bộ xả có lọc rác</t>
  </si>
  <si>
    <t>Máng rửa công nghiệp 
(rửa chén, dĩa)</t>
  </si>
  <si>
    <t xml:space="preserve"> 
Kích thước: 1500x500x950
- Chất liệu: inox 304, dày 1mm
- Chân vuông 40mm, có điều chỉnh
- Thanh giằng 30mm
- Gồm 2 vòi cấp nước, có bộ xả
</t>
  </si>
  <si>
    <t>Bộ dụng cụ nhà bếp</t>
  </si>
  <si>
    <t xml:space="preserve"> Bộ dao lớn 6 chi tiết
- Dao chặt lớn: 30 x 8cm
- Dao thái thịt lớn: 34 x 4cm
- Thái thịt nhỏ: 33 x 3cm
- Dao trái cây: 24 x 2cm
- Kéo: 18 x 2cm
- Cây mài: 29cm</t>
  </si>
  <si>
    <t>Thùng giá ca</t>
  </si>
  <si>
    <t>Φ300 × cao 300, inox 304 dày 1mm</t>
  </si>
  <si>
    <t>690.000</t>
  </si>
  <si>
    <t xml:space="preserve">Cân thực phẩm </t>
  </si>
  <si>
    <t>20 kg</t>
  </si>
  <si>
    <t>60 kg</t>
  </si>
  <si>
    <t>Chảo sơ chế inox</t>
  </si>
  <si>
    <t xml:space="preserve">2 x Chảo 30 cm 
2 x Chảo  40 cm 
2 x Chảo 50 cm </t>
  </si>
  <si>
    <t>Bộ thớt các loại</t>
  </si>
  <si>
    <t xml:space="preserve">1 x thớt gỗ 50 x 9 
5x thớt nhựa 60 x 40 
</t>
  </si>
  <si>
    <t>Cao 700</t>
  </si>
  <si>
    <t>680.000</t>
  </si>
  <si>
    <t>Mâm nhôm đựng rau</t>
  </si>
  <si>
    <t>ĐK: 500</t>
  </si>
  <si>
    <t>230.000</t>
  </si>
  <si>
    <t>Mâm nhôm đậy</t>
  </si>
  <si>
    <t>giảm sl</t>
  </si>
  <si>
    <t>Rổ tiếp phẩm lớn nhỏ</t>
  </si>
  <si>
    <t xml:space="preserve">Rổ Inox các loại 
10 x rổ 30 cm
10 x rổ 40 cm 
</t>
  </si>
  <si>
    <t>Vá múc canh lớn, vá múc cơm</t>
  </si>
  <si>
    <t>10  vá múc canh  bằng Inox  ( 5 lớn + 5 nhỏ)
10 vá múc cơm bằng Inox ( 5 lớn + 5 nhỏ)</t>
  </si>
  <si>
    <t>Thố đựng cơm inox</t>
  </si>
  <si>
    <t xml:space="preserve">Thố Inox 304 đk 30 cm </t>
  </si>
  <si>
    <t xml:space="preserve">Hủ inox </t>
  </si>
  <si>
    <t>Hủ inox lưu mẫu thực phẩm theo đúng yêu cầu VSATTP Φ90</t>
  </si>
  <si>
    <t>Thiết bị ngoài phòng</t>
  </si>
  <si>
    <t xml:space="preserve"> Hệ thống âm thanh sân trường</t>
  </si>
  <si>
    <t xml:space="preserve"> +1 Ampli  tăng truyền âm 600 w 
 + 12 loa nén 30 w có biến thế
 + 1 bộ Micro không dây + hộp thu tín hiệu
+  500 m dây 300 tim + ống luồn dây
+ đinh, vis các loại + công lắp đặt</t>
  </si>
  <si>
    <t>Tủ để thiết bị âm thanh</t>
  </si>
  <si>
    <t xml:space="preserve"> Kệ để âm thanh chuyên dụng
- KT: 600 x 600 x 800 mm
- Chia làm 2 ngăn. Phía dưới 1 hộc tủ có  khoá
- 4 x bánh xe có khoá 
- Vật liệu:  Gỗ cao su ghép đã qua tẩm sấy chống mối mọt, co rút, dày 18 mm, sơn PU</t>
  </si>
  <si>
    <t>Giảm TBTT</t>
  </si>
  <si>
    <t>GIẢM số lượng Bàn thí nghiệm hóa, sinh HS (  4hs/1 bàn kích thước 2,4m)</t>
  </si>
  <si>
    <t>Bàn họp 20 chỗ
KT bàn thẳng: D1200xR450xC750mm = 8  cái 
KT bàn góc: D1800xR600xC750mm, = 2 cái 
- bàn có có ngăn để tài liệu. Có thể xếp thành bàn oval, 
- Vật liệu: mặt bàn viền dày 36 mm, chạy cạnh  Frofile, yếm bàn thấp xuống sát chân, chạy chỉ âm tạo thẩm mỹ  
- Toàn bộ gỗ cao su ghép, dày 18 mm. Sơn Pu chống trầy 
- Chân đế nhưa</t>
  </si>
  <si>
    <t>KT :  3000 x 1200 x 750 mm 
Chân hộp dày 60 mm tạo cạnh thẩm mỹ, hậu thấp 600 mm
- Vật liệu: mặt bàn viền dày 36 mm, chạy cạnh frofile 
- Toàn bộ gỗ cao su ghép, dày 18 mm. Sơn Pu chống trầy 
- Chân đế nhựa</t>
  </si>
  <si>
    <t>tâm</t>
  </si>
  <si>
    <t>Kích thước: 1900x900x540 mm
- Vật liệu: 
+ inox 201dày 1mm
+ Khung giường: hộp inox  30 x 60 
+ Khung đầu và đuôi giường: ống inox, pi 32 
+ 1 song ngang đầu giường: ống inox, pi 25 
+ 4 song dọc đầu giường: ống inox , pi 16 
+ Vạt giường: inox hộp 10 x 40mm, dày 0.6mm
+ Nệm giường: nệm mút dầy 50mm</t>
  </si>
  <si>
    <t xml:space="preserve">Bảng Đèn Thử Thị Lực Chữ ZU Led Inox TNE
Khoảng cách đọc: 5m
Nguồn: 220V; 0,2A
Bảng chữ hoặc bảng hình
Lỗ treo tường, chân để bàn, giá đỡ
Dây nguồn: 2m
Vỏ đèn bằng inox
Nhãn hiệu TNE khắc nổi
</t>
  </si>
  <si>
    <r>
      <rPr>
        <b/>
        <sz val="12"/>
        <rFont val="Times New Roman"/>
        <family val="1"/>
      </rPr>
      <t>Kích thước: 1200x450x750 mm</t>
    </r>
    <r>
      <rPr>
        <sz val="12"/>
        <rFont val="Times New Roman"/>
        <family val="1"/>
      </rPr>
      <t xml:space="preserve">
- Bàn có có ngăn để tài liệu. 
- Vật liệu: mặt bàn viền dày 36 mm, chạy cạnh  Frofile, yếm bàn thấp xuống sát chân, chạy chỉ âm tạo thẩm mỹ  
- Toàn bộ gỗ cao su ghép, dày 18 mm. Sơn Pu chống trầy 
- Chân đế nhưa</t>
    </r>
  </si>
  <si>
    <t xml:space="preserve">Kích thước: 1200 x 350 x 2000 mm
 Vật liệu:
- Kệ 5 ngăn cố định 
-  khung sắt 30 x 30 x 1,2 ,  25 x 25 x 1.2 ,sơn tĩnh điện. 
Mặt Gỗ cao su ghép, dày 18 mm sơn PU 
- Chân đế nhựa </t>
  </si>
  <si>
    <t xml:space="preserve">Kích thước: 1200 x 600 x 2000 mm
Vật liệu:
- Kệ 5 ngăn cố định ,  có sắn giữa chia sách 2 bên
-  khung sắt 30 x 30 x 1,2 ,  25 x 25 x 1.2 ,sơn tĩnh điện. 
Mặt Gỗ cao su ghép, dày 18 mm sơn PU 
- Chân đế nhựa </t>
  </si>
  <si>
    <t>- Kích thước: 900 x 400 x 2000 mm. 
- Vật liệu: loại 24 hộc, Gỗ ghép công nghiệp  đã qua tẩm sấy chống mối mọt, co rút, dày 18 mm, sơn PU.</t>
  </si>
  <si>
    <t xml:space="preserve">- KT bàn: D1200xR500xC750mm, 
+ Bàn Khung Inox 304 dày 1 ly ,  gồm  25x25,  25 x 50, 
+ Mặt bàn Đá Granite dày 18 mm, 4 góc R20,  các cạnh bo tròn đánh bóng tạo thẩm mỹ 
+ Phía trên bàn có kệ Inox tấm 304 dày 0.8, xung quanh có viền Inox phi 6,
+ Chân đế nhựa tăng đưa  </t>
  </si>
  <si>
    <t xml:space="preserve">- KT bàn: D1200xR500xC750mm, 
+ Bàn Khung Inox 304 dày 1 ly ,  gồm  25x25,  25 x 50, 
+ Mặt bàn Đá Granite dày 18 mm, 4 góc R20,  các cạnh bo tròng đáng bóng tạo thẩm mỹ 
+ Phía trên bàn có kệ Inox tấm 304 dày 0.8, xung quanh có viền Inox phi 6,
+ Chân đế nhựa tăng đưa  </t>
  </si>
  <si>
    <t xml:space="preserve">- KT bàn: D1200xR500xC750mm, 
+ Bàn Khung Inox 304 dày 1 ly ,  gồm  25x25,  25 x 50, 
+ Mặt bàn Đá Granite dày 18 mm, 4 góc R20,  các cạnh bo tròng đáng bóng tạo thẫm mỹ 
+ Phía trên bàn có kệ Inox tấm 304 dày 0.8, xung quanh có viền Inox phi 6,
+ Chân đế nhựa tăng đưa  </t>
  </si>
  <si>
    <t>- KT bàn: D1200xR500xC750mm, 
+ Bàn Khung sắt dày 1,2 ly gồm  25x25,  25 x 50
mặt bàn gỗ cao su ghép đã qua tẩm sấy chống mối mọt, co rút, dày 18 mm, sơn PU</t>
  </si>
  <si>
    <r>
      <rPr>
        <b/>
        <sz val="12"/>
        <color rgb="FFFF0000"/>
        <rFont val="Times New Roman"/>
        <family val="1"/>
      </rPr>
      <t xml:space="preserve">
1. Kích thước:</t>
    </r>
    <r>
      <rPr>
        <sz val="12"/>
        <color rgb="FFFF0000"/>
        <rFont val="Times New Roman"/>
        <family val="1"/>
      </rPr>
      <t xml:space="preserve">
- 65 inchs Đường chéo ;
- Kích thước/kích thước đóng gói: 1598x869x99mm/ 1758x1029x230mm
</t>
    </r>
    <r>
      <rPr>
        <b/>
        <sz val="12"/>
        <color rgb="FFFF0000"/>
        <rFont val="Times New Roman"/>
        <family val="1"/>
      </rPr>
      <t>2. Hiển thị</t>
    </r>
    <r>
      <rPr>
        <sz val="12"/>
        <color rgb="FFFF0000"/>
        <rFont val="Times New Roman"/>
        <family val="1"/>
      </rPr>
      <t xml:space="preserve">
- Vùng hiển thị: 1430.4(H) x 805.9(V)mm
- Tỷ lệ khung hình: 16:9
- Độ sáng: 400cd/㎡
- Kiểu màn hình: DLED
- Độ phân giải màn hình: 3840x2160( 4K)
- Tỷ lệ tương phản: 4000:1
-  Góc nhìn tối đa: 178°(V)/178°(H)
- Hỗ trợ điểm chạm: 20 điểm tiếp xúc
- Công nghệ cảm ứng: Cảm ứng hồng ngoại
- Chất liệu bề mặt viết cảm ứng: Kính cường lực 4mm, kính chịu nhiệt, kính chống chói chống nhòe và dấu vân tay.
- Tuổi thọ màn hình hơn 60.000 giờ
</t>
    </r>
    <r>
      <rPr>
        <b/>
        <sz val="12"/>
        <color rgb="FFFF0000"/>
        <rFont val="Times New Roman"/>
        <family val="1"/>
      </rPr>
      <t>3. Hệ điều hành</t>
    </r>
    <r>
      <rPr>
        <sz val="12"/>
        <color rgb="FFFF0000"/>
        <rFont val="Times New Roman"/>
        <family val="1"/>
      </rPr>
      <t xml:space="preserve">
- Sử dụng hệ điều hành kép Android  11.0 + Windows 10 PRO
- Cấu hình Android
   + Phiên bản hệ thống: Android 11.0
   + Ram/rom: 4G/32G
- Hổ Trợ OPS-PC chạy hệ điều hành Windown
   + Bộ xử lý: Intel® Core™ Processor I5-7400 (4 Cores,3,0-3,5GHz)
   + Bộ nhớ trong: 8GB DDR4，512GB hard drive
   + Card video: Intel®️ HD Graphics 630
   + LAN: Gigabit Ethernet
   + Kết nối không dây: 2.4G &amp; 5G</t>
    </r>
    <r>
      <rPr>
        <b/>
        <sz val="12"/>
        <rFont val="Times New Roman"/>
        <family val="1"/>
      </rPr>
      <t/>
    </r>
  </si>
  <si>
    <t>Bộ học liệu điện tử Smart Elearning, Bộ học liệu điện tử Video Tiếng Anh tích hợp Toán, Khoa học Twigworld, PHẦN MỀM LUYỆN THI NĂNG LỰC TIẾNG ANH SPEAKINGPAL TEST</t>
  </si>
  <si>
    <t>1. Bộ học liệu điện tử Smart Elearning</t>
  </si>
  <si>
    <t>Xuất xứ: Việt Nam</t>
  </si>
  <si>
    <t>Bảo hành: 12 tháng</t>
  </si>
  <si>
    <t>Phần mềm hỗ trợ giáo viên dạy học tiếng Anh theo chương trình của Bộ GD&amp;ĐT cấp học TH, THCS, THPT Smart Elearning</t>
  </si>
  <si>
    <t xml:space="preserve">Phần mềm tuân thủ theo khung phân phối chương trình của bộ GD&amp;ĐT cho cấp học TH, THCS, THPT </t>
  </si>
  <si>
    <t>Chương trình áp dụng cho các giáo viên, học sinh sử dụng. Triển khai cho hệ thống phòng học Thông minh, phòng Tin học ( Có hệ thống các bài giảng môn Tin học, các công cụ soạn giảng, tổ chức thi trắc nghiệm trên máy…), Phòng học ngoại ngữ (Chương trình Tiếng Anh mới của Bộ Giáo dục và Đào tạo nhằm đáp ứng các kỹ năng Nghe – Nói – Đọc – Viết)</t>
  </si>
  <si>
    <r>
      <t>Phần Tính năng dàng cho Giáo viên</t>
    </r>
    <r>
      <rPr>
        <sz val="12"/>
        <rFont val="Times New Roman"/>
        <family val="1"/>
      </rPr>
      <t xml:space="preserve">: </t>
    </r>
  </si>
  <si>
    <t>Phần mềm Soạn giảng Tương tác Thông minh Smart Elearning, Phần mềm Tiếng Anh Smart English.</t>
  </si>
  <si>
    <r>
      <t>Phần Tính năng dành cho Học Sinh</t>
    </r>
    <r>
      <rPr>
        <sz val="12"/>
        <rFont val="Times New Roman"/>
        <family val="1"/>
      </rPr>
      <t xml:space="preserve">: </t>
    </r>
  </si>
  <si>
    <t>Học sinh đăng nhập tài khoản và học bài qua Video giáo viên dạy trực tiếp và tham gia trả lời câu hỏi trên hệ thống học trực tuyến BKT.</t>
  </si>
  <si>
    <t xml:space="preserve">Phần mềm Smart Elearning: </t>
  </si>
  <si>
    <t>Hệ thống thư viện bài giảng: Thư viện CPIT</t>
  </si>
  <si>
    <t xml:space="preserve">Phầm mềm hỗ trợ giáo viên các môn học theo chương trình của bộ GD&amp;ĐT tương ứng với từng cấp học: </t>
  </si>
  <si>
    <t xml:space="preserve">-       Mầm non (Toán học; Tạo hình; Tự nhiên; Văn học; Khoa học; Môi trường; Xã hội…) </t>
  </si>
  <si>
    <t>-       Tiểu học (Âm nhạc; Chính tả; Đạo Đức; Địa lý; Kể chuyện; Khoa học; Kỹ thuật; Lịch sử; Mỹ thuật; Tập đọc; Tập làm văn; Tóan học...);</t>
  </si>
  <si>
    <t xml:space="preserve"> Bộ bài giảng lớp 1 : Cùng học và phát triển năng lực</t>
  </si>
  <si>
    <t xml:space="preserve">-       THCS (Toán; Vật lý; Hóa học; Sinh học; Ngữ văn; Lịch sử, Địa lý; Âm nhạc; Công nghệ; GDCD; Mỹ thuật; Tin học) </t>
  </si>
  <si>
    <t>-       THPT (Toán; Vật lý; Hóa học; Sinh học; Ngữ văn; Lịch sử, Địa lý; Âm nhạc; Công nghệ; GDCD; Mỹ thuật; Tin học).</t>
  </si>
  <si>
    <t>-       Hệ thống thư viện bài giảng được xây dựng theo chuẩn Elearning, đa dạng phong phú với hơn 10000 bài giảng được chia thành các khối lớp, các môn học, các chủ đề khác nhau phù hợp với khung phân phối chương trình của Bộ GD&amp;ĐT.</t>
  </si>
  <si>
    <t>-       Kho thư viện bài giảng và tư liệu giảng dạy liên tục được bổ sung cả về số lượng và chất lượng, là nguồn tư liệu giảng dạy vô cùng phong phú và chất lượng hỗ trợ giáo viên.</t>
  </si>
  <si>
    <t xml:space="preserve">-       Chức năng tạo bài giảng mới cho người dung: người dùng sẽ dựa vào những công cụ hỗ trợ có sẵn trên phần mềm để xây dựng 1 bài giảng mới. </t>
  </si>
  <si>
    <t>-       Bài giảng được lưu và quản lý theo Thư viện offline của người dùng.</t>
  </si>
  <si>
    <t>-       Chức năng này cho phép người dùng mở bài giảng đã lưu trên máy tính cá nhân. Người dùng tạo Thư viện quản lý riêng, có chứa những bài giảng đã chuẩn bị riêng để sử dụng phần mềm.</t>
  </si>
  <si>
    <t xml:space="preserve">-       Kho dữ liệu đa dạng, phong phú với hơn 50000 tư liệu giảng dạy gồm: hình ảnh, video, âm thanh được xây dựng bám sát nội dung kiến thức môn học cho từng khối cấp. </t>
  </si>
  <si>
    <t>-       Cho phép người dùng chèn hình ảnh từ, video: máy tính, và từ Thư viện CPIT.</t>
  </si>
  <si>
    <t>-       Thay đổi thuộc tính hình ảnh, video: Thay đổi vị trí, phóng to, thu nhỏ, tạo hiệu ứng chuyển động, hiệu ứng.</t>
  </si>
  <si>
    <t>-       Gán âm thanh, gán liên kết lên đối tượng.</t>
  </si>
  <si>
    <t>Phần mềm hỗ trợ người dùng Hình vẽ khó như:</t>
  </si>
  <si>
    <t>-       Dụng cụ Hóa học</t>
  </si>
  <si>
    <t>-       Dụng cụ Vật lý: Điện học, quang học, cơ học…</t>
  </si>
  <si>
    <t>-       Hình học phẳng</t>
  </si>
  <si>
    <t>-       Hình học không gian</t>
  </si>
  <si>
    <t xml:space="preserve">Tính năng vẽ biểu đồ cho phép vẽ được nhiều dạng biểu đồ: </t>
  </si>
  <si>
    <t>-       Hình cột</t>
  </si>
  <si>
    <t>-       Hình tròn</t>
  </si>
  <si>
    <t>-       Hình Thanh</t>
  </si>
  <si>
    <t>-       Dạng điểm</t>
  </si>
  <si>
    <t>-       Biểu đồ vùng</t>
  </si>
  <si>
    <t>-       Biểu đồ dạng kẻ</t>
  </si>
  <si>
    <t>Người dùng chỉ cần tạo nội dung và giá trị biểu diễn, lựa chọn dạng biểu đồ. Phần mềm sẽ vẽ ngay ra Biểu đồ cầ thiết.</t>
  </si>
  <si>
    <t>-       Tạo trò chơi Ô chữ: Với 1 hàng dọc và nhiều hàng ngang biểu diễn Nội dung câu hỏi và nội dung câu trả lời</t>
  </si>
  <si>
    <t>-       Chèn hình ảnh, video vào từng câu hỏi theo hàng ngang.</t>
  </si>
  <si>
    <t>-       Phần mềm hỗ trợ vẽ tất cả các dạng hàm số có trong chương trình</t>
  </si>
  <si>
    <t>-       Vẽ đồ thì hàm số tổng quát với hệ số thay đổi: Tìm quy luật biến thiên của Hàm số.</t>
  </si>
  <si>
    <t>-       Tìm giao điểm của 2 hàm số khác nhau trên cùng trục tọa độ</t>
  </si>
  <si>
    <t>-       Tùy chỉnh Hệ tọa độ và các tùy chỉnh về Hình nền, về khoảng cách Trục tọa độ, về dạng lưới, màu sắc các đồ thị, độ dày nét vẽ các đồ thị.</t>
  </si>
  <si>
    <t>-       Cách vẽ: Nhập hàm số, nhập hệ số vào hàm số và vẽ đồ thị</t>
  </si>
  <si>
    <t>-       Có thể vẽ cùng lúc nhiều hàm số trên cùng đồ thị</t>
  </si>
  <si>
    <t>-       Ẩn hiện giao điểm của các đồ thị</t>
  </si>
  <si>
    <t>Hỗ trợ 8 dạng bài tập cơ bản</t>
  </si>
  <si>
    <t xml:space="preserve">-       Trắc nghiệm 1 lựa chọn; </t>
  </si>
  <si>
    <t xml:space="preserve">-       Trắc nghiệm nhiều lựa chọn; </t>
  </si>
  <si>
    <t xml:space="preserve">-       Trắc nghiệm đúng sai; </t>
  </si>
  <si>
    <t xml:space="preserve">-       Bài tập điền từ; </t>
  </si>
  <si>
    <t xml:space="preserve">-       Bài tập ẩn hiện từ; </t>
  </si>
  <si>
    <t xml:space="preserve">-       Bài tập chọn từ; </t>
  </si>
  <si>
    <t xml:space="preserve">-       Bài tập ghép đôi; </t>
  </si>
  <si>
    <t xml:space="preserve">-       Bài tập ô chữ; </t>
  </si>
  <si>
    <t>-       Bài tập kéo thả.</t>
  </si>
  <si>
    <t>Phần mềm hỗ trợ chèn tư liệu đa phương tiện (hình ảnh, âm thanh, video) ngay trong nội dung bài tập tăng tính tương tác trong các bài học.</t>
  </si>
  <si>
    <t>Người dùng có thể coppy Nội dung câu hỏi tương tác từ file Word, powerpoint…vào  nội dung câu hỏi.</t>
  </si>
  <si>
    <t>-       Tạo nhanh 1 bảng biểu bằng cách tạo Cột và hàng</t>
  </si>
  <si>
    <t>-       Hiển thị Nội dung hàng, Tiêu đề cột</t>
  </si>
  <si>
    <t>-       Chèn Liên kết, phát âm và hiệu ứng cho bảng.</t>
  </si>
  <si>
    <t>-       Phần mềm cho phép chuyển đổi dữ liệu định dạng powerpoint (*pptx) vào trong bài giảng để có thể sử dụng những tính năng hỗ trợ của phần mềm tạo ra 1 bài giảng tương tác Elearning khác.</t>
  </si>
  <si>
    <t>-       Phần mềm hỗ trợ người dùng nhập công thức toán học, ký tự đặc biệt…bằng công cụ Latex.</t>
  </si>
  <si>
    <t>-       Nội dung Hướng dẫn sử dụng phần mềm sẽ giới thiệu 1 bảng đầy đủ ký tự latex.</t>
  </si>
  <si>
    <t>-       Tạo hiệu ứng làm đẹp: làm mờ, làm nổi, đổ bóng…cho đối tượng là hình ảnh, video, đoạn chữ text..</t>
  </si>
  <si>
    <t xml:space="preserve">-       Hiệu ứng chuyển động: Hiệu ứng cho trang, cho đối tượng chuyển động theo yêu cầu người dùng. </t>
  </si>
  <si>
    <t>-       Tạo hiệu ứng chuyển động tự động theo sắp xếp thời gian hoặc kích chuột, phím, bút trình chiếu</t>
  </si>
  <si>
    <t>-       Sắp xếp hiệu ứng chuyển động theo thứ tự yêu cầu.</t>
  </si>
  <si>
    <t>-       Chức năng chèn liên kết với đối tượng trên trang trình chiếu tạo ra liên kết đến các đối tượng khác, đến các trang khác, đến trang web hoặc tập tin âm thanh mà người dùng muốn đưa vào.</t>
  </si>
  <si>
    <t>Chức năng trình chiếu hay thuyết minh bài giảng cho phép ngươi dùng thực hiện khi giảng bài.</t>
  </si>
  <si>
    <t>-       Lựa chọn đối tượng trình chiếu như trình chiếu Bảng tương tác thông minh.</t>
  </si>
  <si>
    <t>-       Trình chiếu như trình chiếu Powerpoint bằng bàn phím, di chuột, bút trình chiếu</t>
  </si>
  <si>
    <t>-       Lựa chọ khu vực trình chiếu 2 bên trái, phải màn hình</t>
  </si>
  <si>
    <t>-       Tích hợp các tính năng: màn che, khoanh vùng điểm ảnh, bút đánh dấu, quay video… giúp giáo viên và học sinh dễ dàng tương tác với nội dung bài học</t>
  </si>
  <si>
    <t>-       Đóng gói thành file .exe hỗ trợ mở bài giảng trực tiếp trên cả máy tính không cài đặt phần mềm Smart – elearning.</t>
  </si>
  <si>
    <t>Phần mềm Tiếng Anh Smart English</t>
  </si>
  <si>
    <t>1.   Hệ thống thư viện bài giảng Tiếng Anh</t>
  </si>
  <si>
    <t>-       Hệ thống thư viện bài giảng môn Tiếng Anh được xây dựng theo chuẩn Elearning, đa dạng phong phú với hơn 600 bài giảng được chia thành các khối lớp theo khung phân phối chương trình của Bộ GD&amp;ĐT.</t>
  </si>
  <si>
    <t>2.   Xây dựng bài giảng mới</t>
  </si>
  <si>
    <t>-       Cho phép người dùng nhanh chóng, dễ dàng xây dựng bài giảng Tiếng Anh mới dựa theo những công cụ đã tích hợp sẵn trên phần mềm.</t>
  </si>
  <si>
    <t>3.   Quản lý dữ liệu bài giảng - mở bài giảng</t>
  </si>
  <si>
    <t>4.   Quản lý dữ liệu hình ảnh, Quản lý dữ liệu video, Quản lý dữ liệu âm thanh</t>
  </si>
  <si>
    <t xml:space="preserve">-       Kho dữ liệu đa dạng, phong phú với hơn 50000 tư liệu giảng dạy gồm: hình ảnh, video, âm thanh được xây dựng bám sát nội dung. </t>
  </si>
  <si>
    <t>-       Cho phép người dùng chèn hình ảnh từ, video: máy tính, từ Google và từ Thư viện BKT.</t>
  </si>
  <si>
    <t>-       Gán âm thanh, gán liên kết lên đối tượng</t>
  </si>
  <si>
    <t>5.   Thực hiện theo nhiệm vụ và giải pháp của việc nâng cao chất lượng môn học Tiếng Anh, bám sát chương trình của Bộ giáo dục và Đào tạo, đảm bảo phát triển các kỹ năng: Nghe – Nói – Đọc – Viết.</t>
  </si>
  <si>
    <t>6.   Chức năng Text-to-Speech: cho phép chuyển đổi văn bản thành file audio theo giọng đọc Nam – Nữ; Có thể điều chỉnh âm độ, tốc độ đọc để tạo bài đọc mẫu, học sinh luyện kỹ năng nghe.</t>
  </si>
  <si>
    <t>7.   Thêm ảnh: Thêm ảnh từ các nguồn</t>
  </si>
  <si>
    <t>-       Thư viện BKT: Hình ảnh có trong các giáo trình sách giáo khoa của Bộ GD&amp;ĐT (6 bộ) và các hình ảnh tham khảo khác.</t>
  </si>
  <si>
    <t>-       Từ máy tính và tìm kiếm trên môi trường Internet</t>
  </si>
  <si>
    <t>8.   Thêm văn bản: Chức năng cơ bản của phần mềm, tạo nhanh các đoạn văn bản, text theo nội dung của bài giảng. Có thể gán hiệu ứng, gán âm thanh và liên kết đến đoạn văn bản vừa tạo.</t>
  </si>
  <si>
    <t>9.   Thêm video, audio: Thêm Video, Audio từ các nguồn: Thư viện BKT, từ máy tính, Google hoặc dùng chức năng ghi âm, ghi màn hình của phần mềm.</t>
  </si>
  <si>
    <r>
      <t xml:space="preserve">10.         </t>
    </r>
    <r>
      <rPr>
        <b/>
        <sz val="12"/>
        <rFont val="Times New Roman"/>
        <family val="1"/>
      </rPr>
      <t xml:space="preserve"> </t>
    </r>
    <r>
      <rPr>
        <sz val="12"/>
        <rFont val="Times New Roman"/>
        <family val="1"/>
      </rPr>
      <t>Các dạng bài tập: Có 15 dạng bài tập tương tác và trò chơi Ô chữ thực hiện việc phát triển đầy đủ kỹ năng Nghe – Nói – Đọc – Viết trong môn học Tiếng Anh.</t>
    </r>
  </si>
  <si>
    <t>-       Trắc nghiệm nhiêu lựa chọn</t>
  </si>
  <si>
    <t>-       Trắc nghiệm đúng sai</t>
  </si>
  <si>
    <t>-       Trắc nghiệm 1 lựa chọn</t>
  </si>
  <si>
    <t>-       Bài tập ẩn hiện từ</t>
  </si>
  <si>
    <t>-       Bài tập điền khuyết</t>
  </si>
  <si>
    <t>-       Bài tập lựa chọn từ</t>
  </si>
  <si>
    <t>-       Bài tập kéo thả từ</t>
  </si>
  <si>
    <t>-       Bài tập ghép đôi</t>
  </si>
  <si>
    <t>-       Nghe và đánh số</t>
  </si>
  <si>
    <t>-       Nghe và lựa chọn</t>
  </si>
  <si>
    <t>-       Nghe và ghép ảnh với ảnh</t>
  </si>
  <si>
    <t>-       Nghe và nối text với ảnh</t>
  </si>
  <si>
    <t>-       Nghe và kéo thả đáp án hình ảnh</t>
  </si>
  <si>
    <t>-       Nghe và chọn hoặc viết câu trả lời</t>
  </si>
  <si>
    <t>-       Trắc nghiệm lựa chọn đáp án là hình ảnh</t>
  </si>
  <si>
    <t>-       Trò chơi Ô chữ</t>
  </si>
  <si>
    <t xml:space="preserve">11.          Từ điển tương tác: Từ điển tương tác tích hợp sẵn trên phần mềm, cho phép phát âm, dịch nghĩa: Từ, nghĩa từ, cách phát âm, mẫu câu minh họa, hình và hình ảnh động theo từ. </t>
  </si>
  <si>
    <t>12.          Play game: Các game: Tô màu, ghép hình, Ếch con vui nhộn</t>
  </si>
  <si>
    <t>13.          Ghi âm: Ghi âm giọng đọc giáo viên, học sinh và lưu lại để phục vụ kiểm tra nói, học trực tuyến…đáp ứng yêu cầu đào tạo kỷ năng nói của học sinh.</t>
  </si>
  <si>
    <t>14.          Luyện nghe tự động: Chức năng luyện kỹ năng nghe của học sinh, hỗ trợ giáo viên phát âm Tiếng Anh chuẩn ngữ theo giọng đọc Nam, nữ của Microsoft.</t>
  </si>
  <si>
    <t>15.          Đóng gói bài giảng: Đóng gói theo chuẩn Scrom, chạy SlideShow khi giáo viên cần giảng dạy hay dạy học trực tuyến mà không cần cài đặt phần mềm Smart English.</t>
  </si>
  <si>
    <t>16.         Trình chiếu: Chức năng trình chiếu bài giảng và trình triếu bài giảng tại trang hiện tại: Giúp giáo viên dễ dàng thao tác trình chiếu khi giảng bài.</t>
  </si>
  <si>
    <t>17.          Hiệu ứng: Hiệu ứng chuyển trang, hiệu ứng chuyển động.</t>
  </si>
  <si>
    <t>18.          Cập nhật phần mềm: Phần mềm sẽ thông báo cập nhật khi có sự nâng cấp, bổ sung tính năng và dữ liệu mới.</t>
  </si>
  <si>
    <t>Tài khoản http://e-learning.bkt.net.vn/ Hệ thống Elearning BKT truy cập Video bài giảng Chương Trình Tiếng Anh Ôn tập thi vào lớp 6.</t>
  </si>
  <si>
    <t>Video giáo viên trực tiếp giảng dạy trên lớp giúp học sinh tổng ôn toàn bộ kiến thức và dạng bài có thể xuất hiện trong đề thi tuyển sinh vào lớp 6 các trường THCS. Hệ thống toàn bộ dạng bài theo từng chuyên đề/chủ đề được biên soạn theo định hướng phát triển năng lực của học sinh Tiểu học bao gồm Unit 1 đến Unit 30</t>
  </si>
  <si>
    <t>Bộ học liệu điện tử Video Tiếng Anh tích hợp Toán, Khoa học Twigworld Anh Quốc</t>
  </si>
  <si>
    <t xml:space="preserve"> - Nguồn tài nguyên phù hợp cho cấp Tiểu học, Trung học CS, Trung học PT. Hỗ trợ về mặt giảng dạy tại lớp học và giải thích cho học sinh các hiện tượng và nghiên cứu các bộ môn Vật lí, Hoá học, Sinh học, Toán học và Địa lý và Khoa học và các ứng dụng thế giới thực của chúng.</t>
  </si>
  <si>
    <t xml:space="preserve">- Các chủ đề chương trình THCS bao gồm: Vật lí, Hoá học, Sinh học, Toán học, Thí nghiệm, Địa lý con người và Khoa học trái đất. </t>
  </si>
  <si>
    <t>PHẦN MỀM LUYỆN THI NĂNG LỰC TIẾNG ANH SPEAKINGPAL TEST</t>
  </si>
  <si>
    <t>SPEAKINGPAL TEST</t>
  </si>
  <si>
    <t>Hãng sản xuất: SPEAKINGPAL LTD.</t>
  </si>
  <si>
    <t>Xuất xứ: ISRAEL</t>
  </si>
  <si>
    <t>Tài khoản 1 năm</t>
  </si>
  <si>
    <t>Các đặc điểm của phần mềm luyện thi năng lực tiếng Anh SpeakingPal Test:</t>
  </si>
  <si>
    <r>
      <t>-</t>
    </r>
    <r>
      <rPr>
        <sz val="7"/>
        <rFont val="Times New Roman"/>
        <family val="1"/>
        <charset val="163"/>
      </rPr>
      <t xml:space="preserve">         </t>
    </r>
    <r>
      <rPr>
        <sz val="13"/>
        <rFont val="Times New Roman"/>
        <family val="1"/>
        <charset val="163"/>
      </rPr>
      <t>Ôn luyện các cấp độ A1, A2, B1, B2, C1;</t>
    </r>
  </si>
  <si>
    <r>
      <t>-</t>
    </r>
    <r>
      <rPr>
        <sz val="7"/>
        <rFont val="Times New Roman"/>
        <family val="1"/>
        <charset val="163"/>
      </rPr>
      <t xml:space="preserve">         </t>
    </r>
    <r>
      <rPr>
        <sz val="13"/>
        <rFont val="Times New Roman"/>
        <family val="1"/>
        <charset val="163"/>
      </rPr>
      <t>Luyện kỹ năng nghe;</t>
    </r>
  </si>
  <si>
    <r>
      <t>-</t>
    </r>
    <r>
      <rPr>
        <sz val="7"/>
        <rFont val="Times New Roman"/>
        <family val="1"/>
        <charset val="163"/>
      </rPr>
      <t xml:space="preserve">         </t>
    </r>
    <r>
      <rPr>
        <sz val="13"/>
        <rFont val="Times New Roman"/>
        <family val="1"/>
        <charset val="163"/>
      </rPr>
      <t>Luyện kỹ năng nói;</t>
    </r>
  </si>
  <si>
    <r>
      <t>-</t>
    </r>
    <r>
      <rPr>
        <sz val="7"/>
        <rFont val="Times New Roman"/>
        <family val="1"/>
        <charset val="163"/>
      </rPr>
      <t xml:space="preserve">         </t>
    </r>
    <r>
      <rPr>
        <sz val="13"/>
        <rFont val="Times New Roman"/>
        <family val="1"/>
        <charset val="163"/>
      </rPr>
      <t>Luyện kỹ năng đọc;</t>
    </r>
  </si>
  <si>
    <r>
      <t>-</t>
    </r>
    <r>
      <rPr>
        <sz val="7"/>
        <rFont val="Times New Roman"/>
        <family val="1"/>
        <charset val="163"/>
      </rPr>
      <t xml:space="preserve">         </t>
    </r>
    <r>
      <rPr>
        <sz val="13"/>
        <rFont val="Times New Roman"/>
        <family val="1"/>
        <charset val="163"/>
      </rPr>
      <t>Luyện kỹ năng viết;</t>
    </r>
  </si>
  <si>
    <r>
      <t>-</t>
    </r>
    <r>
      <rPr>
        <sz val="7"/>
        <rFont val="Times New Roman"/>
        <family val="1"/>
        <charset val="163"/>
      </rPr>
      <t xml:space="preserve">         </t>
    </r>
    <r>
      <rPr>
        <sz val="13"/>
        <rFont val="Times New Roman"/>
        <family val="1"/>
        <charset val="163"/>
      </rPr>
      <t>Luyện kỹ năng hội thoại, ngữ âm;</t>
    </r>
  </si>
  <si>
    <r>
      <t>-</t>
    </r>
    <r>
      <rPr>
        <sz val="7"/>
        <rFont val="Times New Roman"/>
        <family val="1"/>
        <charset val="163"/>
      </rPr>
      <t xml:space="preserve">         </t>
    </r>
    <r>
      <rPr>
        <sz val="13"/>
        <rFont val="Times New Roman"/>
        <family val="1"/>
        <charset val="163"/>
      </rPr>
      <t>Có chấm điểm và đánh giá kết quả đạt được cho mổi kỹ năng nghe, nói, đọc, viết;</t>
    </r>
  </si>
  <si>
    <r>
      <t>-</t>
    </r>
    <r>
      <rPr>
        <sz val="7"/>
        <rFont val="Times New Roman"/>
        <family val="1"/>
        <charset val="163"/>
      </rPr>
      <t xml:space="preserve">         </t>
    </r>
    <r>
      <rPr>
        <sz val="13"/>
        <rFont val="Times New Roman"/>
        <family val="1"/>
        <charset val="163"/>
      </rPr>
      <t xml:space="preserve">Tích hợp công cụ dịch ra các ngôn ngữ Tiếng Việt, Tây Ban Nha, Trung Quốc, Nga, Bồ Đào Nha, Nhật, Hàn Quốc, Thổ Nhĩ Kỳ giúp người học có thể tham chiếu hai ngôn ngữ thuận tiện hơn; </t>
    </r>
  </si>
  <si>
    <r>
      <t>-</t>
    </r>
    <r>
      <rPr>
        <sz val="7"/>
        <rFont val="Times New Roman"/>
        <family val="1"/>
        <charset val="163"/>
      </rPr>
      <t xml:space="preserve">         </t>
    </r>
    <r>
      <rPr>
        <sz val="13"/>
        <rFont val="Times New Roman"/>
        <family val="1"/>
        <charset val="163"/>
      </rPr>
      <t xml:space="preserve"> Tích hợp sẳn các bài video luyện Nguyên âm (Vowel), Phụ âm (Consonant), Phân biệt âm (Contrast);</t>
    </r>
  </si>
  <si>
    <r>
      <t>-</t>
    </r>
    <r>
      <rPr>
        <sz val="7"/>
        <rFont val="Times New Roman"/>
        <family val="1"/>
        <charset val="163"/>
      </rPr>
      <t xml:space="preserve">         </t>
    </r>
    <r>
      <rPr>
        <sz val="13"/>
        <rFont val="Times New Roman"/>
        <family val="1"/>
        <charset val="163"/>
      </rPr>
      <t>Đánh giá về độ chuẩn trong cách phát âm và ngữ điệu tiếng Anh và giọng đọc của người học;</t>
    </r>
  </si>
  <si>
    <r>
      <t>-</t>
    </r>
    <r>
      <rPr>
        <sz val="7"/>
        <rFont val="Times New Roman"/>
        <family val="1"/>
        <charset val="163"/>
      </rPr>
      <t xml:space="preserve">         </t>
    </r>
    <r>
      <rPr>
        <sz val="13"/>
        <rFont val="Times New Roman"/>
        <family val="1"/>
        <charset val="163"/>
      </rPr>
      <t>Theo dõi các từ cần cải thiện cách phát âm và ngữ điệu tiếng Anh;</t>
    </r>
  </si>
  <si>
    <r>
      <t>-</t>
    </r>
    <r>
      <rPr>
        <sz val="7"/>
        <rFont val="Times New Roman"/>
        <family val="1"/>
        <charset val="163"/>
      </rPr>
      <t xml:space="preserve">         </t>
    </r>
    <r>
      <rPr>
        <sz val="13"/>
        <rFont val="Times New Roman"/>
        <family val="1"/>
        <charset val="163"/>
      </rPr>
      <t>Tra cứu và học từ vựng;</t>
    </r>
  </si>
  <si>
    <r>
      <t>-</t>
    </r>
    <r>
      <rPr>
        <sz val="7"/>
        <rFont val="Times New Roman"/>
        <family val="1"/>
        <charset val="163"/>
      </rPr>
      <t xml:space="preserve">         </t>
    </r>
    <r>
      <rPr>
        <sz val="13"/>
        <rFont val="Times New Roman"/>
        <family val="1"/>
        <charset val="163"/>
      </rPr>
      <t>Ghi âm, nghe lại và so sánh bài nói tiếng Anh của người học với giọng đọc của người bản ngữ;</t>
    </r>
  </si>
  <si>
    <r>
      <t>-</t>
    </r>
    <r>
      <rPr>
        <sz val="7"/>
        <rFont val="Times New Roman"/>
        <family val="1"/>
        <charset val="163"/>
      </rPr>
      <t xml:space="preserve">         </t>
    </r>
    <r>
      <rPr>
        <sz val="13"/>
        <rFont val="Times New Roman"/>
        <family val="1"/>
        <charset val="163"/>
      </rPr>
      <t>Theo dõi kết quả học tập;</t>
    </r>
  </si>
  <si>
    <r>
      <t>-</t>
    </r>
    <r>
      <rPr>
        <sz val="7"/>
        <rFont val="Times New Roman"/>
        <family val="1"/>
        <charset val="163"/>
      </rPr>
      <t xml:space="preserve">         </t>
    </r>
    <r>
      <rPr>
        <sz val="13"/>
        <rFont val="Times New Roman"/>
        <family val="1"/>
        <charset val="163"/>
      </rPr>
      <t>Chia sẻ các bài ghi âm tiếng Anh và điểm số với bạn bè;</t>
    </r>
  </si>
  <si>
    <r>
      <t>-</t>
    </r>
    <r>
      <rPr>
        <sz val="7"/>
        <rFont val="Times New Roman"/>
        <family val="1"/>
        <charset val="163"/>
      </rPr>
      <t xml:space="preserve">         </t>
    </r>
    <r>
      <rPr>
        <sz val="13"/>
        <rFont val="Times New Roman"/>
        <family val="1"/>
        <charset val="163"/>
      </rPr>
      <t>Các bài luyện nghe tiếng Anh linh hoạt thông qua các câu hỏi trắc nghiệm;</t>
    </r>
  </si>
  <si>
    <r>
      <t>-</t>
    </r>
    <r>
      <rPr>
        <sz val="7"/>
        <rFont val="Times New Roman"/>
        <family val="1"/>
        <charset val="163"/>
      </rPr>
      <t xml:space="preserve">         </t>
    </r>
    <r>
      <rPr>
        <sz val="13"/>
        <rFont val="Times New Roman"/>
        <family val="1"/>
        <charset val="163"/>
      </rPr>
      <t>Nội dung chương trình có trình độ từ cơ bản đến nâng cao;</t>
    </r>
  </si>
  <si>
    <t>Các yêu cầu kỹ thuật:</t>
  </si>
  <si>
    <t>Yêu cầu tối thiểu về hệ thống:</t>
  </si>
  <si>
    <r>
      <t>-</t>
    </r>
    <r>
      <rPr>
        <sz val="7"/>
        <rFont val="Times New Roman"/>
        <family val="1"/>
        <charset val="163"/>
      </rPr>
      <t xml:space="preserve">         </t>
    </r>
    <r>
      <rPr>
        <sz val="13"/>
        <rFont val="Times New Roman"/>
        <family val="1"/>
        <charset val="163"/>
      </rPr>
      <t>Có sẳn bản cài đặt phần mềm Speakingpal Test trên kho ứng dụng của Apple và Google. Cho phép người dùng tải bản cài đặt miễn phí xuống các thiết bị di động như điện thoại thông minh, máy tính bảng sử dụng hệ điều hành Android hoặc iOS giúp cho việc học diễn ra ở bất kỳ nơi nào và bất kỳ ở đâu, chỉ cần có môi trường kết nối mạng Internet ổn định.</t>
    </r>
  </si>
  <si>
    <t>BẢNG GIÁ VẬT TƯ</t>
  </si>
  <si>
    <t>CHỦNG LOẠI VẬT TƯ</t>
  </si>
  <si>
    <t>ĐƠN VỊ</t>
  </si>
  <si>
    <t>PHẦN KẾT CẤU</t>
  </si>
  <si>
    <t>Bê tông lưới thép d6a200 sàn chống nóng</t>
  </si>
  <si>
    <t>m3</t>
  </si>
  <si>
    <t>tạm tính</t>
  </si>
  <si>
    <t>Bê tông thương phẩm M250</t>
  </si>
  <si>
    <t>BG Lê Phan tháng 12/2023</t>
  </si>
  <si>
    <t>Bê tông thương phẩm M300</t>
  </si>
  <si>
    <t>Cát vàng</t>
  </si>
  <si>
    <t>BG  tháng 4/2024</t>
  </si>
  <si>
    <t>Cột chống thép ống</t>
  </si>
  <si>
    <t>kg</t>
  </si>
  <si>
    <t>BG Nhà Bè 4/2024</t>
  </si>
  <si>
    <t>Dây thép</t>
  </si>
  <si>
    <t>Báo giá DN</t>
  </si>
  <si>
    <t>Đá 1x2</t>
  </si>
  <si>
    <t>Đá 4x6</t>
  </si>
  <si>
    <t>Đinh</t>
  </si>
  <si>
    <t>Đinh đỉa</t>
  </si>
  <si>
    <t>Gỗ chống</t>
  </si>
  <si>
    <t>Gỗ đà nẹp</t>
  </si>
  <si>
    <t>Gỗ nẹp, chống</t>
  </si>
  <si>
    <t>Gỗ ván</t>
  </si>
  <si>
    <t>Giáo thép</t>
  </si>
  <si>
    <t>Khung xương</t>
  </si>
  <si>
    <t>Nước</t>
  </si>
  <si>
    <t>lít</t>
  </si>
  <si>
    <t>Que hàn</t>
  </si>
  <si>
    <t>Thép hình</t>
  </si>
  <si>
    <t>Thép tấm</t>
  </si>
  <si>
    <t>Thép tròn D&lt;=10mm</t>
  </si>
  <si>
    <t>BG POMINA 4/2024</t>
  </si>
  <si>
    <t>Thép tròn D&lt;=18mm</t>
  </si>
  <si>
    <t>Thép tròn D&gt;10mm</t>
  </si>
  <si>
    <t>Thép tròn D&gt;18mm</t>
  </si>
  <si>
    <t>Ván công nghiệp</t>
  </si>
  <si>
    <t>Xi măng PCB40</t>
  </si>
  <si>
    <t>BG HÀ TIÊN 4/2024 + VC</t>
  </si>
  <si>
    <t>PHẦN KIẾN TRÚC</t>
  </si>
  <si>
    <t>Bật sắt d= 10mm</t>
  </si>
  <si>
    <t>Bột bả ngoài nhà</t>
  </si>
  <si>
    <t>BG DULUX 5/2024</t>
  </si>
  <si>
    <t>Bột bả trong nhà</t>
  </si>
  <si>
    <t>Bột đá</t>
  </si>
  <si>
    <t>Bột mầu</t>
  </si>
  <si>
    <t>Bu lông</t>
  </si>
  <si>
    <t>Cát mịn ML=1,5-2,0</t>
  </si>
  <si>
    <t>Cát nền</t>
  </si>
  <si>
    <t>BG  tháng 3/2024</t>
  </si>
  <si>
    <t>CC và LĐ bộ chữ TRƯỜNG THCS THỚI TAM THÔN I</t>
  </si>
  <si>
    <t>CC và LĐ Vỉ Inox 304 cao 30mm dày 2mm</t>
  </si>
  <si>
    <t>CCLD lớp cách nhiệt tấm xốp polystyrol</t>
  </si>
  <si>
    <t>Cung cấp Bulong D12, L= 50, cấp bền 8,8</t>
  </si>
  <si>
    <t>Cung cấp Bulong D14, L= 60, cấp bền 8,8</t>
  </si>
  <si>
    <t>Cung cấp Bulong D22, L= 120, cấp bền 8,8</t>
  </si>
  <si>
    <t>Cung cấp Bulong D4, L= 60, cấp bền 8,8</t>
  </si>
  <si>
    <t>Cung cấp và lắp đặt Bulong neo D16, L=240, cấp bền 8,8</t>
  </si>
  <si>
    <t>Cung cấp và lắp đặt Bulong neo D20, L=500, cấp bền 5,6</t>
  </si>
  <si>
    <t>Cung cấp và lắp đặt cáp giằng vì kèo</t>
  </si>
  <si>
    <t>Cung cấp và lắp đặt ti giằng xà gồ</t>
  </si>
  <si>
    <t>Cửa đi 1 cánh mở + 1 cánh lật, khung nhôm, panô nhôm, kính trong cường lực 8mm</t>
  </si>
  <si>
    <t>Cửa đi 1 cánh mở + 1 cánh lật, khung nhôm, panô nhôm, kính trong cường lực 8mm, dán decal mờ</t>
  </si>
  <si>
    <t>Cửa đi 1 cánh mở + Cửa sổ 2 cánh lùa, khung nhôm, panô kính trong cường lực 8mm</t>
  </si>
  <si>
    <t>Cửa đi 1 cánh mở khung nhôm, panô nhôm, kính cường lực 8mm</t>
  </si>
  <si>
    <t>Cửa đi 1 cánh mở, khung bao sắt hộp 50x100, khung bông sắt hộp 20x20</t>
  </si>
  <si>
    <t>Cửa đi 2 cánh mở + Cửa sổ 2 cánh lùa, khung nhôm, panô kính trong cường lực 8mm</t>
  </si>
  <si>
    <t>Cửa đi 2 cánh mở khung nhôm, panô nhôm, kính mờ cường lực 8mm</t>
  </si>
  <si>
    <t>Cửa đi 2 cánh mở khung sắt, panô tole ốp 2 mặt, lá sách nhôm</t>
  </si>
  <si>
    <t>Cửa đi 4 cánh mở + Cửa sổ 2 cánh lùa, khung nhôm, panô kính trong cường lực 8mm</t>
  </si>
  <si>
    <t>Cửa đi 4 cánh mở khung nhôm, panô kính trong cường lực 8mm</t>
  </si>
  <si>
    <t>Cửa sổ 10 cánh lùa khung nhôm, panô kính trong cường lực 8mm</t>
  </si>
  <si>
    <t>Cửa sổ 2 cánh lùa khung nhôm, panô kính trong cường lực 8mm</t>
  </si>
  <si>
    <t>Cửa sổ 4 cánh lùa khung nhôm, panô kính trong cường lực 8mm</t>
  </si>
  <si>
    <t>Cửa sổ 6 cánh lật khung nhôm, panô kính trong cường lực 8mm</t>
  </si>
  <si>
    <t>Cửa sổ 6 cánh lùa khung nhôm, panô kính trong cường lực 8mm</t>
  </si>
  <si>
    <t>Chỉ gỗ tường sân khấu KT:50x20mm</t>
  </si>
  <si>
    <t>Dung dịch chống thấm</t>
  </si>
  <si>
    <t>Sika</t>
  </si>
  <si>
    <t>Đá granite tự nhiên (lát lavabo)</t>
  </si>
  <si>
    <t>Đá trắng</t>
  </si>
  <si>
    <t>Đinh các loại</t>
  </si>
  <si>
    <t>Đinh tán f22</t>
  </si>
  <si>
    <t>Đinh, đinh vít</t>
  </si>
  <si>
    <t>Gạch ceramic nhám 300x300mm</t>
  </si>
  <si>
    <t>BG ĐỒNG TÂM 4/2024</t>
  </si>
  <si>
    <t>Gạch ceramic nhám trang trí 300x100mm</t>
  </si>
  <si>
    <t>Gạch ceramic trang trí 300x100mm - ốp tường</t>
  </si>
  <si>
    <t>Gạch granite 300x300mm</t>
  </si>
  <si>
    <t>Gạch ống 8x8x18</t>
  </si>
  <si>
    <t>viên</t>
  </si>
  <si>
    <t>BG ĐẠI DŨNG 12/2023</t>
  </si>
  <si>
    <t>Gạch ống không nung 8x8x18</t>
  </si>
  <si>
    <t>Gạch thạch anh 600x100mm</t>
  </si>
  <si>
    <t>Gạch thạch anh 600x600mm</t>
  </si>
  <si>
    <t>Gạch thạch anh trang trí 600x100mm</t>
  </si>
  <si>
    <t>Gạch thẻ không nung 4x8x18</t>
  </si>
  <si>
    <t>Gạch trang trí (ốp tường ngoài)</t>
  </si>
  <si>
    <t>Gỗ chèn</t>
  </si>
  <si>
    <t>Gỗ lát sân khấu dày 20mm</t>
  </si>
  <si>
    <t>Gỗ lát tam cấp dày 20mm</t>
  </si>
  <si>
    <t>Giằng gỗ tam cấp sân khấu KT:20x20mm</t>
  </si>
  <si>
    <t>Giấy ráp</t>
  </si>
  <si>
    <t>Khí gas</t>
  </si>
  <si>
    <t>Khung săt bàn đá granit lavabo</t>
  </si>
  <si>
    <t>Khung sắt bảo vệ cửa sổ</t>
  </si>
  <si>
    <t>Khung sắt mái alu  tầng 1 nhà đa năng</t>
  </si>
  <si>
    <t>Lá đồng 40x40x5mm che khe lún tường</t>
  </si>
  <si>
    <t>Lam nhôm []40x80x1,4mm</t>
  </si>
  <si>
    <t>Lan can inox ram dốc, thanh ngang D50, thanh đứng D30</t>
  </si>
  <si>
    <t>Lan can sắt cầu thang, thang đứng + thanh ngang []20x40x1,2mm</t>
  </si>
  <si>
    <t>Máng kẽm dày 0.5mm che khe lún sàn</t>
  </si>
  <si>
    <t>Nhôm lá 55x55x4mm</t>
  </si>
  <si>
    <t>Nhôm lá 90x55x4mm</t>
  </si>
  <si>
    <t>Ổ khóa cửa đi</t>
  </si>
  <si>
    <t>Ô xy</t>
  </si>
  <si>
    <t>chai</t>
  </si>
  <si>
    <t>Ốp gạch nhà bếp, khu rửa tay</t>
  </si>
  <si>
    <t>Ốp nhôm tường ngoài P. Giám thị, P. Y tế</t>
  </si>
  <si>
    <t>Sơn lót</t>
  </si>
  <si>
    <t>BG sơn HOÀNG GIA 12/2023</t>
  </si>
  <si>
    <t>Sơn lót nội thất</t>
  </si>
  <si>
    <t>BG DULUX A935 -5/2024</t>
  </si>
  <si>
    <t>Sơn lót ngoại thất</t>
  </si>
  <si>
    <t>BG DULUX A936 -5/2024</t>
  </si>
  <si>
    <t>Sơn phủ</t>
  </si>
  <si>
    <t>Sơn phủ nội thất</t>
  </si>
  <si>
    <t>BG DULUX A991B -5/2024</t>
  </si>
  <si>
    <t>Sơn phủ ngoại thất</t>
  </si>
  <si>
    <t>BG DULUX BJ9 -5/2024</t>
  </si>
  <si>
    <t>SXLD dàn treo sân khấu bằng săt tráng kẻm D42</t>
  </si>
  <si>
    <t>Tấm Alu mái nhà đa năng</t>
  </si>
  <si>
    <t>Tấm inox che khe lún mái</t>
  </si>
  <si>
    <t>Tole mạ màu dày 0,48mm + Lớp cách nhiệt dày 50mm</t>
  </si>
  <si>
    <t>Thép tròn</t>
  </si>
  <si>
    <t>Trần thạch cao khung nhôm chìm</t>
  </si>
  <si>
    <t>Trần thạch cao khung nhôm nổi chống ẩm</t>
  </si>
  <si>
    <t>Vách kính cố định khung nhôm chìm, kính trong cường lực 8mm</t>
  </si>
  <si>
    <t>Vách ngăn + Cửa bằng tấm Compact + phụ kiện</t>
  </si>
  <si>
    <t>Ván ép lát sân khấu dày 20mm</t>
  </si>
  <si>
    <t>Ván ốp tường dày 20mm</t>
  </si>
  <si>
    <t>Xi măng PCB 40</t>
  </si>
  <si>
    <t>Xi măng trắng</t>
  </si>
  <si>
    <t>NHÀ BẢO VỆ</t>
  </si>
  <si>
    <t>Cáp điện Cu/PVC 1,5mm²</t>
  </si>
  <si>
    <t>BG CADIVI -3/2024</t>
  </si>
  <si>
    <t>Cáp điện Cu/PVC 2,5mm²</t>
  </si>
  <si>
    <t>Cáp điện Cu/PVC/PVC 3x1,5mm²</t>
  </si>
  <si>
    <t>Cáp điện Cu/PVC/PVC 3x2,5mm²</t>
  </si>
  <si>
    <t>Cầu chắn rác inox D90</t>
  </si>
  <si>
    <t>Cầu chì 2A</t>
  </si>
  <si>
    <t>Co uPVC D90</t>
  </si>
  <si>
    <t>BG BÌNH MINH -11/2023</t>
  </si>
  <si>
    <t>Contactor 2P-20A</t>
  </si>
  <si>
    <t>Schneider</t>
  </si>
  <si>
    <t>Cồn rửa</t>
  </si>
  <si>
    <t>Công tắc 1 chiều 10A</t>
  </si>
  <si>
    <t>Cửa đi 1 cánh mở, khung nhôm, panô kính cường lực dày 8mm</t>
  </si>
  <si>
    <t>Cửa sổ 2 cánh lùa, khung nhôm, panô kính cường lực dày 8mm</t>
  </si>
  <si>
    <t>Dimmer quạt</t>
  </si>
  <si>
    <t>Đá granite tự nhiên</t>
  </si>
  <si>
    <t>Đèn 1,2m bóng LED TUBE 1x18W, máng siêu mỏng, lắp áp tường, trần.</t>
  </si>
  <si>
    <t>https://www.mpe.com.vn/led-tube-2</t>
  </si>
  <si>
    <t>Đèn báo</t>
  </si>
  <si>
    <t>Đế âm lắp công tắc, ổ cắm</t>
  </si>
  <si>
    <t>Gạch ceramic 400x400</t>
  </si>
  <si>
    <t>Hộp nối dây 2, 3 ngã</t>
  </si>
  <si>
    <t>Hộp nối dây vuông 150x150</t>
  </si>
  <si>
    <t>Keo dán</t>
  </si>
  <si>
    <t>Khung sắt bảo vệ</t>
  </si>
  <si>
    <t>Mặt công tắc loại 2 gang</t>
  </si>
  <si>
    <t>Mặt công tắc loại 3 gang</t>
  </si>
  <si>
    <t>MCB 1P-20A, 4,5kA</t>
  </si>
  <si>
    <t>MCCB 3P-40A, 15kA</t>
  </si>
  <si>
    <t>Nhựa dán</t>
  </si>
  <si>
    <t>Ổ cắm điện đôi, 3 cực, 16A-220V</t>
  </si>
  <si>
    <t>Ống HDPE xoắn D50/40</t>
  </si>
  <si>
    <t>Ống luồn dây PVC D20</t>
  </si>
  <si>
    <t>Cadivi</t>
  </si>
  <si>
    <t>Ống luồn dây PVC D25</t>
  </si>
  <si>
    <t>Ống nhựa uPVC D90</t>
  </si>
  <si>
    <t>Phụ tùng, phụ kiện hệ thống điện + nước nhà bảo vệ</t>
  </si>
  <si>
    <t>lô</t>
  </si>
  <si>
    <t>Quạt trần</t>
  </si>
  <si>
    <t>Panasonic</t>
  </si>
  <si>
    <t>RCBO 2P-10A, 30mmA, 4,5kA</t>
  </si>
  <si>
    <t>RCBO 2P-16A, 30mmA, 4,5kA</t>
  </si>
  <si>
    <t>RCBO 2P-20A, 30mmA, 4,5kA</t>
  </si>
  <si>
    <t>Time Switch 24hour</t>
  </si>
  <si>
    <t>Vỏ tủ điện kim loại sơn tĩnh điện (DB.BV)-(H600W400D200MM) + Busbar, Phụ kiện</t>
  </si>
  <si>
    <t>Bật sắt 20x4x250</t>
  </si>
  <si>
    <t>Bê tông thương phẩm mác 350</t>
  </si>
  <si>
    <t>Cung cấp và đắp đá, sỏi làm màng lọc miệng thoát nước</t>
  </si>
  <si>
    <t>Cung cấp và lắp đặt bộ chữ bảng hiệu tường cổng chính</t>
  </si>
  <si>
    <t>Cửa cổng sắt 1 cánh mở, sơn hoàn thiện</t>
  </si>
  <si>
    <t>Cửa kéo sắt, bánh trượt, ray, bát ray, sơn hoàn thiện</t>
  </si>
  <si>
    <t>Cửa xếp mô tơ điện</t>
  </si>
  <si>
    <t>Đá granít tự nhiên</t>
  </si>
  <si>
    <t>Hàng rào song sắt</t>
  </si>
  <si>
    <t>Ống nhựa uPVC D49 (thay D50)</t>
  </si>
  <si>
    <t>Silicon chít mạch</t>
  </si>
  <si>
    <t>Sơn lót sắt thép</t>
  </si>
  <si>
    <t>Sơn phủ sắt thép</t>
  </si>
  <si>
    <t>CỘT CỜ</t>
  </si>
  <si>
    <t>Cột cờ cao 6m, bằng inox (bao gồm bulon neo, bản mã)</t>
  </si>
  <si>
    <t>CẦU THANG THÉP</t>
  </si>
  <si>
    <t>CC và LĐ Bulong liên kết M12x50, cấp bền 8,8</t>
  </si>
  <si>
    <t>CC và LĐ Bulong neo M16x350, cấp bền 5,6</t>
  </si>
  <si>
    <t>CC và LĐ Bulong neo M16x550, cấp bền 5,6</t>
  </si>
  <si>
    <t>Xi măng PC40</t>
  </si>
  <si>
    <t>VII</t>
  </si>
  <si>
    <t>BỂ TỰ HOẠI, BỂ TÁCH MỠ</t>
  </si>
  <si>
    <t>BT thương phẩm mác 350, PG C.thấm cấp B10</t>
  </si>
  <si>
    <t>BG Lê Phan tháng 12/2023 + PHỤ GIA</t>
  </si>
  <si>
    <t>Nắp gang thăm bể, KT: 500x500x60</t>
  </si>
  <si>
    <t>Nắp gang thăm bể, KT: 700x700x60</t>
  </si>
  <si>
    <t>Tấm water-stop</t>
  </si>
  <si>
    <t>Thang Inox D30 thăm bể</t>
  </si>
  <si>
    <t>Vật liệu lọc than xỉ</t>
  </si>
  <si>
    <t>VIII</t>
  </si>
  <si>
    <t>SAN NỀN</t>
  </si>
  <si>
    <t>IX</t>
  </si>
  <si>
    <t>NHÀ XE</t>
  </si>
  <si>
    <t>Băng báo cáp ngầm</t>
  </si>
  <si>
    <t>Bulong M16x650</t>
  </si>
  <si>
    <t>Bulong neo M20x80</t>
  </si>
  <si>
    <t>Cáp điện Cu/PVC 1x1,5mm²</t>
  </si>
  <si>
    <t>Cáp điện Cu/PVC 1x2,5mm²</t>
  </si>
  <si>
    <t>Đá cấp phối 0x4cm</t>
  </si>
  <si>
    <t>Đèn huỳnh quang 1 bóng 1,2m 36W</t>
  </si>
  <si>
    <t>Giằng cáp D12mm</t>
  </si>
  <si>
    <t>LD ty giằng xà gồ D12</t>
  </si>
  <si>
    <t>Lơi uPVC D90</t>
  </si>
  <si>
    <t>Lớp nilon chống mất nước xi măng dày 0,3mm</t>
  </si>
  <si>
    <t>Máng xối tole dày 0,8mm</t>
  </si>
  <si>
    <t>Ống điện đi ngầm HDPE D50/40</t>
  </si>
  <si>
    <t>Tole tráng kẽm</t>
  </si>
  <si>
    <t>X</t>
  </si>
  <si>
    <t>HỒ NƯỚC NGẦM</t>
  </si>
  <si>
    <t>Gạch ceramic 300x300mm</t>
  </si>
  <si>
    <t>Nắp gang thăm hồ, KT: 700x700x50</t>
  </si>
  <si>
    <t>Thang inox D30 xuống hồ</t>
  </si>
  <si>
    <t>XI</t>
  </si>
  <si>
    <t>ĐƯỜNG NỘI BỘ</t>
  </si>
  <si>
    <t>Bê tông đá mi</t>
  </si>
  <si>
    <t>tạm tính + NC</t>
  </si>
  <si>
    <t>Bê tông thương phẩm mác 150</t>
  </si>
  <si>
    <t>Bê tông thương phẩm mác 300</t>
  </si>
  <si>
    <t>Bê tông thương thẩm mac 200</t>
  </si>
  <si>
    <t>Đất đắp</t>
  </si>
  <si>
    <t>Gạch lỗ trồng cỏ 400x400</t>
  </si>
  <si>
    <t>Gạch terazzo 400x400</t>
  </si>
  <si>
    <t>BG Lê Hùng tháng 4/2024</t>
  </si>
  <si>
    <t>Gỗ ván ( cả nẹp)</t>
  </si>
  <si>
    <t>Ống nhựa uPVC D27</t>
  </si>
  <si>
    <t>Xoa mặt bê tông bó vỉa</t>
  </si>
  <si>
    <t>BẢNG TÍNH CƯỚC VẬN CHUYỂN ĐƯỜNG BỘ</t>
  </si>
  <si>
    <t>Từ đường Nguyễn Văn Quỳ, quận 7 đến công trình</t>
  </si>
  <si>
    <t xml:space="preserve"> - Thông tư số 11/2021/TT-BXD ngày 31/8/2021 của Bộ Xây Dựng v/v “Hướng dẫn một số nội dung xác định và quản lý chi phí đầu tư xây dựng”.</t>
  </si>
  <si>
    <t xml:space="preserve"> - Đơn giá vận chuyển tính theo Thông tư số 12/2021/TT-BXD do Bộ Xây Dựng ban hành ngày 31/08/2021 về Định mức Xây dựng.</t>
  </si>
  <si>
    <t xml:space="preserve"> - Cự ly vận chuyển theo Quyết định 437/QĐ-SGTCC ngày 20/2/2008 của Sở GTCC TP.HCM về việc duyệt điều chỉnh loại đường để tính cước vận chuyển cho công tác duy tu sửa chữa thường xuyên đường bộ</t>
  </si>
  <si>
    <t>- Quyết định số 2188/QĐ-SXD-KTXD ngày 21/11/2022 của SXD TPHCM về việc công bố giá ca máy và thiết bị thi công xây dựng; đơn giá nhân công xây dựng trên địa bàn Thành phố Hồ Chí Minh.</t>
  </si>
  <si>
    <t xml:space="preserve"> - Thông báo số 3395/TB-SXD-VLXD ngày 13/04/2022 v/v công bố giá vật liệu xây dựng trên địa bàn Thành phố Hồ Chí Minh quý I/2022 của Sở  Xây Dựng và tham khảo các đại lý VLXD có uy tín trên địa bàn Thành phố Hồ Chí Minh.</t>
  </si>
  <si>
    <t>Tên vật liệu</t>
  </si>
  <si>
    <t>Đơn
 vị</t>
  </si>
  <si>
    <t xml:space="preserve">Trọng lượng nguyên thổ  </t>
  </si>
  <si>
    <t>Trọng
 lượng</t>
  </si>
  <si>
    <t>MHĐM</t>
  </si>
  <si>
    <t>Điểm bốc lên/Diễn giải</t>
  </si>
  <si>
    <t>Phương tiện vận chuyển</t>
  </si>
  <si>
    <t>Cự ly quy đổi về Đường L3</t>
  </si>
  <si>
    <t>Hệ số điều chỉnh máy</t>
  </si>
  <si>
    <t>Giá cước</t>
  </si>
  <si>
    <t xml:space="preserve">Phí qua trạm 40.000đ/xe 10T </t>
  </si>
  <si>
    <t>Cước vận chuyển</t>
  </si>
  <si>
    <t>Báo giá tháng (chưa VAT)</t>
  </si>
  <si>
    <t>Giá đến chân công trình</t>
  </si>
  <si>
    <t>(4)</t>
  </si>
  <si>
    <t>(5)</t>
  </si>
  <si>
    <t>(7)</t>
  </si>
  <si>
    <t>(9)</t>
  </si>
  <si>
    <t>(10)</t>
  </si>
  <si>
    <t>(11)</t>
  </si>
  <si>
    <t>(12)</t>
  </si>
  <si>
    <t>(13)</t>
  </si>
  <si>
    <t>(14 ) =(12)+(13)</t>
  </si>
  <si>
    <t>Cát vàng BT</t>
  </si>
  <si>
    <t>Nguyễn Văn Quỳ - công trình</t>
  </si>
  <si>
    <t>Ô tô 10T</t>
  </si>
  <si>
    <t>AM.23123</t>
  </si>
  <si>
    <t>+ Hao phí cho 3km</t>
  </si>
  <si>
    <t>Cát xây tô</t>
  </si>
  <si>
    <t>AM.22135</t>
  </si>
  <si>
    <t>Cát san lấp</t>
  </si>
  <si>
    <t>Đá mi</t>
  </si>
  <si>
    <t>Đồng nai - công trình</t>
  </si>
  <si>
    <t>Ô tô 7T</t>
  </si>
  <si>
    <t>Tân Cang</t>
  </si>
  <si>
    <t>AM.23413</t>
  </si>
  <si>
    <t>+ Hao phí cho 39km</t>
  </si>
  <si>
    <t>Gạch CLXM 40x80x180</t>
  </si>
  <si>
    <t>Viên</t>
  </si>
  <si>
    <t>Nhà máy - công trình</t>
  </si>
  <si>
    <t>SECOIN (tháng 4/2023)</t>
  </si>
  <si>
    <t>AM.24113</t>
  </si>
  <si>
    <t>+ Hao phí cho 49km</t>
  </si>
  <si>
    <t>Gạch CLXM 80x80x180</t>
  </si>
  <si>
    <t>Xi măng</t>
  </si>
  <si>
    <t>tấn</t>
  </si>
  <si>
    <t>Phú Hữu, Quận 9 - Công trình</t>
  </si>
  <si>
    <t>Ha Tien (tháng 5/2023)</t>
  </si>
  <si>
    <t>AM.24413</t>
  </si>
  <si>
    <t>+ Hao phí cho 35km</t>
  </si>
  <si>
    <t>KCN Nhơn Trạch -Đồng nai - công trình</t>
  </si>
  <si>
    <t>Thép Nhà Bè (tháng 5/2023)</t>
  </si>
  <si>
    <t>AM.24513</t>
  </si>
  <si>
    <t>+ Hao phí cho 40km</t>
  </si>
  <si>
    <t>Thép &lt;10</t>
  </si>
  <si>
    <t>Trường thọ, Thủ Đức - Công trình</t>
  </si>
  <si>
    <t>Thép Việt - Pomina tháng 15,4.2021</t>
  </si>
  <si>
    <t>AM.24533</t>
  </si>
  <si>
    <t>+ Hao phí cho 13,6km</t>
  </si>
  <si>
    <t>Thép  &lt;=18</t>
  </si>
  <si>
    <t>Ngói 22v/m2</t>
  </si>
  <si>
    <t>Đồng Nai - công trình</t>
  </si>
  <si>
    <t>Đồng Nai</t>
  </si>
  <si>
    <t>Gạch tàu 300x300</t>
  </si>
  <si>
    <t>Bình dương - công trình</t>
  </si>
  <si>
    <t>Cọc BTCT D300</t>
  </si>
  <si>
    <t>Tấn</t>
  </si>
  <si>
    <t>AM.27113</t>
  </si>
  <si>
    <t>D300</t>
  </si>
  <si>
    <t xml:space="preserve">1m cọc </t>
  </si>
  <si>
    <t>D180</t>
  </si>
  <si>
    <t>D350</t>
  </si>
  <si>
    <t>D230</t>
  </si>
  <si>
    <t>BẢNG GIÁ THÔNG BÁO CÔNG TRÌNH</t>
  </si>
  <si>
    <t>Tên vật tư</t>
  </si>
  <si>
    <t>Giá tháng_x000D_</t>
  </si>
  <si>
    <t>Giá tháng_x000D_
đề nghị</t>
  </si>
  <si>
    <t>Nguồn gốc xuất xứ</t>
  </si>
  <si>
    <t>Băng báo hiệu cáp ngầm</t>
  </si>
  <si>
    <t>Báo giá DN 2023 - Công ty thương mại trang trí nội thất Phú Lộc (111 số 9. p. Tân Quy, Quận 7)</t>
  </si>
  <si>
    <t>Hiệu chỉnh 1562023</t>
  </si>
  <si>
    <t>Bảng điện nhựa 200x300</t>
  </si>
  <si>
    <t>Bảng điện nhựa 80x160</t>
  </si>
  <si>
    <t>Băng tan</t>
  </si>
  <si>
    <t>Bảng tên trường khung sắt pano tôn sơn dầu (VT+NC)</t>
  </si>
  <si>
    <t>Báo giá DN 2023 - Công ty TNHH thương mại dịch vụ sản xuất quảng cáo Vinh Hoa (1897/12 Huỳnh Tấn Phát, kp5, thị trấn Nhà Bè, huyện Nhà Bè</t>
  </si>
  <si>
    <t>Bánh xe bạt đạn D150 (VT+NC)</t>
  </si>
  <si>
    <t>Báo giá DN 2023 - Công ty TNHH MTV Thương mại VLXD Nhật Minh (569 Nguyễn Thị Thập, p. Tân Phong, Quận 7)</t>
  </si>
  <si>
    <t>Bánh xe cửa sổ lùa (VT+NC)</t>
  </si>
  <si>
    <t>Bảo dưỡng hệ thống thang nâng, cân chỉnh sàn thang nâng (VT+NC)</t>
  </si>
  <si>
    <t>Báo giá DN - 2023 Công ty TNHH công nghệ điều khiển tự động ALPHA (745/44 Quang Trung. p. 12, quận Gò Vấp)</t>
  </si>
  <si>
    <t>Bảo trì, bảo dưỡng hệ thống máy bơm PCCC (thay bình ắc quy, luppe, van nước, mối nối mềm, ron cao su, ...)</t>
  </si>
  <si>
    <t>Báo giá DN 2023 - Công ty cổ phần xây dựng thương mại dịch vụ Đại Tín Nghĩa (726/8 Lê Hồng Phong. p. Tân Bình, Tp. Dĩ An, tỉnh Bình Dương)</t>
  </si>
  <si>
    <t>Bạt nhựa</t>
  </si>
  <si>
    <t>Báo giá DN 2023 - CH Tôn Tấn Linh (63 Mai Văn Vĩnh, p. Tân Quy, Quận 7)</t>
  </si>
  <si>
    <t>Bình Ác quy 12V - 45A</t>
  </si>
  <si>
    <t>Báo giá DN 2023 - Công ty TNHH thương mại dịch vụ Vĩnh Vĩnh Hằng (153 Nguyễn Thông, p. 9, Quận 3)</t>
  </si>
  <si>
    <t>Bình bột ABC - 8kg</t>
  </si>
  <si>
    <t>Bình</t>
  </si>
  <si>
    <t>Bình CO2 - 5kg</t>
  </si>
  <si>
    <t>Bình tích áp 100 lít</t>
  </si>
  <si>
    <t>Báo giá DN 2023 - HKD thiết bị điện AP 616 (189 Huỳnh Tấn Phát, p. Tân Thuận Đông, Quận 7)</t>
  </si>
  <si>
    <t>Bịt uPVC D114</t>
  </si>
  <si>
    <t>Bình Minh 01/01/2023</t>
  </si>
  <si>
    <t>Bịt uPVC D60</t>
  </si>
  <si>
    <t>Bịt uPVC D90</t>
  </si>
  <si>
    <t>Bộ xả Lavabo</t>
  </si>
  <si>
    <t>Inax 2021 - A325PS (https:// Inax.com.vn/vi/)</t>
  </si>
  <si>
    <t>Bột bả nội thất</t>
  </si>
  <si>
    <t xml:space="preserve">7720/tb-sxd-vlxd-3152023 - Nippon </t>
  </si>
  <si>
    <t>Bột bả ngoại thất</t>
  </si>
  <si>
    <t>Bông khoáng</t>
  </si>
  <si>
    <t>Không có (đề nghị bỏ)</t>
  </si>
  <si>
    <t>Báo giá DN 2023 - Công ty cổ phần đầu tư thiết bị Khải Minh (217 Tô Hiến Thành, p. 13, Quận 10)</t>
  </si>
  <si>
    <t>Bu lông M16-M20</t>
  </si>
  <si>
    <t>Bulon nở M12x120</t>
  </si>
  <si>
    <t>Bulon nở M12x150</t>
  </si>
  <si>
    <t>Bu lông M16 (8.8), L= 60</t>
  </si>
  <si>
    <t>bs 19062023</t>
  </si>
  <si>
    <t>Bu lông M20 (8.8), L= 600</t>
  </si>
  <si>
    <t>Cải tạo thu ngắn chân cửa đi cao 200 (VT+NC)</t>
  </si>
  <si>
    <t>cánh</t>
  </si>
  <si>
    <t>Cáp điện CV 1.5mm2</t>
  </si>
  <si>
    <t>Cadivi 17/5/2021</t>
  </si>
  <si>
    <t>Cáp điện CV 2.5mm2</t>
  </si>
  <si>
    <t>Cáp điện CV 4mm2</t>
  </si>
  <si>
    <t>Cáp điện CV 6mm2</t>
  </si>
  <si>
    <t>Cáp điện CV 10mm2</t>
  </si>
  <si>
    <t>Cáp điện CV 16mm2</t>
  </si>
  <si>
    <t>Cáp điện CV 25mm2</t>
  </si>
  <si>
    <t>Cáp điện CV 35mm2</t>
  </si>
  <si>
    <t>Cáp điện CV 50mm2</t>
  </si>
  <si>
    <t>Cáp điện CVV 2x2.5mm2</t>
  </si>
  <si>
    <t>Cáp điện CVV 2x4mm2</t>
  </si>
  <si>
    <t>Cáp điện CVV 2x6mm2</t>
  </si>
  <si>
    <t>Cáp điện CVV 2x10mm2</t>
  </si>
  <si>
    <t>Cáp điện CVV 3x6mm2</t>
  </si>
  <si>
    <t>Cáp điện CVV 3x10mm2</t>
  </si>
  <si>
    <t>Cáp điện CVV 3x2,5mm2</t>
  </si>
  <si>
    <t>Cáp điện CVV 3x4mm2</t>
  </si>
  <si>
    <t>Cáp điện CVV 4x2.5mm2</t>
  </si>
  <si>
    <t>Cáp điện CVV 4x4mm2</t>
  </si>
  <si>
    <t>Cáp điện CVV 4x6mm2</t>
  </si>
  <si>
    <t>Cáp điện CVV 4x10mm2</t>
  </si>
  <si>
    <t>Cáp điện CXV 4x10mm2 + E10</t>
  </si>
  <si>
    <t>Cáp điện CVV 4x16mm2</t>
  </si>
  <si>
    <t>Cáp điện CVV 4x35mm2</t>
  </si>
  <si>
    <t>Cáp điện CVV 4x50mm2</t>
  </si>
  <si>
    <t>Cáp điện CVV 4x70mm2</t>
  </si>
  <si>
    <t>Cáp điện CVV 4x185mm2</t>
  </si>
  <si>
    <t>Cáp điện CXV/FR 2x1.5mm2</t>
  </si>
  <si>
    <t>Cáp điện CXV 2x4mm2</t>
  </si>
  <si>
    <t>Cáp điện CXV 3x2.5mm2</t>
  </si>
  <si>
    <t>Cáp điện CXV 3x10mm2</t>
  </si>
  <si>
    <t>Cáp điện CXV 3x4mm2</t>
  </si>
  <si>
    <t>Cáp điện CXV 4x16mm2</t>
  </si>
  <si>
    <t>Cáp điện CXV 4x70mm2</t>
  </si>
  <si>
    <t>Cáp điện CXV 4x95mm2</t>
  </si>
  <si>
    <t>Cáp điện CXV/FR 4x35mm2</t>
  </si>
  <si>
    <t>Cáp mạng CAT 6</t>
  </si>
  <si>
    <t>Cáp mạng CAT 6E</t>
  </si>
  <si>
    <t>Cáp báo cháy chống nhiểu 2x16AWG</t>
  </si>
  <si>
    <t>Alantex</t>
  </si>
  <si>
    <t>Cắt bỏ mạch ron gạch nền 250x250 bằng máy cắt, chà ron gạch nền bằng keo chà ron chống thấm (VT+NC)</t>
  </si>
  <si>
    <t>7720/tb-sxd-vlxd-3152023</t>
  </si>
  <si>
    <t>Cầu chắn rác inox D60</t>
  </si>
  <si>
    <t>Cầu chắn rác D114</t>
  </si>
  <si>
    <t>Cây chống</t>
  </si>
  <si>
    <t>cây</t>
  </si>
  <si>
    <t>Chặt hạ gốc cây D500 xuống 200</t>
  </si>
  <si>
    <t>gốc</t>
  </si>
  <si>
    <t>Báo giá DN 2023 - Công ty TNHH MTV dịch vụ công ích Quận 7 (1414 Huỳnh Tấn Phát, p. Phú Mỹ, Quận 7)</t>
  </si>
  <si>
    <t>Chậu rửa kèm chân ngắn (Lavabo + dây cấp nước + bộ xả)</t>
  </si>
  <si>
    <t>Inax L-285V/L-288VC+A-701-8+A-325PS (https:// Inax.com.vn/vi/)</t>
  </si>
  <si>
    <t>Chậu rửa âm bàn (Lavabo + dây cấp nước + bộ xả)</t>
  </si>
  <si>
    <t>Inax AL-2395V+A-701-8+A-325PS (https:// Inax.com.vn/vi/)</t>
  </si>
  <si>
    <t>Chậu rửa loại nhỏ (Chậu + dây cấp + bộ xả)</t>
  </si>
  <si>
    <t>Inax L-282V+A-701-8+A-325PS (https:// Inax.com.vn/vi/)</t>
  </si>
  <si>
    <t>Chậu rửa chén 1 hộc inox 304 (Chậu + dây cấp nước + bộ xả)</t>
  </si>
  <si>
    <t>Inax (A-701-8+A-325PS) chậu rửa Sơn Hà (Tuấn Đức 2023)</t>
  </si>
  <si>
    <t>Chậu tiểu nam</t>
  </si>
  <si>
    <t>Inax AU-431VR (https:// Inax.com.vn/vi/)</t>
  </si>
  <si>
    <t>Chậu tiểu nam loại nhỏ</t>
  </si>
  <si>
    <t>Inax U-440V (https:// Inax.com.vn/vi/)</t>
  </si>
  <si>
    <t>Chậu tiểu nam loại nhỏ (Chậu tiểu + bộ xả)</t>
  </si>
  <si>
    <t>Inax U-116V (https:// Inax.com.vn/vi/)</t>
  </si>
  <si>
    <t>Chậu xí bệt (Chậu xí bệt lớn + dây cấp)</t>
  </si>
  <si>
    <t>Inax/AC-514VAN + A-701-8 (https:// Inax.com.vn/vi/)</t>
  </si>
  <si>
    <t>Inax/C-306VAN + A-701-8 (https:// Inax.com.vn/vi/)</t>
  </si>
  <si>
    <t>Chậu xí bệt loại nhỏ (Chậu xí bệt + dây cấp)</t>
  </si>
  <si>
    <t>Thiên Thanh Piggy trẻ em + A-701-8</t>
  </si>
  <si>
    <t>Chống dột lổ đinh mái tôn bằng miếng dán chống dột phủ qua đầu đinh (VT+NC)</t>
  </si>
  <si>
    <t>Chông sắt tròn D16, a125 cao 300, sơn dầu hoàn thiện (VT+NC)</t>
  </si>
  <si>
    <t>Chống thấm cổ ống</t>
  </si>
  <si>
    <t>vị trí</t>
  </si>
  <si>
    <t>Co 45 độ uPVC D60</t>
  </si>
  <si>
    <t>Co 45 độ uPVC D90</t>
  </si>
  <si>
    <t>Co 45 độ uPVC D114</t>
  </si>
  <si>
    <t>Co 45 độ uPVC D27</t>
  </si>
  <si>
    <t>Co 90 độ uPVC D114</t>
  </si>
  <si>
    <t>Co 90 độ uPVC D21</t>
  </si>
  <si>
    <t>Co 90 độ uPVC D27</t>
  </si>
  <si>
    <t>Co 90 độ uPVC D34</t>
  </si>
  <si>
    <t>Co 90 độ uPVC D60</t>
  </si>
  <si>
    <t>Co 90 độ uPVC D90</t>
  </si>
  <si>
    <t>Co 90 độ uPVC D220</t>
  </si>
  <si>
    <t>Co 90 độ uPVC D114/90</t>
  </si>
  <si>
    <t>Co nhựa uPVC D27 ren trong thau 21</t>
  </si>
  <si>
    <t>Co uPVC D27 ren ngoài 21</t>
  </si>
  <si>
    <t>Co hàn STK D76</t>
  </si>
  <si>
    <t>https://thepbaotin.com/bao-gia-phu-kien-ong-thep-trang-kem-hoa-phat/</t>
  </si>
  <si>
    <t>Co ngang máng cáp 100x50x1.0 (có nắp)</t>
  </si>
  <si>
    <t>báo giá DN 2023 - Công ty TNHH thương mại sản xuất và lắp đặt Nguyên Thái (C8B/9AH1/NT liên ấp 123, ấp 3B, xã Vĩnh Lộc B, huyện Bình Chánh)</t>
  </si>
  <si>
    <t>Co ngang máng cáp 100x75x1.0 (có nắp)</t>
  </si>
  <si>
    <t>Co ngang máng cáp 150x75x1.0 (có nắp)</t>
  </si>
  <si>
    <t>Co ren trong uPVC D21</t>
  </si>
  <si>
    <t>Co xuống thang cáp 150x100x1.0 (có nắp)</t>
  </si>
  <si>
    <t>Cọc tràm D80-100</t>
  </si>
  <si>
    <t>Vựa cừ Hoàng Nghĩa (79 đường số 10, p. Tân Quy, Quận 7)</t>
  </si>
  <si>
    <t>Cồn công nghiệp</t>
  </si>
  <si>
    <t>Báo giá DN 2023</t>
  </si>
  <si>
    <t>Con thỏ nhựa uPVC D60</t>
  </si>
  <si>
    <t>Con thỏ nhựa uPVC D90</t>
  </si>
  <si>
    <t>7720/tb-sxd-vlxd-3152023 - Thép Nhà Bè + VC</t>
  </si>
  <si>
    <t>Cửa cuốn (VT+NC)</t>
  </si>
  <si>
    <t>Báo giá DN 2023 (Công ty TNHH MTV Hà Nam Hải)</t>
  </si>
  <si>
    <t>Cửa cuốn kéo tay (VT+NC)</t>
  </si>
  <si>
    <t>Mô tơ + hộp điều khiển cửa cuốn (VT+NC)</t>
  </si>
  <si>
    <t>Cửa đi pano nhôm Xingfa hệ 55, kính cường lực dày 8mm (VT+NC)</t>
  </si>
  <si>
    <t>Báo giá DN 2023 (Công ty TNHH Worlddoor Miền Nam)</t>
  </si>
  <si>
    <t>Cửa đi panô nhôm Xingfa hệ 55, kính cường lực dày 8mm mờ (VT+NC)</t>
  </si>
  <si>
    <t>Cửa sổ khung nhôm Xingfa hệ 55, kính cường lực dày 8mm (VT+NC)</t>
  </si>
  <si>
    <t>Cửa sổ khung nhôm Xingfa hệ 55, kính cường lực dày 8mm mờ (VT+NC)</t>
  </si>
  <si>
    <t>Khung vách pano nhôm Xingfa hệ 55 (VT+NC)</t>
  </si>
  <si>
    <t>Cửa đi khung pano nhôm hệ 1000 kính cường lực dày 8mm (VT+NC)</t>
  </si>
  <si>
    <t>Báo giá DN 2023/Nhôm Việt - Nhật</t>
  </si>
  <si>
    <t>Cửa đi khung pano nhôm hệ 1000 kính cường lực dày 8mm dán đề can mờ (VT+NC)</t>
  </si>
  <si>
    <t>Cửa sổ khung pano nhôm hệ 1000 kính cường lực dày 8mm (VT+NC)</t>
  </si>
  <si>
    <t>Cửa đi khung pano nhôm hệ 700 kính cường lực dày 8mm dán đề can mờ (VT+NC)</t>
  </si>
  <si>
    <t>Cửa đi khung pano nhôm hệ 700 kính cường lực dày 8mm (VT+NC)</t>
  </si>
  <si>
    <t>Cửa sổ khung nhôm hệ 700 kính cường lực dày 8mm (VT+NC)</t>
  </si>
  <si>
    <t>Khung vách pano nhôm hệ 700 (VT+NC)</t>
  </si>
  <si>
    <t>Vách panô nhôm hệ 1000 (VT+NC)</t>
  </si>
  <si>
    <t>Vách khung nhôm hệ 1000 kính cường lực dày 8mm (VT+NC)</t>
  </si>
  <si>
    <t>Vách ngăn tấm compact HPL dày 12mm phụ kiện inox (VT+NC)</t>
  </si>
  <si>
    <t>Báo giá DN 2023 - Công ty cổ phần thương mại dịch vụ sản xuất Thuận Hưng (37/4E Nguyễn Ảnh Thủ, xã Thới Tam Thôn, huyện Hóc Môn)</t>
  </si>
  <si>
    <t>Vách thạch cao khung chìm, bả ma tít sơn nước hoàn thiện (VT+NC)</t>
  </si>
  <si>
    <t>báo giá DN 2023 - Công ty TNHH thương mại sản xuất dịch vụ Đông Á (685 Lê Văn Lương, xã Nhơn Đức, huyện Nhà Bè)</t>
  </si>
  <si>
    <t>Cửa đi tấm compact HPL dày 12mm phụ kiện inox (VT+NC)</t>
  </si>
  <si>
    <t>Cửa đi sắt kính cường lực dày 8mm (VT+NC)</t>
  </si>
  <si>
    <t>Cửa sổ sắt kính cường lực dày 8mm (VT+NC)</t>
  </si>
  <si>
    <t>Khung thép hộp 40x80x1,4mm ck 600mm, vách tấm cemboard dày 12mm</t>
  </si>
  <si>
    <t>Có thiết kế chi tiết, áp dụng định mức (Nghiêm)</t>
  </si>
  <si>
    <t>Cút</t>
  </si>
  <si>
    <t>Đá chẻ 100x200</t>
  </si>
  <si>
    <t>Đá granite</t>
  </si>
  <si>
    <t>Đá cắt</t>
  </si>
  <si>
    <t>Đá mài</t>
  </si>
  <si>
    <t>CBG tháng 3/2022 (Cty CP Tân Cang + VC)</t>
  </si>
  <si>
    <t>Đấu nối ống thoát nước từ trường ra hố ga đường</t>
  </si>
  <si>
    <t>toàn bộ</t>
  </si>
  <si>
    <t>Dây cấp nước</t>
  </si>
  <si>
    <t>Inax/A-701-8 (Tuấn Đức - 2023)</t>
  </si>
  <si>
    <t>Đệm cao su</t>
  </si>
  <si>
    <t>Đế nổi</t>
  </si>
  <si>
    <t>Panasonic tháng 4/2023</t>
  </si>
  <si>
    <t>Đèn compact bóng U - 20W</t>
  </si>
  <si>
    <t>Compact Điện Quang MaxX ĐQ-Maxx-CFL-20W-DL-E27</t>
  </si>
  <si>
    <t>Đèn LED đôi 1.2m - 2x20W</t>
  </si>
  <si>
    <t>Duhal (quyển B)</t>
  </si>
  <si>
    <t xml:space="preserve">Đèn led 1,2m - 18W/220v </t>
  </si>
  <si>
    <t>Đèn LED đơn 1.2m - 1x20W</t>
  </si>
  <si>
    <t>Đèn bảng LED đơn 1.2m - 1x20W (đèn có chóa phản quang + cần đèn)</t>
  </si>
  <si>
    <t>LTH118</t>
  </si>
  <si>
    <t>Đèn LED Panel D225x35-18W</t>
  </si>
  <si>
    <t>Máng đèn phản quang + bóng đèn led đôi 1,2m - 2x18W</t>
  </si>
  <si>
    <t>LTH218</t>
  </si>
  <si>
    <t>Đèn tuýp 1,2 đôi (tận dụng)</t>
  </si>
  <si>
    <t>Đinh vít</t>
  </si>
  <si>
    <t>Gạch ceramic nhám 250x250</t>
  </si>
  <si>
    <t>7720/tb-sxd-vlxd-3152023 - Đồng Tâm</t>
  </si>
  <si>
    <t>Gạch ceramic 250x400</t>
  </si>
  <si>
    <t>Gạch ceramic 300x600</t>
  </si>
  <si>
    <t>Gạch ceramic nhám 300x300</t>
  </si>
  <si>
    <t>Gạch ceramic nhám 400x400</t>
  </si>
  <si>
    <t>Gạch CLXM 4x8x18</t>
  </si>
  <si>
    <t>7720/tb-sxd-vlxd-3152023 - CIC39</t>
  </si>
  <si>
    <t>Gạch CLXM 8x8x18</t>
  </si>
  <si>
    <t>Gạch con sâu</t>
  </si>
  <si>
    <t>CBG Tháng 3/2023- Lê Hùng</t>
  </si>
  <si>
    <t>Gạch đất nung 50x200</t>
  </si>
  <si>
    <t>Gạch terrazzo 400x400</t>
  </si>
  <si>
    <t>Gạch thạch anh 100x400 (cắt từ gạch nền)</t>
  </si>
  <si>
    <t>7720/tb-sxd-vlxd-3152023 - Đồng Tâm + công cắt</t>
  </si>
  <si>
    <t>Gạch thạch anh 100x600 (cắt từ gạch nền)</t>
  </si>
  <si>
    <t>Gạch thạch anh 120x600 (cắt từ gạch nền)</t>
  </si>
  <si>
    <t>Gạch thạch anh 400x400</t>
  </si>
  <si>
    <t>Gạch thạch anh 600x600</t>
  </si>
  <si>
    <t>Gạch thạch anh nhám 600x600</t>
  </si>
  <si>
    <t>Gạch xi măng 3 cạnh</t>
  </si>
  <si>
    <t>CBG tháng 3/2023- Lê Hùng</t>
  </si>
  <si>
    <t>Giá đỡ máy lạnh</t>
  </si>
  <si>
    <t>Giá treo khăn</t>
  </si>
  <si>
    <t>báo giá DN 2023 - Công ty TNHH Việt Mỹ Anh (410/22 Khu phố Tân Lập, p. Phước Tân, tỉnh Đồng Nai)</t>
  </si>
  <si>
    <t>Gỗ kê</t>
  </si>
  <si>
    <t>Gương soi</t>
  </si>
  <si>
    <t>Inax/KF5075VA (Tuấn Đức - 2023)</t>
  </si>
  <si>
    <t>Gương soi tráng thủy (VT+NC)</t>
  </si>
  <si>
    <t>Hàn gia cố bản lề cửa (VT+NC)</t>
  </si>
  <si>
    <t>Hàng rào khung sắt, sơn dầu hoàn thiện (VT+NC)</t>
  </si>
  <si>
    <t>Hoa sắt cửa sổ, sơn dầu hoàn thiện (VT+NC)</t>
  </si>
  <si>
    <t>Hoa sắt cửa vuông 16x16x1.0, sơn dầu hoàn thiện (VT+NC)</t>
  </si>
  <si>
    <t>Hộp 1 công tắc 1 chiều</t>
  </si>
  <si>
    <t>Hộp 1 công tắc 2 chiều</t>
  </si>
  <si>
    <t>Hộp 2 công tắc 1 chiều</t>
  </si>
  <si>
    <t>Hộp 3 công tắc 1 chiều</t>
  </si>
  <si>
    <t>Hộp 1 dimmer</t>
  </si>
  <si>
    <t>Hộp 2 dimmer</t>
  </si>
  <si>
    <t>Hộp 3 dimmer</t>
  </si>
  <si>
    <t>Hộp CB 2P-25A</t>
  </si>
  <si>
    <t>Sino 2021</t>
  </si>
  <si>
    <t>Hộp cửa cuốn ốp thạch cao khung sắt (VT+NC)</t>
  </si>
  <si>
    <t>Hộp đựng giấy</t>
  </si>
  <si>
    <t>Inax/H-486V (Tuấn Đức - 2023)</t>
  </si>
  <si>
    <t>Hộp đựng xà phòng</t>
  </si>
  <si>
    <t>Inax/H-484V-CB (Tuấn Đức - 2023)</t>
  </si>
  <si>
    <t>Hộp ổ cắm đôi ba chấu 16A</t>
  </si>
  <si>
    <t>Hộp ổ cắm đôi hai chấu 16A</t>
  </si>
  <si>
    <t>Ổ cắm Net RJ45 + hộp đế</t>
  </si>
  <si>
    <t>Hút hầm phân</t>
  </si>
  <si>
    <t>hầm</t>
  </si>
  <si>
    <t>Kệ đôi để bình chữa cháy</t>
  </si>
  <si>
    <t xml:space="preserve">Báo giá DN 2023 </t>
  </si>
  <si>
    <t>Kệ inox 304, kt: 500x2000</t>
  </si>
  <si>
    <t>Keo dán gạch chống co ngót do nhiệt độ (tương đương keo dán gạch Webertai fix)</t>
  </si>
  <si>
    <t>Báo giá DN 2023 - Tavaco</t>
  </si>
  <si>
    <t>Keo chà ron chống thấm</t>
  </si>
  <si>
    <t>Weber - Thái Lan</t>
  </si>
  <si>
    <t>Kẹp đỡ ống PVC D40</t>
  </si>
  <si>
    <t>Sino 24.02.2023</t>
  </si>
  <si>
    <t>Kẹp Omega inox D90</t>
  </si>
  <si>
    <t>Kệ kính</t>
  </si>
  <si>
    <t>Inax KF542V (Tuấn Đức - 2023)</t>
  </si>
  <si>
    <t>Khởi động từ 3P-32A</t>
  </si>
  <si>
    <t>Khung lưới chắn côn trùng (VT+NC)</t>
  </si>
  <si>
    <t>Khung xương (nhôm)</t>
  </si>
  <si>
    <t>Kiểm tra đấu nối ống cấp thoát nước cho phòng cách ly</t>
  </si>
  <si>
    <t>Kính trắng dày 8mm</t>
  </si>
  <si>
    <t>Kính cường lực dày 8mm</t>
  </si>
  <si>
    <t>Lan lan sắt vuông 14x1, ck100, tay vịn D60x2 sơn dầu hoàn thiện (VT+NC)</t>
  </si>
  <si>
    <t>Lúp bê D90</t>
  </si>
  <si>
    <t>Minh Hòa (PN10)</t>
  </si>
  <si>
    <t>Lưới cắt bê tông D350</t>
  </si>
  <si>
    <t>Điện máy Gia Phú</t>
  </si>
  <si>
    <t>Lưới mắt cáo tô tường</t>
  </si>
  <si>
    <t>Lưới thép 10x10</t>
  </si>
  <si>
    <t>Máng cáp 100x50x1.0 (có nắp)</t>
  </si>
  <si>
    <t>Máng cáp 100x75x1.2 (có nắp)</t>
  </si>
  <si>
    <t>Máng cáp 100x75x1.0 (có nắp)</t>
  </si>
  <si>
    <t>Máng cáp 150x75x1.0 (có nắp)</t>
  </si>
  <si>
    <t>Máng cáp 150x75x1.2 (có nắp)</t>
  </si>
  <si>
    <t>Máng cáp 200x100x1.0 (có nắp)</t>
  </si>
  <si>
    <t>Máng gen luồn dây điện có nắp 24x14</t>
  </si>
  <si>
    <t>Máng gen luồn dây điện có nắp 30x14</t>
  </si>
  <si>
    <t>Máng gen luồn dây điện có nắp 39x18</t>
  </si>
  <si>
    <t>Máng gen luồn dây điện có nắp 50x25</t>
  </si>
  <si>
    <t>Máng gen luồn dây điện có nắp 60x40</t>
  </si>
  <si>
    <t>Máng nhựa 10x20mm</t>
  </si>
  <si>
    <t>Sino 19.05.2023</t>
  </si>
  <si>
    <t>Máng nhựa 30x14mm</t>
  </si>
  <si>
    <t>Máng nhựa 50x35mm</t>
  </si>
  <si>
    <t>Măng sông STK D42</t>
  </si>
  <si>
    <t>Hòa Phát/Bảo Tín</t>
  </si>
  <si>
    <t>Măng sông STK D76</t>
  </si>
  <si>
    <t>Máng xối tôn mạ màu dày 6dem (VT+NC)</t>
  </si>
  <si>
    <t>Máng xối tôn tráng kẽm dày 6dem (VT+NC)</t>
  </si>
  <si>
    <t>Máng xối tôn mạ màu dày 5dem (VT+NC)</t>
  </si>
  <si>
    <t>Máng xối tụ thủy rộng 300, tôn mạ màu dày 6dem</t>
  </si>
  <si>
    <t>Máy bơm chìm Qb = 55m3/h, H = 15m</t>
  </si>
  <si>
    <t>Máy bơm chữa cháy động cơ điện Qb=40m3/h, Hb=60m</t>
  </si>
  <si>
    <t>Máy bơm nước bù áp điện Q=3,6m3/h, H=60m.</t>
  </si>
  <si>
    <t>Máy bơm nước chữa cháy điện Q=75m3/h, H=50m.</t>
  </si>
  <si>
    <t>Máy bơm nước chữa cháy Diesel Q=75m3/h, H=50m.</t>
  </si>
  <si>
    <t>Máy bơm nước Qb=12m3/h, Hb=45m</t>
  </si>
  <si>
    <t>Mái che kt 600x300 khung sắt hộp 30x30, kính dày 5mm (VT+NC)</t>
  </si>
  <si>
    <t>MCB - 1P/10A - 4.5kA</t>
  </si>
  <si>
    <t>Dòng cắt 6KA</t>
  </si>
  <si>
    <t>MCB - 1P/16A - 4.5kA</t>
  </si>
  <si>
    <t>MCB - 1P/20A - 4.5kA</t>
  </si>
  <si>
    <t>MCB - 1P/16A - 6kA</t>
  </si>
  <si>
    <t>MCB - 1P/20A - 6kA</t>
  </si>
  <si>
    <t>MCB - 1P/25A - 6kA</t>
  </si>
  <si>
    <t>MCB - 1P/32A - 6kA</t>
  </si>
  <si>
    <t>MCB 2P-40A-6kA</t>
  </si>
  <si>
    <t>MCB 2P-63A-6kA</t>
  </si>
  <si>
    <t>MCB - 1P/25A - 10kA</t>
  </si>
  <si>
    <t>MCB - 1P/32A - 10kA</t>
  </si>
  <si>
    <t>MCB - 1P/40A - 10kA</t>
  </si>
  <si>
    <t>MCB - 2P/16A - 4.5kA</t>
  </si>
  <si>
    <t>MCB - 2P/20A - 4.5kA</t>
  </si>
  <si>
    <t>MCB - 2P/25A - 4.5kA</t>
  </si>
  <si>
    <t>MCB - 2P/32A - 4.5kA</t>
  </si>
  <si>
    <t>MCB - 2P/40A - 4.5kA</t>
  </si>
  <si>
    <t>MCB - 2P/50A - 4.5kA</t>
  </si>
  <si>
    <t>MCB - 2P/16A - 6kA</t>
  </si>
  <si>
    <t>MCB - 2P/20A - 6kA</t>
  </si>
  <si>
    <t>MCB - 2P/25A - 6kA</t>
  </si>
  <si>
    <t>MCB - 2P/32A - 6kA</t>
  </si>
  <si>
    <t>MCB - 2P/40A - 6kA</t>
  </si>
  <si>
    <t>MCB - 2P/50A - 6kA</t>
  </si>
  <si>
    <t>MCB - 2P/63A - 6kA</t>
  </si>
  <si>
    <t>MCB - 2P/25A - 10kA</t>
  </si>
  <si>
    <t>MCB - 2P/32A - 10kA</t>
  </si>
  <si>
    <t>MCB - 2P/40A - 10kA</t>
  </si>
  <si>
    <t>MCB - 2P/50A - 10kA</t>
  </si>
  <si>
    <t>MCB - 2P/63A - 10kA</t>
  </si>
  <si>
    <t>MCB - 3P/25A - 4.5kA</t>
  </si>
  <si>
    <t>MCB - 3P/16A - 6kA</t>
  </si>
  <si>
    <t>MCB - 3P/32A - 6kA</t>
  </si>
  <si>
    <t>MCB - 3P/50A - 6kA</t>
  </si>
  <si>
    <t>MCB - 3P/25A - 10kA</t>
  </si>
  <si>
    <t>MCB - 3P/32A - 10kA</t>
  </si>
  <si>
    <t>MCB - 3P/40A - 10kA</t>
  </si>
  <si>
    <t>MCB - 3P/50A - 10kA</t>
  </si>
  <si>
    <t>MCB - 3P/63A - 10kA</t>
  </si>
  <si>
    <t>MCCB - 3P/50A - 10kA</t>
  </si>
  <si>
    <t>MCCB - 3P/63A - 14kA</t>
  </si>
  <si>
    <t>Dòng cắt 10KA</t>
  </si>
  <si>
    <t>MCCB - 3P/25A - 18kA</t>
  </si>
  <si>
    <t>MCCB - 3P/32A - 18kA</t>
  </si>
  <si>
    <t>MCCB - 3P/50A - 18kA</t>
  </si>
  <si>
    <t>MCCB - 3P/63A - 18kA</t>
  </si>
  <si>
    <t>MCCB - 3P/100A - 18kA</t>
  </si>
  <si>
    <t>MCCB - 3P/160A - 18kA</t>
  </si>
  <si>
    <t>150A, dòng cắt 25KA</t>
  </si>
  <si>
    <t>MCCB - 3P/180A - 25kA</t>
  </si>
  <si>
    <t>MCCB - 3P/200A - 25kA</t>
  </si>
  <si>
    <t>MCCB - 3P/250A - 25kA</t>
  </si>
  <si>
    <t>MCCB - 3P/150A - 25kA</t>
  </si>
  <si>
    <t>MCCB - 3P/250A - 35kA</t>
  </si>
  <si>
    <t>dòng cắt 25KA</t>
  </si>
  <si>
    <t>Móc + bulon treo cáp</t>
  </si>
  <si>
    <t>Modem Wifi</t>
  </si>
  <si>
    <t>D-Link/Siêu thị viển thông</t>
  </si>
  <si>
    <t>Mối nối mềm DN80mm</t>
  </si>
  <si>
    <t>Malaysia/Cty công nghệ CATA</t>
  </si>
  <si>
    <t>Mũi khoan d16mm</t>
  </si>
  <si>
    <t>Mũi khoan hợp kim d24mm</t>
  </si>
  <si>
    <t>Mũi khoan hợp kim d80mm</t>
  </si>
  <si>
    <t>Nắp đậy bồn cầu</t>
  </si>
  <si>
    <t>Nẹp chỉ nhựa 30x9 (VT+NC)</t>
  </si>
  <si>
    <t>Nẹp tấm inox 100x3 (VT+NC)</t>
  </si>
  <si>
    <t>Nẹp tấm inox 80x3 (VT+NC)</t>
  </si>
  <si>
    <t>Nẹp tấm inox 80x3 chèn silicon (VT+NC)</t>
  </si>
  <si>
    <t>Nối giảm máng cáp 150/100x75x1.0mm (có nắp)</t>
  </si>
  <si>
    <t>Nối giảm nhựa uPVC D27/21</t>
  </si>
  <si>
    <t>Nối giảm nhựa uPVC D34/27</t>
  </si>
  <si>
    <t>Nối giảm nhựa uPVC D60/34</t>
  </si>
  <si>
    <t>Nối giảm nhựa uPVC D90/60</t>
  </si>
  <si>
    <t>Nối nhựa uPVC D114</t>
  </si>
  <si>
    <t>Nối nhựa uPVC D21</t>
  </si>
  <si>
    <t>Nối nhựa uPVC D27</t>
  </si>
  <si>
    <t>Nối nhựa uPVC D60</t>
  </si>
  <si>
    <t>Nối nhựa uPVC D90</t>
  </si>
  <si>
    <t>Nối ren trong nhựa uPVC D21</t>
  </si>
  <si>
    <t>Nối ren ngoài nhựa uPVC D21</t>
  </si>
  <si>
    <t>Nối ren ngoài nhựa uPVC D27</t>
  </si>
  <si>
    <t>Nối thông tắc nhựa uPVC D114</t>
  </si>
  <si>
    <t>Nối thông tắc nhựa uPVC D90</t>
  </si>
  <si>
    <t>Nối thông tắc nhựa uPVC D60</t>
  </si>
  <si>
    <t>Omega kẹp ống D114</t>
  </si>
  <si>
    <t>Ổ khóa tay nắm, tay nắm gạt</t>
  </si>
  <si>
    <t>Ống nhựa đàn hồi D20</t>
  </si>
  <si>
    <t>CBG tháng 05/2023 - Ngọc Nguyễn</t>
  </si>
  <si>
    <t>Ống nhựa đàn hồi D25</t>
  </si>
  <si>
    <t>Ống nhựa HDPE D315x15mm</t>
  </si>
  <si>
    <t>Bình Minh 07/2/2022</t>
  </si>
  <si>
    <t>Ống nhựa luồn dây D20</t>
  </si>
  <si>
    <t>Ống nhựa luồn dây D25</t>
  </si>
  <si>
    <t>Ống nhựa luồn dây D32</t>
  </si>
  <si>
    <t>Ống nhựa luồn dây D40</t>
  </si>
  <si>
    <t>Ống nhựa luồn dây D50</t>
  </si>
  <si>
    <t>Ống nhựa luồn dây D60</t>
  </si>
  <si>
    <t>Ống nhựa uPVC D21x1.7mm</t>
  </si>
  <si>
    <t>Ống nhựa uPVC D27x1.9mm</t>
  </si>
  <si>
    <t>Ống UPVC DN25</t>
  </si>
  <si>
    <t>Ống nhựa uPVC D34x2.2mm</t>
  </si>
  <si>
    <t>Ống nhựa uPVC D42x2.2mm</t>
  </si>
  <si>
    <t>Ống nhựa uPVC D60x2.5mm</t>
  </si>
  <si>
    <t>Ống nhựa uPVC D90x2.6mm</t>
  </si>
  <si>
    <t>Ống nhựa uPVC D114x3.1mm</t>
  </si>
  <si>
    <t>Ống nhựa uPVC D220x5.6mm</t>
  </si>
  <si>
    <t>Ống STK D42x3.2</t>
  </si>
  <si>
    <t>Hòa Phát - 2022</t>
  </si>
  <si>
    <t>Ống STK D60x2.6</t>
  </si>
  <si>
    <t>Báo giá DN 2023 - Hòa Phát 2023</t>
  </si>
  <si>
    <t>Ống STK D76x3.2</t>
  </si>
  <si>
    <t>Ống STK D90x3.2</t>
  </si>
  <si>
    <t>Ống STK D114x3.6</t>
  </si>
  <si>
    <t>Ống STK DN200x5.56</t>
  </si>
  <si>
    <t>Ống xoắn HDPE D105/80</t>
  </si>
  <si>
    <t>Ống xoắn HDPE D65/50</t>
  </si>
  <si>
    <t>Ống xoắn HDPE D40/30</t>
  </si>
  <si>
    <t>Ống HDPE xoắn 195/150</t>
  </si>
  <si>
    <t xml:space="preserve">Ống đồng </t>
  </si>
  <si>
    <t>Phao chống cạn</t>
  </si>
  <si>
    <t>Điện máy Ngọc Ân</t>
  </si>
  <si>
    <t>Phao điện báo mực nước triều cường</t>
  </si>
  <si>
    <t>Phễu thu inox 120x120 (D90)</t>
  </si>
  <si>
    <t>Inax FDV-12 (Tuấn Đức - 2023)</t>
  </si>
  <si>
    <t>Phễu thu inox 200x200</t>
  </si>
  <si>
    <t>Phễu thu tôn dày 5dem</t>
  </si>
  <si>
    <t>Phích cắm đơn 2 chấu</t>
  </si>
  <si>
    <t>Phụ gia chống thấm (tương đương sika latex TH)</t>
  </si>
  <si>
    <t>Phụ gia chống thấm (tương đương Sika Plastocrete N)</t>
  </si>
  <si>
    <t>Phụ gia chống thấm (tương đương Sika top seal 105)</t>
  </si>
  <si>
    <t>Phụ gia chống thấm (tương đương Sikaproof membrane)</t>
  </si>
  <si>
    <t>Phụ gia kết dính (tương đương keo ramset Epcon G5 Pro)</t>
  </si>
  <si>
    <t>bs19062023</t>
  </si>
  <si>
    <t>Phụ gia kết nối (tương đương Sikadur 732)</t>
  </si>
  <si>
    <t>Phụ gia chống thấm mái, sê nô, nhà vệ sinh</t>
  </si>
  <si>
    <t>Kota 04</t>
  </si>
  <si>
    <t>Phụ kiện đấu nối PCCC</t>
  </si>
  <si>
    <t>Báo giá DN 2023 - Công ty TNHH Hoàng Gia (Nguyễn Văn Quỳ, p. Phú Thuận, Quận 7)</t>
  </si>
  <si>
    <t>Quạt đảo trần</t>
  </si>
  <si>
    <t>Mỹ Phong - 2023 (không hộp số)</t>
  </si>
  <si>
    <t>Quạt đảo trần + hộp số</t>
  </si>
  <si>
    <t>Mỹ Phong - 2023</t>
  </si>
  <si>
    <t>bs20062023</t>
  </si>
  <si>
    <t>Quạt trần 75W</t>
  </si>
  <si>
    <t>Quạt trần + hộp số</t>
  </si>
  <si>
    <t>Quạt treo tường</t>
  </si>
  <si>
    <t>Que hàn đồng</t>
  </si>
  <si>
    <t>Giá tháng</t>
  </si>
  <si>
    <t>RCBO - 2P-16A/30mA</t>
  </si>
  <si>
    <t>RCBO - 2P-20A/30mA</t>
  </si>
  <si>
    <t>RCBO - 2P-25A/30mA</t>
  </si>
  <si>
    <t>RCBO - 2P-32A/6mA</t>
  </si>
  <si>
    <t>Ron kính cao su</t>
  </si>
  <si>
    <t>Sàn gỗ công nghiệp dày 9mm (bao gồm lớp xốp dày 3mm) (VT+NC)</t>
  </si>
  <si>
    <t>Báo giá DN 2023 - Công ty TNHH đồ gỗ nội thất Nhật Tường (92 Tô Hiến Thành, p, 15, Quận 10)</t>
  </si>
  <si>
    <t>Sơn lót kim loại</t>
  </si>
  <si>
    <t>7720/tb-sxd-vlxd-3152023 - Hoàng Gia</t>
  </si>
  <si>
    <t>7720/tb-sxd-vlxd-3152023 - Nippon</t>
  </si>
  <si>
    <t>Sơn phủ kim loại</t>
  </si>
  <si>
    <t>Sơn chống thấm phủ ngoại thất</t>
  </si>
  <si>
    <t>Sửa chữa cửa cổng đẩy (hàn gia cố 20% diện tích, VT+NC)</t>
  </si>
  <si>
    <t>Switch 8 port</t>
  </si>
  <si>
    <t>Báo giá DN 2023 - Công ty cổ phần công nghệ Lê Phụng (306/11 Nguyễn Thị Minh Khai, p. 5, Quận 3)</t>
  </si>
  <si>
    <t>Tấm cemboard dày 12mm</t>
  </si>
  <si>
    <t>bao gôm vật tư và nhân công do định mức kg có nhân công</t>
  </si>
  <si>
    <t>Tấm cemboard dày 18mm</t>
  </si>
  <si>
    <t>Tấm nhựa vinyl giả đá dày 3mm</t>
  </si>
  <si>
    <t>Tấm nhựa polycarbonate rổng ruột dày 5mm</t>
  </si>
  <si>
    <t>Tấm nhựa polycarbonate đặc ruột dày 5mm</t>
  </si>
  <si>
    <t>Tấm trần thạch cao 600x600 (VT+NC)</t>
  </si>
  <si>
    <t>Tấm trần thạch cao chống ẩm 600x600 (VT+NC)</t>
  </si>
  <si>
    <t>Tay vịn inox 304 D34x1.4 + phụ kiện (VT+NC)</t>
  </si>
  <si>
    <t>báo giá DN - Công ty TNHH thương mại sản xuất dịch vụ Băng Tâm (27/18F Huỳnh Tấn Phát, p. Tân Thuận Đông, Quận 7)</t>
  </si>
  <si>
    <t>Tay vịn inox 304 D60x1,5 + phụ kiện (VT+NC)</t>
  </si>
  <si>
    <t>Tê đều máng cáp 100x50x1.0 (có nắp)</t>
  </si>
  <si>
    <t>Tê đều máng cáp 150x75x1.0 (có nắp)</t>
  </si>
  <si>
    <t>Tê đều máng cáp 100x75x1.0 (có nắp)</t>
  </si>
  <si>
    <t>Tê đều máng cáp 200x100x1.0 (có nắp)</t>
  </si>
  <si>
    <t>Tê giảm máng cáp 150/100x75x1.0 (có nắp)</t>
  </si>
  <si>
    <t>Tê hàn STK D76</t>
  </si>
  <si>
    <t>Tê nhựa uPVC D21</t>
  </si>
  <si>
    <t>Tê nhựa uPVC D27</t>
  </si>
  <si>
    <t>Tê nhựa uPVC D60</t>
  </si>
  <si>
    <t>Tê nhựa uPVC D90</t>
  </si>
  <si>
    <t>Tê nhựa uPVC D114</t>
  </si>
  <si>
    <t>Tê nhựa uPVC D27/21</t>
  </si>
  <si>
    <t>Tê nhựa uPVC D27 ren trong 21</t>
  </si>
  <si>
    <t>Tê nhựa uPVC D34/27</t>
  </si>
  <si>
    <t>Tê nhựa uPVC D90/60</t>
  </si>
  <si>
    <t>Thang cáp 100x50x1.0</t>
  </si>
  <si>
    <t>Thang cáp 100x100x1.0</t>
  </si>
  <si>
    <t>Thang cáp 150x100x1.0</t>
  </si>
  <si>
    <t>Thang cáp 150x75x1.0</t>
  </si>
  <si>
    <t>Tháo dỡ, vệ sinh bằng hóa chất và lắp lại kính sau khi sơn (VT+NC)</t>
  </si>
  <si>
    <t>Thép dàn giáo</t>
  </si>
  <si>
    <t>Thép hình tráng kẽm</t>
  </si>
  <si>
    <t>Báo giá DN 2023 - Mạnh Tiến Phát</t>
  </si>
  <si>
    <t>7720/tb-sxd-vlxd-3152023, thép Việt Pomina</t>
  </si>
  <si>
    <t>Thép tròn d&lt;=10mm</t>
  </si>
  <si>
    <t>Thép tròn d&gt;10mm</t>
  </si>
  <si>
    <t>Thông thụt ống thoát nước lavabo (VT+NC)</t>
  </si>
  <si>
    <t>Thuốc hàn</t>
  </si>
  <si>
    <t>Tôn lạnh sóng vuông dày 4.5 dem</t>
  </si>
  <si>
    <t>7720/tb-sxd-vlxd-3152023, Tôn Pomina</t>
  </si>
  <si>
    <t>Tôn lạnh sóng vuông dày 4.5 dem có lớp cách nhiệt</t>
  </si>
  <si>
    <t>7720/tb-sxd-vlxd-3152023 - Tôn Pomina + cách nhiệt Cát Tường (1 mặt nhôm, 1 mặt bạc)</t>
  </si>
  <si>
    <t>Tôn phẳng tráng kẽm dày 4.5 dem</t>
  </si>
  <si>
    <t>7720/tb-sxd-vlxd-3152023 - Tôn Pomina</t>
  </si>
  <si>
    <t>Tôn sóng vuông mạ màu dày 4.5 dem</t>
  </si>
  <si>
    <t>Tôn sóng vuông mạ màu dày 4.5 dem có lớp cách nhiệt</t>
  </si>
  <si>
    <t>Tôn nhựa lấy sáng sóng vuông dày 1mm</t>
  </si>
  <si>
    <t>Tôn úp nóc</t>
  </si>
  <si>
    <t>Trần tấm nhựa khung kim loại nổi 600x600 (VT+NC)</t>
  </si>
  <si>
    <t>báo giá DN 2023 - Công ty TNHH thương mại sản xuất dịch vụ Đông Á (685 Lê Văn Lương, xã Nhơn Đức, huyện Nhà Bè</t>
  </si>
  <si>
    <t>Trần thạch cao khung kim loại nổi 600x600 (VT+NC)</t>
  </si>
  <si>
    <t>Tủ điện điều khiển máy bơm chữa cháy (trọn bộ)</t>
  </si>
  <si>
    <t>tủ</t>
  </si>
  <si>
    <t>Tủ điện vỏ kim loại 600x400x200 lắp nổi</t>
  </si>
  <si>
    <t>Sino 18.02.2023</t>
  </si>
  <si>
    <t>Tủ điện vỏ kim loại 800x600x210 lắp nổi</t>
  </si>
  <si>
    <t>Tủ điện vỏ kim loại 1000x800x200 lắp nổi</t>
  </si>
  <si>
    <t>Sino 23.05.2023</t>
  </si>
  <si>
    <t>Tủ điện vỏ kim loại 1200x1000x300 lắp nổi</t>
  </si>
  <si>
    <t>Tủ điện vỏ kim loại chứa 12 module lắp nổi</t>
  </si>
  <si>
    <t>Tủ điện vỏ kim loại chứa 13 module lắp nổi</t>
  </si>
  <si>
    <t>Tủ điện vỏ kim loại chứa 14 module lắp nổi</t>
  </si>
  <si>
    <t>Tủ điện vỏ kim loại chứa 2 module lắp nổi</t>
  </si>
  <si>
    <t>Tủ điện vỏ kim loại chứa 4 module lắp nổi</t>
  </si>
  <si>
    <t>Tủ điện vỏ kim loại chứa 6 module lắp nổi</t>
  </si>
  <si>
    <t>Tủ điện vỏ kim loại chứa 9 module lắp nổi</t>
  </si>
  <si>
    <t>Tủ điện vỏ kim loại chứa 8 module lắp nổi</t>
  </si>
  <si>
    <t>Tủ RACK 2U sắt sơn tĩnh điện lắp nổi</t>
  </si>
  <si>
    <t>Siêu thị viển thông</t>
  </si>
  <si>
    <t>Tủ sắt che máy bơm PCCC</t>
  </si>
  <si>
    <t>Ty + pas treo máng cáp</t>
  </si>
  <si>
    <t>Lắp đặt lồng treo máng cáp</t>
  </si>
  <si>
    <t>Ty ren (M10, L=1m) + cùm treo ống D114</t>
  </si>
  <si>
    <t>Ty ren (M10, L=1m) + cùm treo ống D90</t>
  </si>
  <si>
    <t>Ty ren (M10, L=1m) + cùm treo ống D60</t>
  </si>
  <si>
    <t>Ty giằng D10(L=1m)</t>
  </si>
  <si>
    <t>Ty treo M10 (2m) + ống PVC D20</t>
  </si>
  <si>
    <t>Vải bạt nhựa lắp mái che di động</t>
  </si>
  <si>
    <t>báo giá DN 2023 - Công ty TNHH thương mại dịch vụ sản xuất Vinh Hoa (1897/12 Huỳnh Tấn Phát, thị trấn Nhà Bè, huyện Nhà Bè)</t>
  </si>
  <si>
    <t>Van khóa 1 chiều D220mm</t>
  </si>
  <si>
    <t>Van khóa DN32mm</t>
  </si>
  <si>
    <t>Van vòi Minh Hòa - 2022</t>
  </si>
  <si>
    <t>Van khóa uPVC D27</t>
  </si>
  <si>
    <t>Bình minh 24/3/2022</t>
  </si>
  <si>
    <t>Van nhấn xả tiểu</t>
  </si>
  <si>
    <t>Inax/UF-8V (https:// Inax.com.vn/vi/)</t>
  </si>
  <si>
    <t>Van phao điện</t>
  </si>
  <si>
    <t>Radar</t>
  </si>
  <si>
    <t>Vật liệu phụ lắp đặt điện</t>
  </si>
  <si>
    <t>Vật liệu phụ lắp đặt máng cáp</t>
  </si>
  <si>
    <t>Vật tư phụ mạng internet</t>
  </si>
  <si>
    <t>Vật liệu phụ lắp đặt điều hòa</t>
  </si>
  <si>
    <t>Vòi nước gắn tường</t>
  </si>
  <si>
    <t>INAX-LF-7R-13 (https:// Inax.com.vn/vi/)</t>
  </si>
  <si>
    <t>Vòi rửa Lavabo</t>
  </si>
  <si>
    <t>INAX-LFV-13B (https:// Inax.com.vn/vi/)</t>
  </si>
  <si>
    <t>Vòi rửa vệ sinh</t>
  </si>
  <si>
    <t>INAX-CFV 102A (https:// Inax.com.vn/vi/)</t>
  </si>
  <si>
    <t>Vòi tắm hương sen</t>
  </si>
  <si>
    <t>INAX- BFV-17-4C (https:// Inax.com.vn/vi/)</t>
  </si>
  <si>
    <t>Wifi gắn tường</t>
  </si>
  <si>
    <t>D-Link/ Siêu thị viển thông</t>
  </si>
  <si>
    <t>Vữa XMPCB40, cát vàng, đá 1x2 M250</t>
  </si>
  <si>
    <t>CBG tháng 5/2023 - Fico</t>
  </si>
  <si>
    <t>CBG tháng 5/2023 (Hà Tiên + VC)</t>
  </si>
  <si>
    <t>Y nhựa uPVC D114</t>
  </si>
  <si>
    <t>Y nhựa uPVC D60</t>
  </si>
  <si>
    <t>Y nhựa uPVC D90</t>
  </si>
  <si>
    <t>Y nhựa uPVC D114/90</t>
  </si>
  <si>
    <t>Bản lề cửa đi nhôm kính</t>
  </si>
  <si>
    <t>Cắt, hàn nối ống cấp nước PCCC tráng kẽm D75 cao 0,2m</t>
  </si>
  <si>
    <t>Vị trí</t>
  </si>
  <si>
    <t>Chậu xí bệt (tận dụng)</t>
  </si>
  <si>
    <t>Chốt cửa vách vệ sinh</t>
  </si>
  <si>
    <t>Dây cáp căng</t>
  </si>
  <si>
    <t>Mô tơ cổng (Công suất 1.5KW)</t>
  </si>
  <si>
    <t>Móc sắt đệm</t>
  </si>
  <si>
    <t>Nút nhấn - rờ le</t>
  </si>
  <si>
    <t>Phụ kiện treo đèn bảng</t>
  </si>
  <si>
    <t>Quạt đảo trần (tận dụng)</t>
  </si>
  <si>
    <t>Tháo dỡ mô tơ điện, tủ điện, dây điện, cáp cửa cổng</t>
  </si>
  <si>
    <t>ht</t>
  </si>
  <si>
    <t>Tôn ốp ép mái giữa 2 khối bề rộng 600mm</t>
  </si>
  <si>
    <t>Thông nghẹt bồn cầu</t>
  </si>
  <si>
    <t>Ống đồng D12,7mm+ cách nhiệt</t>
  </si>
  <si>
    <t>Ống đồng D6,4mm+ cách nhiệt</t>
  </si>
  <si>
    <t xml:space="preserve">BẢNG GIÁ VẬT TƯ 
(Cập nhật Theo thông báo 9697/TB-SXD-VLXD ngày 30/06/2023 của SXD HCM) </t>
  </si>
  <si>
    <t>MÃ VL</t>
  </si>
  <si>
    <t>TÊN VẬT TƯ</t>
  </si>
  <si>
    <t xml:space="preserve">GIÁ </t>
  </si>
  <si>
    <t>GIÁ H. HÓC MÔN</t>
  </si>
  <si>
    <t>GIÁ Q.12</t>
  </si>
  <si>
    <t>Links lấy file báo giá</t>
  </si>
  <si>
    <t>PHẦN XÂY DỰNG</t>
  </si>
  <si>
    <t>Bảng tên nhà đa năng</t>
  </si>
  <si>
    <t>Báo giá</t>
  </si>
  <si>
    <t>Bật sắt D10mm</t>
  </si>
  <si>
    <t>Tham khảo bảng giá theo QĐ 3384/QĐ-UBND</t>
  </si>
  <si>
    <t>Bê tông thương phẩm M150</t>
  </si>
  <si>
    <t>Bê tông Fico, tháng 6</t>
  </si>
  <si>
    <t>Bê tông thương phẩm M200</t>
  </si>
  <si>
    <t>Bê tông thương phẩm M350</t>
  </si>
  <si>
    <t>Bê tông thương phẩm M450</t>
  </si>
  <si>
    <t>Dulux</t>
  </si>
  <si>
    <t>Bu lông M18x20</t>
  </si>
  <si>
    <t>Bu lông M24x85</t>
  </si>
  <si>
    <t xml:space="preserve">Bulong neo M12 (5,6) </t>
  </si>
  <si>
    <t xml:space="preserve">Bulong neo M14 (5,6) </t>
  </si>
  <si>
    <t xml:space="preserve">Bulong neo M16 (8.8) </t>
  </si>
  <si>
    <t xml:space="preserve">Bulong neo M20 (8.8) </t>
  </si>
  <si>
    <t xml:space="preserve">Bulong neo M24 (8.8) </t>
  </si>
  <si>
    <t xml:space="preserve">Bulong neo M30 (8.8) </t>
  </si>
  <si>
    <t xml:space="preserve">Bulong neo M36 (8.8) </t>
  </si>
  <si>
    <t>Bu long liên kết M20</t>
  </si>
  <si>
    <t>Bu long neo móng M16</t>
  </si>
  <si>
    <t>Cát mịn</t>
  </si>
  <si>
    <t>Theo thông báo 6043/TB-SXD-VLXD ngày 28/04/2023 của SXD HCM</t>
  </si>
  <si>
    <t>Cọc BTLT D400mm</t>
  </si>
  <si>
    <t>Cọc BTLT PHC-A400 Công ty Hùng Vương (Chuyển gia cọc 350)</t>
  </si>
  <si>
    <t>Cọc BTLT D300mm</t>
  </si>
  <si>
    <t>Cọc BTLT PHC-A400 Công ty Hùng Vương , giá SXD tháng 6</t>
  </si>
  <si>
    <t>Cửa đặc ,tay đẩy hơi, khóa tay gạt có cơ cấu tự đóng</t>
  </si>
  <si>
    <t>Cửa đi khung nhôm hệ 55 kính CL dày 8 ly</t>
  </si>
  <si>
    <t>Nhôm Xinfa, hệ 55 kính cường lực ( Báo giá )</t>
  </si>
  <si>
    <t>Cửa sổ khung nhôm hệ 55, 93 kính CL dày 8 ly</t>
  </si>
  <si>
    <t>Theo thông báo 9697/TB-SXD-VLXD ngày 30/06/2023 của SXD HCM</t>
  </si>
  <si>
    <t>Đá granít</t>
  </si>
  <si>
    <t>Đánh Hardenner tăng cứng bề mặt</t>
  </si>
  <si>
    <t>https://betongmiennam.net/gia-xoa-nen-be-tong</t>
  </si>
  <si>
    <t>Dầu bôi</t>
  </si>
  <si>
    <t>Gạch BTKN (80x80x180)mm</t>
  </si>
  <si>
    <t>Gạch Đại Dũng, SXD tháng 6</t>
  </si>
  <si>
    <t>Gạch BTKN 40x80x180mm</t>
  </si>
  <si>
    <t>Gạch Ceramic 110x600mm</t>
  </si>
  <si>
    <t>STT17, Công ty Đồng Tâm, tháng 4 SXD</t>
  </si>
  <si>
    <t>Gạch Granit</t>
  </si>
  <si>
    <t>Gạch Granite 300x300mm nhám</t>
  </si>
  <si>
    <t>STT4, Công ty Đồng Tâm, tháng 4 SXD</t>
  </si>
  <si>
    <t>Gạch Ceramic 600x600mm</t>
  </si>
  <si>
    <t>Gạch Granite 600x600mm</t>
  </si>
  <si>
    <t>Gạch Granite 600x600mm nhám</t>
  </si>
  <si>
    <t>STT11, Công ty Đồng Tâm, tháng 4 SXD</t>
  </si>
  <si>
    <t>Gạch ốp Ceramic 300x600mm</t>
  </si>
  <si>
    <t xml:space="preserve">Gạch Granite nhám 400x400mm </t>
  </si>
  <si>
    <t>Gas</t>
  </si>
  <si>
    <t>Gỗ ván (cả nẹp)</t>
  </si>
  <si>
    <t>Khung xương (thép)</t>
  </si>
  <si>
    <t>Lam nhôm thông gió</t>
  </si>
  <si>
    <t>Lam nhôm trang trí</t>
  </si>
  <si>
    <t>Thanh nhôm trang trí tính theo md</t>
  </si>
  <si>
    <t>Lan can sắt</t>
  </si>
  <si>
    <t>Lan can khán đài</t>
  </si>
  <si>
    <t>Keo dán đá</t>
  </si>
  <si>
    <t>Khung nhôm mái PolyCarbonate dày 10mm</t>
  </si>
  <si>
    <t>Khung sắt bảo vệ cửa</t>
  </si>
  <si>
    <t>Sản phẩm sơn hoàn thiện</t>
  </si>
  <si>
    <t>Lan can sắt hộp sơn hoàn thiện</t>
  </si>
  <si>
    <t>Lớp sàn Vinyl thể thao tổng hợp có sơn kẻ vạch</t>
  </si>
  <si>
    <t>Lưới thép</t>
  </si>
  <si>
    <t>Tôn sóng vuông mạ màu dày 5zem</t>
  </si>
  <si>
    <t>Mái Panel Pir Procy cách âm, cách nhiệt 3 lớp</t>
  </si>
  <si>
    <t>Tôn sóng vuông dày 5zem, lớp cách nhiệt, theo thiết kế</t>
  </si>
  <si>
    <t xml:space="preserve">Báo giá </t>
  </si>
  <si>
    <t>Tôn sóng vuông dày 4,5zem, lớp PU dày 18 có lớp giấy bạc cách nhiệt</t>
  </si>
  <si>
    <t>Mỡ các loại</t>
  </si>
  <si>
    <t>Nhựa đường</t>
  </si>
  <si>
    <t>Công ty Giao thông sài gòn</t>
  </si>
  <si>
    <t>Stt 12 Công ty TMDVXD Hoàng Gia</t>
  </si>
  <si>
    <t>Sơn Dulux</t>
  </si>
  <si>
    <t>Sơn lót nền (Sơn Epoxy)</t>
  </si>
  <si>
    <t>Kova</t>
  </si>
  <si>
    <t>Sơn phủ nền (Sơn Epoxy)</t>
  </si>
  <si>
    <t>Tăng đơ căng cáp D16mm</t>
  </si>
  <si>
    <t xml:space="preserve"> Thép Nhà Bè VNSteel, tháng 4</t>
  </si>
  <si>
    <t>Thép hình (STK)</t>
  </si>
  <si>
    <t>Thép Pomina áp theo Y/c CĐT</t>
  </si>
  <si>
    <t>Trần thạch cao khung chìm</t>
  </si>
  <si>
    <t>Trần Vĩnh Tường</t>
  </si>
  <si>
    <t>Trần thạch cao khung chìm chống ẩm</t>
  </si>
  <si>
    <t>Trần thạch cao khung nhôm nổi</t>
  </si>
  <si>
    <t>Vách kính khung nhôm hệ 700, kính CL 8ly</t>
  </si>
  <si>
    <t>Nhôm Xinfa</t>
  </si>
  <si>
    <t>Vách ngăn bằng tấm Compact dày 18mm</t>
  </si>
  <si>
    <t>Copha Quang Minh</t>
  </si>
  <si>
    <t>Xi măng Hà tiên, Tháng 6 + VC 35km</t>
  </si>
  <si>
    <t>Bê tông nhựa loại C &lt;= 12,5</t>
  </si>
  <si>
    <t>Cấp phối đá dăm 0x4 loại 1</t>
  </si>
  <si>
    <t>Cấp phối đá dăm 0x4 loại 2</t>
  </si>
  <si>
    <t>Cây Lộc Vừng ĐK 20-35cm, cao 6-6,5m</t>
  </si>
  <si>
    <t>Cây Mai chỉ thiên cao 0,8-1m</t>
  </si>
  <si>
    <t>Cỏ lá gừng</t>
  </si>
  <si>
    <t>Cọc chống (đường kính 3-5cm, cao 1-1,5m)</t>
  </si>
  <si>
    <t>Dầu hỏa</t>
  </si>
  <si>
    <t>Petrolimex</t>
  </si>
  <si>
    <t>Dây nilon</t>
  </si>
  <si>
    <t>Duy tu lớp cỏ tự nhiên hiện trạng</t>
  </si>
  <si>
    <t>Nhựa bitum</t>
  </si>
  <si>
    <t>Phân hữu cơ</t>
  </si>
  <si>
    <t>Sơn Acrylic chuyên dụng cho sân thê thao 6 lớp</t>
  </si>
  <si>
    <t>BẢng báo giá</t>
  </si>
  <si>
    <t>Bảng hiệu cổng chính</t>
  </si>
  <si>
    <t>Gạch thẻ 100x200mm</t>
  </si>
  <si>
    <t>Cửa cổng phụ</t>
  </si>
  <si>
    <t>Cửa cổng sắt đẩy</t>
  </si>
  <si>
    <t>Bulong D16, L=350mm</t>
  </si>
  <si>
    <t>Lớp nilong PE</t>
  </si>
  <si>
    <t>Máng xối tôn</t>
  </si>
  <si>
    <t>Tấm ngăn nước Waterstop</t>
  </si>
  <si>
    <t>Thép đệm</t>
  </si>
  <si>
    <t>Dung dịch chống mối Termize 200SC</t>
  </si>
  <si>
    <t>Dầu kích</t>
  </si>
  <si>
    <t>Tham khảo bảng giá theo QĐ 2891/QĐ-UBND</t>
  </si>
  <si>
    <t>Thép hình các loại</t>
  </si>
  <si>
    <t>Thép Thủ Đức VNSTEEL</t>
  </si>
  <si>
    <t>Lớp Vinyl</t>
  </si>
  <si>
    <t>Gia cố cọc để nén tĩnh</t>
  </si>
  <si>
    <t>PHÒNG CHÁY CHỮA CHÁY, BÁO CHÁY, CHỐNG SÉT</t>
  </si>
  <si>
    <t>Bầu giảm STK D114/76</t>
  </si>
  <si>
    <t>Bảng báo giá Phuong Nguyên</t>
  </si>
  <si>
    <t>Bầu giảm STK D114/90</t>
  </si>
  <si>
    <t>Bầu giảm STK D34/21</t>
  </si>
  <si>
    <t>Bầu giảm STK D34/27</t>
  </si>
  <si>
    <t>Bầu giảm STK D42/21</t>
  </si>
  <si>
    <t>Bầu giảm STK D42/27</t>
  </si>
  <si>
    <t>Bầu giảm STK D60/42</t>
  </si>
  <si>
    <t>Bầu giảm STK D76/34</t>
  </si>
  <si>
    <t>Bầu giảm STK D76/42</t>
  </si>
  <si>
    <t>Bình chữa cháy bột MFZ8</t>
  </si>
  <si>
    <t>Bình chữa cháy CO2 MT5</t>
  </si>
  <si>
    <t>Bu long M14 (6p)</t>
  </si>
  <si>
    <t>Bu lông M16</t>
  </si>
  <si>
    <t>Cana xiết cáp với cọc</t>
  </si>
  <si>
    <t>con</t>
  </si>
  <si>
    <t>Cao su</t>
  </si>
  <si>
    <t>Cao su tấm</t>
  </si>
  <si>
    <t>Cáp 2x1,5mm2</t>
  </si>
  <si>
    <t>Cáp 3 pha</t>
  </si>
  <si>
    <t>Cáp 4mm2</t>
  </si>
  <si>
    <t>Cáp chằng kim</t>
  </si>
  <si>
    <t>Chuông báo cháy</t>
  </si>
  <si>
    <t>Co STK D114</t>
  </si>
  <si>
    <t>Co STK D21</t>
  </si>
  <si>
    <t>Co STK D27/21</t>
  </si>
  <si>
    <t>Co STK D42</t>
  </si>
  <si>
    <t>Co STK D60</t>
  </si>
  <si>
    <t>Co STK D76</t>
  </si>
  <si>
    <t>Cọc chống sét D16, L=2,4m</t>
  </si>
  <si>
    <t xml:space="preserve">Công tắc áp lực </t>
  </si>
  <si>
    <t>Công tắc khẩn</t>
  </si>
  <si>
    <t>Cùm treo D27</t>
  </si>
  <si>
    <t>Cùm treo D42</t>
  </si>
  <si>
    <t>Cùm treo D76</t>
  </si>
  <si>
    <t>Cùm U D100 (Bulong + con tán)</t>
  </si>
  <si>
    <t>Cùm U D60 (Bulong + con tán)</t>
  </si>
  <si>
    <t>Cuộn vòi chữa cháy D50, L=20m</t>
  </si>
  <si>
    <t>Cuộn vòi chữa cháy D65, L=20m</t>
  </si>
  <si>
    <t>Đầu báo khói</t>
  </si>
  <si>
    <t>Đầu phun Sprinkler hướng lên</t>
  </si>
  <si>
    <t>Đầu phun Sprinkler hướng xuống</t>
  </si>
  <si>
    <t>Dây tín hiệu Cu/FR 2x1,5mm2</t>
  </si>
  <si>
    <t>Dây tín hiệu Cu/FR 2x1mm2</t>
  </si>
  <si>
    <t>Đèn chiếu sáng sự cố</t>
  </si>
  <si>
    <t>Đèn Exit</t>
  </si>
  <si>
    <t>Đèn Exit 2 mặt sáng</t>
  </si>
  <si>
    <t>Đèn Trạm bơm chữa cháy</t>
  </si>
  <si>
    <t>Đinh vít nở M6</t>
  </si>
  <si>
    <t>Đinh vít nở M8</t>
  </si>
  <si>
    <t>Đồng hồ đo áp lực</t>
  </si>
  <si>
    <t>Giá đỡ kim thu sét</t>
  </si>
  <si>
    <t>Giảm chấn D114</t>
  </si>
  <si>
    <t>Giảm chấn D60</t>
  </si>
  <si>
    <t>Hai đầu răng D21</t>
  </si>
  <si>
    <t>Hai đầu răng D27</t>
  </si>
  <si>
    <t>Hai đầu răng D34</t>
  </si>
  <si>
    <t>Hai đầu răng D42</t>
  </si>
  <si>
    <t>Hai đầu răng D60</t>
  </si>
  <si>
    <t>Hộp box trung gian</t>
  </si>
  <si>
    <t>Hộp đo điện trở</t>
  </si>
  <si>
    <t>Hộp đựng dụng cụ phá dỡ 1200x500x250</t>
  </si>
  <si>
    <t>Kẹp định vị cáp</t>
  </si>
  <si>
    <t>Khớp nối kim thu sét</t>
  </si>
  <si>
    <t>Lăng phun chữa cháy D13</t>
  </si>
  <si>
    <t>Lăng phun chữa cháy D16</t>
  </si>
  <si>
    <t>Luppe D114</t>
  </si>
  <si>
    <t>Luppe D60</t>
  </si>
  <si>
    <t>Măng sông D21</t>
  </si>
  <si>
    <t>Mặt bích D114 và roan cao su</t>
  </si>
  <si>
    <t>Mặt bích D60 và roan cao su</t>
  </si>
  <si>
    <t>Mặt bích D90 và roan cao su</t>
  </si>
  <si>
    <t>Mặt bích mù D114</t>
  </si>
  <si>
    <t>Nắp chụp che đầu phun</t>
  </si>
  <si>
    <t>Nội quy và tiêu lệnh chữa cháy</t>
  </si>
  <si>
    <t>Ốc xiết cáp chằng</t>
  </si>
  <si>
    <t>Ốc xiết cáp đồng</t>
  </si>
  <si>
    <t>Ống uPVC D60</t>
  </si>
  <si>
    <t>Ống Bình Minh, dày 2,5mm</t>
  </si>
  <si>
    <t>Ống Si phông</t>
  </si>
  <si>
    <t>Ống STK D114</t>
  </si>
  <si>
    <t>Dày 3,2mm</t>
  </si>
  <si>
    <t>Ống STK D114x3,2mm</t>
  </si>
  <si>
    <t>Giá thép liên sở 18,350đ/kg</t>
  </si>
  <si>
    <t>Ống STK D21x2,3mm</t>
  </si>
  <si>
    <t>Ống STK D27x2,3mm</t>
  </si>
  <si>
    <t>Ống STK D42x2,6mm</t>
  </si>
  <si>
    <t>Ống STK D60x2,6mm</t>
  </si>
  <si>
    <t>Ống STK D76x2,9mm</t>
  </si>
  <si>
    <t>Ống STK D90x2,9mm</t>
  </si>
  <si>
    <t>Ống STK D90</t>
  </si>
  <si>
    <t>Dày 2,9mm</t>
  </si>
  <si>
    <t>Sắt V5</t>
  </si>
  <si>
    <t>Patch cord cat6 0.5m</t>
  </si>
  <si>
    <t>Sơi</t>
  </si>
  <si>
    <t>Patch cord quang 3m</t>
  </si>
  <si>
    <t>Sơn chống sét</t>
  </si>
  <si>
    <t>Sơn đỏ</t>
  </si>
  <si>
    <t>Tắc kê đạn 10 ly</t>
  </si>
  <si>
    <t>hộp</t>
  </si>
  <si>
    <t>Tăng đơ</t>
  </si>
  <si>
    <t>Tê STK D114</t>
  </si>
  <si>
    <t>Tê STK D114/60</t>
  </si>
  <si>
    <t>Tê STK D114/76</t>
  </si>
  <si>
    <t>Tê STK D114/90</t>
  </si>
  <si>
    <t>Tê STK D27</t>
  </si>
  <si>
    <t>Tê STK D27/21</t>
  </si>
  <si>
    <t>Tê STK D42</t>
  </si>
  <si>
    <t>Tê STK D42/21</t>
  </si>
  <si>
    <t>Tê STK D42/27</t>
  </si>
  <si>
    <t>Tê STK D60</t>
  </si>
  <si>
    <t>Tê STK D76</t>
  </si>
  <si>
    <t>Tê STK D76/34</t>
  </si>
  <si>
    <t>Tê STK D76/42</t>
  </si>
  <si>
    <t>Tê STK D76/60</t>
  </si>
  <si>
    <t>Trụ chữa cháy ngoài nhà D114 (2 ngã 65)</t>
  </si>
  <si>
    <t>trụ</t>
  </si>
  <si>
    <t xml:space="preserve">Trụ đỡ kim thu sét </t>
  </si>
  <si>
    <t>Họng tiếp nước D114 (2 ngã 65)</t>
  </si>
  <si>
    <t>Tủ chữa cháy ngoài nhà (1000x600x300)</t>
  </si>
  <si>
    <t>Tủ chữa cháy trong nhà 600x400x220</t>
  </si>
  <si>
    <t>Ty treo ren 10 ly</t>
  </si>
  <si>
    <t>Van an toàn D60</t>
  </si>
  <si>
    <t>Van bi 17</t>
  </si>
  <si>
    <t>Van chữa cháy D50</t>
  </si>
  <si>
    <t>Van khóa D114</t>
  </si>
  <si>
    <t>Van khóa D34</t>
  </si>
  <si>
    <t>Van khóa D42</t>
  </si>
  <si>
    <t>Van khóa D60</t>
  </si>
  <si>
    <t>Van khóa D76</t>
  </si>
  <si>
    <t>Van một chiều D114</t>
  </si>
  <si>
    <t>Van một chiều D60</t>
  </si>
  <si>
    <t>Van xả khí D34</t>
  </si>
  <si>
    <t>Y lọc D114</t>
  </si>
  <si>
    <t>Y lọc D60</t>
  </si>
  <si>
    <t>Hệ thống hút khói</t>
  </si>
  <si>
    <t>Bịt đầu 400x300mm tole 0.75 mm bọc EI60</t>
  </si>
  <si>
    <t>Bịt đầu 400x400mm tole 0.75 mm bọc EI60</t>
  </si>
  <si>
    <t>Bịt đầu 500x300mm tole 0.75 mm bọc EI60</t>
  </si>
  <si>
    <t>Bịt đầu 500x400mm tole 0.75 mm bọc EI60</t>
  </si>
  <si>
    <t>Bu lông M6x20</t>
  </si>
  <si>
    <t>Chân vịt  600x400mm tole 0.75mm bọc EI61</t>
  </si>
  <si>
    <t>Chân vịt  800x300mm tole 0.75mm bọc EI60</t>
  </si>
  <si>
    <t>Chân vịt  800x500mm tole 0.75mm bọc EI60</t>
  </si>
  <si>
    <t>Co 600x300mm tole 0.75mm bọc EI60</t>
  </si>
  <si>
    <t>Co 800x300 tole 0.75mm bọc EI60</t>
  </si>
  <si>
    <t>Co 800x300mm tole 0.75mm bọc EI60</t>
  </si>
  <si>
    <t>Co 800x500 mm tole 0.75mm bọc EI60</t>
  </si>
  <si>
    <t>Co 800x500mm tole 0.75mm bọc EI60</t>
  </si>
  <si>
    <t>Co giảm 800x300/ 700x300mm tole 0.75mm bọc EI60</t>
  </si>
  <si>
    <t>Giá đỡ cho hệ thốngchống khói và vật tư phụ</t>
  </si>
  <si>
    <t>Giảm 500x300/400x300mm tole 0.75mm bọc EI60</t>
  </si>
  <si>
    <t>Giảm 600x300/500x300mm tole 0.75mm bọc EI0</t>
  </si>
  <si>
    <t>Giảm 600x300/500x400mm mm tole 0.75mm bọc EI60</t>
  </si>
  <si>
    <t>Giảm 600x300/D= 800 tole 0.75mm bọc EI60</t>
  </si>
  <si>
    <t>Giảm 600x400/500x400mm tole 0.75mm bọc EI60</t>
  </si>
  <si>
    <t>Giảm 700x300/600x300mm tole 0.75mm bọc EI60</t>
  </si>
  <si>
    <t>Giảm 700x400/D= 800 tole 0.75mm bọc EI60</t>
  </si>
  <si>
    <t>Giảm 800x300/D= 650 tole 0.75mm bọc EI60</t>
  </si>
  <si>
    <t>Giảm 800x500/650mm mm tole 0.75mm bọc EI60</t>
  </si>
  <si>
    <t>Giảm 900x600/D= 650 tole 0.75mm bọc EI60</t>
  </si>
  <si>
    <t>Giảm chấn trần - chịu tải 100kg</t>
  </si>
  <si>
    <t>Hộp 610x410; H200 Tôn mạ kẽm Z08 0,75mm + Bọc chống cháy EI60</t>
  </si>
  <si>
    <t>Khung quạt đặt sàn cho quạt &amp; lò xo</t>
  </si>
  <si>
    <t>MFD -EI30 - KT 800x300mm bọc EI60</t>
  </si>
  <si>
    <t>MFD -EI30 -KT 800x500mm bọc EI60</t>
  </si>
  <si>
    <t>Miệng cấp 1 lớp -KT 500x200mm +OBD</t>
  </si>
  <si>
    <t>Miệng cấp 1 lớp -KT 600x400mm +OBD &amp; Co kết nối vào ống</t>
  </si>
  <si>
    <t>Miệng gió thải EAl 700x400mm kèm lưới chắn con trùng</t>
  </si>
  <si>
    <t>Miệng gió thải EAl 900x600mm kèm lưới chắn con trùng</t>
  </si>
  <si>
    <t>Nối mềm cho quạt chống cháy</t>
  </si>
  <si>
    <t>Ống 400x300mm tole 0.75 mm bọc EI60</t>
  </si>
  <si>
    <t>Ống 400x400mm tole 0.75 mm bọc EI60</t>
  </si>
  <si>
    <t>Ống 500x300mm tole 0.75 mm bọc EI60</t>
  </si>
  <si>
    <t>Ống 500x400mm tole 0.75 mm bọc EI60</t>
  </si>
  <si>
    <t>Ống 600x300mm tole 0.75 mm bọc EI60</t>
  </si>
  <si>
    <t>Ống 600x400mm tole 0.75 mm bọc EI60</t>
  </si>
  <si>
    <t>Ống 700x300mm tole 0.75 mm bọc EI60</t>
  </si>
  <si>
    <t>Ống 700x400mm tole 0.75 mm bọc EI60</t>
  </si>
  <si>
    <t>Ống 800x300mm tole 0.75 mm bọc EI60</t>
  </si>
  <si>
    <t>Ống 800x500mm tole 0.75 mm bọc EI60</t>
  </si>
  <si>
    <t>Quạt cấp khí bù Q=28.000m3/h-350pa - Bọc chống cháy EI60</t>
  </si>
  <si>
    <t>Tê 600x300mm tole 0.75 mm bọc EI60</t>
  </si>
  <si>
    <t>Tê 800x300/700x300mm tole 0.75mm bọc EI60</t>
  </si>
  <si>
    <t>Bầu giảm STK D90/34</t>
  </si>
  <si>
    <t>Bầu giảm STK D90/76</t>
  </si>
  <si>
    <t>co ngang ống gió 90 độ 600x300/600x300mm</t>
  </si>
  <si>
    <t>co ngang ống gió 90 độ 800x500/800x500mm</t>
  </si>
  <si>
    <t>EAL 900x600mm + Lưới chắn côn trùng</t>
  </si>
  <si>
    <t>giảm ống 500x300/400x300mm</t>
  </si>
  <si>
    <t>Giảm ống 600x300/ 500x300mm</t>
  </si>
  <si>
    <t>giảm ống thông gió 500x400/400x400mm</t>
  </si>
  <si>
    <t>giảm ống thông gió 600x400/500x400mm</t>
  </si>
  <si>
    <t>miệng gió EAG 1200X250mm + OBD</t>
  </si>
  <si>
    <t xml:space="preserve">Miệng gió OAG 700X350mm + OBD </t>
  </si>
  <si>
    <t>OAL 900x600mm + Lưới chắn côn trùng</t>
  </si>
  <si>
    <t>Ống gió kích thước 400x300mm</t>
  </si>
  <si>
    <t>ống gió kích thước 500x300mm</t>
  </si>
  <si>
    <t>ống gió kích thước 600x300mm</t>
  </si>
  <si>
    <t>ống gió kích thước 700x300mm</t>
  </si>
  <si>
    <t>ống rẻ nhanh 2 bên 700x300/700x300mm</t>
  </si>
  <si>
    <t>ống rẻ nhanh 2 bên 800x500/600x400mm</t>
  </si>
  <si>
    <t>ống thông gió 400x400mm</t>
  </si>
  <si>
    <t>ống thông gió 500x400mm</t>
  </si>
  <si>
    <t>ống thông gió 600x400mm</t>
  </si>
  <si>
    <t>ống thông gió 800x500mm</t>
  </si>
  <si>
    <t>Đầu báo Beam</t>
  </si>
  <si>
    <t>Đầu báo nhiệt</t>
  </si>
  <si>
    <t>Mặt bích D114 + roong cao su</t>
  </si>
  <si>
    <t>Sơ đồ chỉ dẫn thoát nạn (giấy decal)</t>
  </si>
  <si>
    <t>Van mồi nước D42</t>
  </si>
  <si>
    <t>Giảm ống 800x500/ 600x400mm</t>
  </si>
  <si>
    <t>Tủ điều khiển hút khói</t>
  </si>
  <si>
    <t>Co ngang ống gió 90 độ 700x300mm/700x300mm</t>
  </si>
  <si>
    <t>Giảm ống 700x300/ 600x300mm</t>
  </si>
  <si>
    <t>Tủ điều khiển bù khói</t>
  </si>
  <si>
    <t>CẤP THOÁT NƯỚC</t>
  </si>
  <si>
    <t>Bể inox dung tích 2,0m3</t>
  </si>
  <si>
    <t>bể</t>
  </si>
  <si>
    <t>https://boninoxdaithanh.com.vn/bon-nuoc-inox-dai-thanh-200/bon-inox-tan-thanh-ngang/bon-inox-tan-thanh-2000l-ngang.html</t>
  </si>
  <si>
    <t>Bể inox dung tích 5,0m3</t>
  </si>
  <si>
    <t>https://boninoxdaithanh.com.vn/bon-nuoc-inox-dai-thanh-200/bon-inox-tan-thanh-ngang/bon-inox-tan-thanh-5000l-ngang.html</t>
  </si>
  <si>
    <t>https://www.tdm.vn/bo-xa-lavabo-inax-a-325ps-nhua.html</t>
  </si>
  <si>
    <t>Bu lông M24-M30</t>
  </si>
  <si>
    <t>Cảm biến mực nước 3 que</t>
  </si>
  <si>
    <t>https://mepvn.com/san-pham/cam-bien-muc-nuoc-3-que-omron/?gclid=Cj0KCQjwrMKmBhCJARIsAHuEAPQ91DumjLsuwdSux4QnfFdLiFUDMHE4bm2Pv4-tGmjEVQXzCKsaKkMaAqTnEALw_wcB</t>
  </si>
  <si>
    <t>Cáp Cu/XLPE/PVC 3x4.0mm2</t>
  </si>
  <si>
    <t>Cáp CVV (2Cx1.5)+E-1.5mm2</t>
  </si>
  <si>
    <t>Cáp CVV (2Cx1.5mm2)</t>
  </si>
  <si>
    <t>Chậu Lavabo treo tường</t>
  </si>
  <si>
    <t>https://www.tdm.vn/lavabo-treo-tuong-inax-l-284v-l-284vc.html</t>
  </si>
  <si>
    <t>https://www.tdm.vn/bon-tieu-nam-inax-u-440v.html</t>
  </si>
  <si>
    <t>Chậu xí bệt (1 khối)</t>
  </si>
  <si>
    <t>https://www.tdm.vn/bon-cau-inax-ac-969vn.html</t>
  </si>
  <si>
    <t>chếch uPVC DN100 (DK114)</t>
  </si>
  <si>
    <t>Bình Minh</t>
  </si>
  <si>
    <t>chếch uPVC DN150 (DK168)</t>
  </si>
  <si>
    <t>chếch uPVC DN200 (DK220)</t>
  </si>
  <si>
    <t>chếch uPVC DN50 (DK60)</t>
  </si>
  <si>
    <t>chếch uPVC DN80 (DK90)</t>
  </si>
  <si>
    <t>co PPR DN15 (DK20)</t>
  </si>
  <si>
    <t>co PPR DN20 (DK25)</t>
  </si>
  <si>
    <t>co PPR DN25 (DK32)</t>
  </si>
  <si>
    <t>co PPR DN32 (DK40)</t>
  </si>
  <si>
    <t>co PPR DN50 (DK63)</t>
  </si>
  <si>
    <t>co ren trong PPR DN15 (DK20)</t>
  </si>
  <si>
    <t>co uPVC DN20 (DK27)</t>
  </si>
  <si>
    <t>co uPVC DN25 (DK34)</t>
  </si>
  <si>
    <t>co uPVC DN32 (DK42)</t>
  </si>
  <si>
    <t>co uPVC DN50 (DK60)</t>
  </si>
  <si>
    <t>co uPVC DN80 (DK90)</t>
  </si>
  <si>
    <t>co 45 PPR DN40 (DK50)</t>
  </si>
  <si>
    <t>co 45 PPR DN50 (DK63)</t>
  </si>
  <si>
    <t>co 45 uPVC DN32 (DK42)</t>
  </si>
  <si>
    <t>co 45 uPVC DN50 (DK60)</t>
  </si>
  <si>
    <t>Dây cấp nước Inox</t>
  </si>
  <si>
    <t>https://www.tdm.vn/day-cap-toto-h260033-1.html</t>
  </si>
  <si>
    <t>Dây nguồn từ tủ điện đến bơm</t>
  </si>
  <si>
    <t>Đồng hồ đo áp suất</t>
  </si>
  <si>
    <t>Bảng báo giá Thịnh Phát</t>
  </si>
  <si>
    <t>Đồng hồ đo lưu lượng nước DN 50 (DK60) kèm hộp bảo vệ</t>
  </si>
  <si>
    <t>http://komax.net.vn/dong-ho-do-nuoc-sinh-hoat-komax/dong-ho-do-nuoc-dn50-komax-noi-mat-bich.html</t>
  </si>
  <si>
    <t>Gối cống BTCT D300</t>
  </si>
  <si>
    <t>Hùng Vương, SXD tháng 6</t>
  </si>
  <si>
    <t>Gối cống BTCT D600</t>
  </si>
  <si>
    <t>Gối cống BTCT D800</t>
  </si>
  <si>
    <t>Gối đỡ ống DN150 (DK168)</t>
  </si>
  <si>
    <t>Gối đỡ ống DN200 (DK225)</t>
  </si>
  <si>
    <t>Hộp bảo vệ vòi nước tưới cây</t>
  </si>
  <si>
    <t>Joint cao su lắp cống D300</t>
  </si>
  <si>
    <t>Hùng Vương</t>
  </si>
  <si>
    <t>Joint cao su lắp cống D600</t>
  </si>
  <si>
    <t>Joint cao su lắp cống D800</t>
  </si>
  <si>
    <t>Kép Inox DN50 (DK60)</t>
  </si>
  <si>
    <t>Kép Inox DN20 (DK25)</t>
  </si>
  <si>
    <t>Khớp nối mềm DN50 (DK60)</t>
  </si>
  <si>
    <t>Mặt bích mù PPR DN50 (DK60)</t>
  </si>
  <si>
    <t>Mặt bích PPR DN50 (DK60)</t>
  </si>
  <si>
    <t>Mặt bích STK DN50 (DK60)</t>
  </si>
  <si>
    <t>Máy bơm chìm giếng khoan cấp nước tưới cây Q=5m3/h, H=40m</t>
  </si>
  <si>
    <t>Pentax</t>
  </si>
  <si>
    <t>Máy bơm nước sinh hoạt (Q=8m3/h, h=30m)</t>
  </si>
  <si>
    <t>nối giảm PPR DN32/15 (DK40/20)</t>
  </si>
  <si>
    <t>nối giảm PPR DN20/15 (DK25/20)</t>
  </si>
  <si>
    <t>nối giảm PPR DN25/15 (DK32/20)</t>
  </si>
  <si>
    <t>nối giảm PPR DN25/20 (DK32/25)</t>
  </si>
  <si>
    <t>nối giảm PPR DN32/20 (DK40/25)</t>
  </si>
  <si>
    <t>nối giảm PPR DN32/25 (DK40/32)</t>
  </si>
  <si>
    <t>nối giảm PPR DN40/32 (DK50/40)</t>
  </si>
  <si>
    <t>nối giảm PPR DN50/15 (DK63/20)</t>
  </si>
  <si>
    <t>nối giảm uPVC DN100/80 (DK114/90)</t>
  </si>
  <si>
    <t>nối giảm uPVC DN150/100 (DK168/114)</t>
  </si>
  <si>
    <t>nối giảm uPVC DN25/20 (DK34/27)</t>
  </si>
  <si>
    <t>nối giảm uPVC DN32/25 (DK42/34)</t>
  </si>
  <si>
    <t>nối giảm uPVC DN50/32 (DK60/42)</t>
  </si>
  <si>
    <t>nối giảm uPVC DN80/50 (DK90/60)</t>
  </si>
  <si>
    <t>nối PPR DN15 (DK20)</t>
  </si>
  <si>
    <t>nối PPR DN20 (DK25)</t>
  </si>
  <si>
    <t>nối PPR DN25 (DK32)</t>
  </si>
  <si>
    <t>nối PPR DN32 (DK40)</t>
  </si>
  <si>
    <t>nối PPR DN40 (DK50)</t>
  </si>
  <si>
    <t>nối PPR DN50 (DK63)</t>
  </si>
  <si>
    <t>nối ren ngoài PPR DN15 (DK20)</t>
  </si>
  <si>
    <t>nối ren ngoài PPR DN20 (DK25)</t>
  </si>
  <si>
    <t>nối ren ngoài PPR DN25 (DK32)</t>
  </si>
  <si>
    <t>nối ren ngoài PPR DN32 (DK40)</t>
  </si>
  <si>
    <t>nối ren ngoài PPR DN50 (DK63)</t>
  </si>
  <si>
    <t>nối ren ngoài uPVC DN50 (DK60)</t>
  </si>
  <si>
    <t>nối ren ngoài uPVC DN25 (DK34)</t>
  </si>
  <si>
    <t>nối ren ngoài uPVC DN32 (DK42)</t>
  </si>
  <si>
    <t>nối ren trong PPR DN15 (DK20)</t>
  </si>
  <si>
    <t>nối ren trong PPR DN50 (DK63)</t>
  </si>
  <si>
    <t>nối ren trong uPVC DN50 (DK60)</t>
  </si>
  <si>
    <t>nối ren trong uPVC DN20 (DK27)</t>
  </si>
  <si>
    <t>nối ren trong uPVC DN25 (DK34)</t>
  </si>
  <si>
    <t>nối ren trong uPVC DN32 (DK42)</t>
  </si>
  <si>
    <t>Nút bít ren ngoài PPR DN15 (DK20)</t>
  </si>
  <si>
    <t>nút bịt uPVC DN100 (DK114)</t>
  </si>
  <si>
    <t>nút bịt uPVC DN32 (DK42)</t>
  </si>
  <si>
    <t>nút bịt uPVC DN50 (DK60)</t>
  </si>
  <si>
    <t>Nút nhấn xả tiểu nam</t>
  </si>
  <si>
    <t>Van xả bồn tiểu INAX UF-7V (UF-5V) xả nhấn ống thẳng - Tuấn Đức (tdm.vn)</t>
  </si>
  <si>
    <t>Ống cống BTCT D300 (H10), L=3m</t>
  </si>
  <si>
    <t>md</t>
  </si>
  <si>
    <t>ống cống BTCT D600 (H10), L=3m</t>
  </si>
  <si>
    <t>ống cống BTCT D600 (H30), L=3m</t>
  </si>
  <si>
    <t>ống cống BTCT D800 (H10), L=3m</t>
  </si>
  <si>
    <t>ống cống BTCT D800 (H30), L=3m</t>
  </si>
  <si>
    <t>ống PPR DN15 (DK20x3.4)</t>
  </si>
  <si>
    <t>ống PPR DN20 (DK25x4.2)</t>
  </si>
  <si>
    <t>ống PPR DN25 (DK32x5.4)</t>
  </si>
  <si>
    <t>ống PPR DN32 (DK40x6.7)</t>
  </si>
  <si>
    <t>ống PPR DN40 (DK50x8.3)</t>
  </si>
  <si>
    <t>ống PPR DN50 (DK63x10.5)</t>
  </si>
  <si>
    <t>ống thép STK DN65 (DK76)</t>
  </si>
  <si>
    <t>ống thép STK DN80 (DK90)</t>
  </si>
  <si>
    <t>ống uPVC DN100 (DK114)</t>
  </si>
  <si>
    <t>Ống Bình Minh, dày 3,1mm</t>
  </si>
  <si>
    <t>ống uPVC DN150 (DK168)</t>
  </si>
  <si>
    <t>Ống Bình Minh, dày 4,5mm</t>
  </si>
  <si>
    <t>ống uPVC DN20 (DK27)</t>
  </si>
  <si>
    <t>Ống Bình Minh, dày 1,9mm</t>
  </si>
  <si>
    <t>ống uPVC DN200 (DK220)</t>
  </si>
  <si>
    <t>Ống Bình Minh, dày 5,6mm</t>
  </si>
  <si>
    <t>ống uPVC DN25 (DK34)</t>
  </si>
  <si>
    <t>Ống Bình Minh, dày 2,2mm</t>
  </si>
  <si>
    <t>ống uPVC DN32 (DK42)</t>
  </si>
  <si>
    <t>ống uPVC DN50 (DK60)</t>
  </si>
  <si>
    <t>ống uPVC DN80 (DK90)</t>
  </si>
  <si>
    <t>Ống Bình Minh, dày 2,6mm</t>
  </si>
  <si>
    <t>phễu thu nước mưa DN100 (DK114)</t>
  </si>
  <si>
    <t>https://www.tdm.vn/pheu-thoat-san-CAESAR-F2323A.html</t>
  </si>
  <si>
    <t>phễu thu nước mưa DN150 (DK168)</t>
  </si>
  <si>
    <t>phễu thu nước mưa DN80 (DK90)</t>
  </si>
  <si>
    <t>phễu thu sàn WC DN50 (DK60)</t>
  </si>
  <si>
    <t>https://www.tdm.vn/thoat-san-CAESAR-ST1212.html</t>
  </si>
  <si>
    <t>Siphong DN50 (DK60)</t>
  </si>
  <si>
    <t>Tấm đan phân lực KT 1000x500x120</t>
  </si>
  <si>
    <t>tê cong DN150 (DK168)</t>
  </si>
  <si>
    <t>tê cong uPVC DN100 (DK114)</t>
  </si>
  <si>
    <t>tê cong uPVC DN80 (DK90)</t>
  </si>
  <si>
    <t>tê giảm PPR DN20x15 (DK25x20)</t>
  </si>
  <si>
    <t>tê giảm PPR DN25x15 (DK32x20)</t>
  </si>
  <si>
    <t>tê giảm PPR DN25x20 (DK32x25)</t>
  </si>
  <si>
    <t>tê giảm PPR DN32x15 (DK40x20)</t>
  </si>
  <si>
    <t>tê giảm PPR DN32x25 (DK40x25)</t>
  </si>
  <si>
    <t>tê giảm PPR DN40x20 (DK50x25)</t>
  </si>
  <si>
    <t>tê giảm PPR DN40x25 (DK50x32)</t>
  </si>
  <si>
    <t>tê giảm PPR DN50x20 (DK63x25)</t>
  </si>
  <si>
    <t>tê giảm PPR DN50x40 (DK63x50)</t>
  </si>
  <si>
    <t>tê giảm uPVC DN100/32 (DK114/42)</t>
  </si>
  <si>
    <t>tê giảm uPVC DN100/50 (DK114/60)</t>
  </si>
  <si>
    <t>tê giảm uPVC DN32/20 (DK42/27)</t>
  </si>
  <si>
    <t>tê giảm uPVC DN80/32 (DK90/42)</t>
  </si>
  <si>
    <t>tê giảm uPVC DN80/50 (DK90/60)</t>
  </si>
  <si>
    <t>tê PPR DN15 (DK20)</t>
  </si>
  <si>
    <t>tê PPR DN20 (DK25)</t>
  </si>
  <si>
    <t>tê PPR DN25 (DK32)</t>
  </si>
  <si>
    <t>tê PPR DN32 (DK40)</t>
  </si>
  <si>
    <t>tê PPR DN40 (DK50)</t>
  </si>
  <si>
    <t>tê PPR DN50 (DK63)</t>
  </si>
  <si>
    <t>tê uPVC DN25 (DK34)</t>
  </si>
  <si>
    <t>tê uPVC DN32 (DK42)</t>
  </si>
  <si>
    <t>tê uPVC DN50 (DK60)</t>
  </si>
  <si>
    <t>tê uPVC DN80 (DK90)</t>
  </si>
  <si>
    <t>thông tắc sàn SUS 304 DN100 (DK114)</t>
  </si>
  <si>
    <t>thông tắc sàn SUS 304 DN50 (DK60)</t>
  </si>
  <si>
    <t>thông tắc sàn SUS 304 DN80 (DK90)</t>
  </si>
  <si>
    <t>thông tắc sàn uPVC DN150 (DK168)</t>
  </si>
  <si>
    <t>thông tắc trần uPVC DN100 (DK114)</t>
  </si>
  <si>
    <t>thông tắc trần uPVC DN50 (DK60)</t>
  </si>
  <si>
    <t>thông tắc trần uPVC DN80 (DK90)</t>
  </si>
  <si>
    <t>thông tắc uPVC DN150 (DK168)</t>
  </si>
  <si>
    <t>Tủ điện điều khiển cụm bơm</t>
  </si>
  <si>
    <t>Van 1 chiều DN20 (DK27)</t>
  </si>
  <si>
    <t>van 1 chiều DN32 (DK42)</t>
  </si>
  <si>
    <t>Van 1 chiều DN50 (DK60)</t>
  </si>
  <si>
    <t>Van bi DN15 (DK21)</t>
  </si>
  <si>
    <t>Van cổng DK27</t>
  </si>
  <si>
    <t>van cổng DN32 (DK42)</t>
  </si>
  <si>
    <t>Van cổng DN50 (DK60)</t>
  </si>
  <si>
    <t>Van cổng đồng DN15 (DK21)</t>
  </si>
  <si>
    <t>Van cổng đồng DN20 (DK27)</t>
  </si>
  <si>
    <t>Van cổng đồng DN25 (DK34)</t>
  </si>
  <si>
    <t>Van cổng đồng DN40 (DK49)</t>
  </si>
  <si>
    <t>Van cổng đồng DN50 (DK60)</t>
  </si>
  <si>
    <t>Van đáy DN50 (DK60)</t>
  </si>
  <si>
    <t>https://vankhinen.com/van-arv-malaysia/van-cong-ty-chim-pn16-dn50.html</t>
  </si>
  <si>
    <t>Van điện</t>
  </si>
  <si>
    <t>https://vankhinen.com/van-dien-tu/van-dien-tu-unid-uw-50.html</t>
  </si>
  <si>
    <t>Van góc</t>
  </si>
  <si>
    <t>https://www.tdm.vn/van-american-standard-m19225.html</t>
  </si>
  <si>
    <t>Van phao cơ DN50 (DK60)</t>
  </si>
  <si>
    <t>https://vankhinen.com/van-arv-malaysia/van-phao-pn16-dn50.html</t>
  </si>
  <si>
    <t>Van phao DN50</t>
  </si>
  <si>
    <t>Vòi tưới DN20 (DK25)</t>
  </si>
  <si>
    <t>Vòi tắm hương sen lạnh</t>
  </si>
  <si>
    <t>Vòi hoa sen INAX BFV-17-4C lạnh tắm đứng tay sen mạ - Tuấn Đức (tdm.vn)</t>
  </si>
  <si>
    <t>Vòi xịt vệ sinh</t>
  </si>
  <si>
    <t>Giá trước khuyến mãi</t>
  </si>
  <si>
    <t>vòi rửa sàn DN15 (DK21)</t>
  </si>
  <si>
    <t>Y giảm uPVC DN100/50 (DK114/60)</t>
  </si>
  <si>
    <t>Y giảm uPVC DN100/80 (DK114/90)</t>
  </si>
  <si>
    <t>Y giảm uPVC DN150/80 (DK168/90)</t>
  </si>
  <si>
    <t>Y giảm uPVC DN150/100 (DK168/114)</t>
  </si>
  <si>
    <t>Y giảm uPVC DN80/50 (DK90/60)</t>
  </si>
  <si>
    <t>http://minhhoa.com.vn/van-y-loc-miha.html</t>
  </si>
  <si>
    <t>Y lọc DN50 (DK60)</t>
  </si>
  <si>
    <t>Y uPVC DN100 (DK114)</t>
  </si>
  <si>
    <t>Y uPVC DN150 (DK168)</t>
  </si>
  <si>
    <t>Y uPVC DN50 (DK60)</t>
  </si>
  <si>
    <t>Y uPVC DN80 (DK90)</t>
  </si>
  <si>
    <t>ATS 3P-150A</t>
  </si>
  <si>
    <t>CĐT cung cap ATS + bộ điều khiển ATS</t>
  </si>
  <si>
    <t>Băng cảnh báo cáp ngầm W150</t>
  </si>
  <si>
    <t>https://baoholaodong.dongphuctanbinh.com/san-pham/bang-canh-bao-duong-cap-quang-ngam/?utm_source=Google%20Shopping&amp;utm_campaign=bhld&amp;utm_medium=cpc&amp;utm_term=2154&amp;gclid=CjwKCAjwjMiiBhA4EiwAZe6jQ47BeZpcbAEhGUprN0cRfGsmygUmGzTlFozOEmVoI2RV9oDh9iVICRoCsssQAvD_BwE</t>
  </si>
  <si>
    <t>Co 100x100</t>
  </si>
  <si>
    <t>Băng cuốn bảo ôn</t>
  </si>
  <si>
    <t>Bịt đầu đoạn cuối ống gió 200x200</t>
  </si>
  <si>
    <t>Bộ chống sét lan truyền hạ thế 4P-8/20µs 40 kA+3x50A(GL)</t>
  </si>
  <si>
    <t>https://codienhaiau.com/product/chong-set-lan-truyen-schneider-a9l40600/?gclid=CjwKCAjwjMiiBhA4EiwAZe6jQ2Fd0uu4UlzUgJy1tt8qJNhTxru7XOHJ5Quqx1WRB-kCY1kXOPlEZhoCdQIQAvD_BwE</t>
  </si>
  <si>
    <t>Chống sét lan truyền SPD-(10kA-8/20mS)</t>
  </si>
  <si>
    <t>Bộ điều khiển tụ bù 4 cấp</t>
  </si>
  <si>
    <t>PTM</t>
  </si>
  <si>
    <t>Bộ khởi động từ trực tiếp 3 pha 3kW</t>
  </si>
  <si>
    <t>Schneider-A9C20833</t>
  </si>
  <si>
    <t>Bộ khuếch đại công suất loại 480W</t>
  </si>
  <si>
    <t>https://vnsup.com/bo-khuech-dai-quan-ly-he-thong-toa-vm-2240/?gclid=CjwKCAjwjMiiBhA4EiwAZe6jQ6iiMOFh8zY6Mby6NcI5VqwWuzkakTVw6gxEyuibJou1FlyTsgVWHBoChVwQAvD_BwE</t>
  </si>
  <si>
    <t>Bộ phân phối nguồn AC/DC</t>
  </si>
  <si>
    <t>Bộ phát nhạc nền CD/USB</t>
  </si>
  <si>
    <t>Bộ phát thông báo khẩn</t>
  </si>
  <si>
    <t>https://www.sieuthivienthong.com/bo-phat-tin-nhan-khan-cap-toa-fv-200ev-as-22429.html?gclid=Cj0KCQjwz8emBhDrARIsANNJjS5BD11DaxdnJsDgZXrdhKASRNckWfoowqnD5GuvcDmcTw6OM8JyhGAaArsUEALw_wcB</t>
  </si>
  <si>
    <t>Bộ khuếch đại công suất 750W</t>
  </si>
  <si>
    <t>https://vnsup.com/bo-khuech-dai-am-thanh-mixer-toa-a-2240/?gclid=Cj0KCQjwz8emBhDrARIsANNJjS5mEtkOM21CVmmPCGcbFHoN0NvHfImuO119gNkxotEcFZ9HRQnZzBwaAmm4EALw_wcB</t>
  </si>
  <si>
    <t>Bộ lưu điện UPS Offline 1 pha 3KVA online, 220v/50Hz</t>
  </si>
  <si>
    <t>https://www.sieuthivienthong.com/nguon-luu-dien-ups-santak-blazer-2200pro-61186.html?gclid=CjwKCAjwjMiiBhA4EiwAZe6jQxp9AbCDDh06OnAzv7TFN3u24xIiuGGTsGQ9iQ4Jra8wLxwx3OROChoCMscQAvD_BwE</t>
  </si>
  <si>
    <t>Bộ Micro không dây</t>
  </si>
  <si>
    <t>https://www.sieuthivienthong.com/bo-micro-khong-day-1-kenh-toa-ws-420-as-53195.html</t>
  </si>
  <si>
    <t>Bộ phát nhạc nền DVD Player</t>
  </si>
  <si>
    <t>https://toavietnam.net/715-dau-phat-nhac-nen-toa-md-200-as.html</t>
  </si>
  <si>
    <t>Bộ role bảo vệ quá áp, thấp áp, chạm đất, mất pha</t>
  </si>
  <si>
    <t>Bộ thu Micro không dây</t>
  </si>
  <si>
    <t>https://toavietnam.net/169-micro-khong-day-cam-tay-uhf-toa-wm-5225.html</t>
  </si>
  <si>
    <t>Box PVC 110x110</t>
  </si>
  <si>
    <t>Bu lông mạ M6x20</t>
  </si>
  <si>
    <t>Bộ sạc ắc quy</t>
  </si>
  <si>
    <t>Bộ tiền khuếch đại</t>
  </si>
  <si>
    <t>Busbar 150A</t>
  </si>
  <si>
    <t>thanh</t>
  </si>
  <si>
    <t>https://thietbibenthanh.com/thanh-cai-tu-dien-busbar-5866-15.html</t>
  </si>
  <si>
    <t>Busbar 25A</t>
  </si>
  <si>
    <t>Busbar 320A</t>
  </si>
  <si>
    <t>Busbar 400A</t>
  </si>
  <si>
    <t>Busbar 40A</t>
  </si>
  <si>
    <t>Busbar 50A</t>
  </si>
  <si>
    <t xml:space="preserve">thanh </t>
  </si>
  <si>
    <t>Camera IP lắp ngoài trời IP66</t>
  </si>
  <si>
    <t>https://www.sieuthivienthong.com/camera-ip-hong-ngoai-2.0-megapixel-hikvision-ds-2cd2021g1-i-b-26893.html</t>
  </si>
  <si>
    <t>Camera IP lắp trong nhà</t>
  </si>
  <si>
    <t>https://www.sieuthivienthong.com/camera-ip-hong-ngoai-khong-day-2.0-megapixel-hikvision-ds-2cv1021g0-idw1d-32712.html</t>
  </si>
  <si>
    <t>Cao su làm gioăng</t>
  </si>
  <si>
    <t>Cáp (3x1C-2.5mm2 Cu/PVC) + E 2.5mm2 Cu/PVC</t>
  </si>
  <si>
    <t>Cáp Cu/PVC 1x1.5mm2</t>
  </si>
  <si>
    <t>Cáp Cu/PVC 1x10mm2</t>
  </si>
  <si>
    <t>Cáp Cu/PVC 1x16mm2</t>
  </si>
  <si>
    <t>Cáp Cu/PVC 1x6mm2</t>
  </si>
  <si>
    <t>Cáp Cu/PVC 1x2.5mm2</t>
  </si>
  <si>
    <t>Cáp Cu/PVC 1x25mm2</t>
  </si>
  <si>
    <t>Cáp Cu/PVC 1x4mm2</t>
  </si>
  <si>
    <t>Cáp Cu/XLPE/FR 2x2.5mm2</t>
  </si>
  <si>
    <t>Cáp Cu/XLPE/FR 2x4mm2</t>
  </si>
  <si>
    <t>Cáp Cu/XLPE/FR 4x35mm2</t>
  </si>
  <si>
    <t>Cáp Cu/XLPE/PVC 1x50mm2</t>
  </si>
  <si>
    <t>Cáp Cu/XLPE/PVC 2x2.5mm2</t>
  </si>
  <si>
    <t>Cáp Cu/XLPE/PVC 2x4mm2</t>
  </si>
  <si>
    <t>Cáp Cu/XLPE/PVC 2x6mm2</t>
  </si>
  <si>
    <t>Cadivi bảng 8</t>
  </si>
  <si>
    <t>Cáp Cu/XLPE/PVC 3x2.5mm2</t>
  </si>
  <si>
    <t>Cáp Cu/XLPE/PVC 4x10mm2</t>
  </si>
  <si>
    <t>Cáp Cu/XLPE/PVC 4x2.5mm2</t>
  </si>
  <si>
    <t>Cáp Cu/XLPE/PVC 4x240mm2</t>
  </si>
  <si>
    <t>Cáp Cu/XLPE/PVC 4x35mm2</t>
  </si>
  <si>
    <t>Cáp Cu/XLPE/PVC 4x4mm2</t>
  </si>
  <si>
    <t>Cáp Cu/XLPE/PVC 4x6mm2</t>
  </si>
  <si>
    <t>Cáp Cu/XLPE/PVC 4x50mm2</t>
  </si>
  <si>
    <t>Cáp đồng trần 70mm2</t>
  </si>
  <si>
    <t>Cáp đồng trần 25mm2</t>
  </si>
  <si>
    <t>Cáp đồng trần D70mm2</t>
  </si>
  <si>
    <t>Cáp HDMI 5m</t>
  </si>
  <si>
    <t>sợi</t>
  </si>
  <si>
    <t>https://phongvu.vn/cap-hdmi-1-4-ugreen-10109-5m--s210200059</t>
  </si>
  <si>
    <t>Cáp HDMI 15m</t>
  </si>
  <si>
    <t>https://phongvu.vn/cap-noi-hdmi-elecom-dh-hdp14e10bk--s1705102?utm_source=gg-ad&amp;utm_medium=pmax&amp;utm_campaign=accessories-cpm&amp;utm_content=responsive&amp;utm_term=gear&amp;utm_agent=alwayson&amp;gclid=Cj0KCQjwz8emBhDrARIsANNJjS65zZ8PWhugKHNyLa5ypNOxMe1xX9LtqDqGlqqjYb6vMtIYRoAUC68aAlwrEALw_wcB</t>
  </si>
  <si>
    <t>Cáp mạng Cat6 UTP</t>
  </si>
  <si>
    <t>Cáp UTP Cat 6 - 4 Pair</t>
  </si>
  <si>
    <t>Cáp nguồn 2Cx1.5mm² CU/PVC</t>
  </si>
  <si>
    <t>Cáp nguồn 2x1Cx2.5mm² CU/PVC</t>
  </si>
  <si>
    <t>Cáp nguồn 2x1Cx4.0mm² CU/PVC</t>
  </si>
  <si>
    <t>Cáp quang Singlemode 4C loại Outdoor</t>
  </si>
  <si>
    <t>https://thegioicapquang.com.vn/cap-quang-singlemode-4-core-4fo-c-322-328-4991.html</t>
  </si>
  <si>
    <t>Cáp xoắn chống nhiễu 2Cx16AWG</t>
  </si>
  <si>
    <t>https://www.sieuthivienthong.com/cap-tin-hieu-van-xoan-chong-nhieu-2-lop-16-awg-1-pair-altek-kabel-38726.html</t>
  </si>
  <si>
    <t>Cầu chì đế 2A</t>
  </si>
  <si>
    <t>https://codienhaiau.com/product/vo-cau-chi-chint-rt28n-32x-1p-32a-500v/</t>
  </si>
  <si>
    <t>Co 90 250x200</t>
  </si>
  <si>
    <t>Cọc tiếp địa L=2,4m D16</t>
  </si>
  <si>
    <t>Cọc tiếp địa L=2,4m Ø16</t>
  </si>
  <si>
    <t>Công tắc ba 1 chiều</t>
  </si>
  <si>
    <t>Công tắc chuyển mạch Ampe</t>
  </si>
  <si>
    <t>https://codienhaiau.com/product/cong-tac-chuyen-mach-ampe-4-vi-tri-3p4w-48x60mm/</t>
  </si>
  <si>
    <t>Công tắc chuyển mạch Volt</t>
  </si>
  <si>
    <t>Công tắc đôi 1 chiều</t>
  </si>
  <si>
    <t>Công tắc đội 2 chiều</t>
  </si>
  <si>
    <t>Công tắc đơn 1 chiều</t>
  </si>
  <si>
    <t>Công tắc đơn 2 chiều</t>
  </si>
  <si>
    <t>Contactor 25A 4P-4NO</t>
  </si>
  <si>
    <t>Schneider-A9C20834</t>
  </si>
  <si>
    <t>Contactor 3P-63A</t>
  </si>
  <si>
    <t>Schneider-A9C20863</t>
  </si>
  <si>
    <t>Core Switch 16 Port</t>
  </si>
  <si>
    <t>Core Switch - 8 port</t>
  </si>
  <si>
    <t>Cột đèn STK liền cần cao 6m</t>
  </si>
  <si>
    <t>cột</t>
  </si>
  <si>
    <t>Cửa gió đơn 200x200mm</t>
  </si>
  <si>
    <t>Cửa gió đơn 200x600mm</t>
  </si>
  <si>
    <t>Cuộn lọc sóng hài SR6%</t>
  </si>
  <si>
    <t>Đầu ghi hình NVR 24 channel - HDD 2x6TB</t>
  </si>
  <si>
    <t>https://camerahik.vn/ds-7616ni-k1b/</t>
  </si>
  <si>
    <t>Dây nhảy Patch Cord Cat3e, L=0,5m</t>
  </si>
  <si>
    <t>Đầu nối fast connect</t>
  </si>
  <si>
    <t>Dây nhảy Patch Cord Cat6, L=0,5m</t>
  </si>
  <si>
    <t>Dây nhảy quang 3m</t>
  </si>
  <si>
    <t>sơi</t>
  </si>
  <si>
    <t>Đèn  ốp trần bóng led 22W</t>
  </si>
  <si>
    <t>MPE</t>
  </si>
  <si>
    <t>Đèn báo pha</t>
  </si>
  <si>
    <t>Đèn báo pha + cấu chì đế 2A</t>
  </si>
  <si>
    <t>Đèn High bay led 150W</t>
  </si>
  <si>
    <t>https://www.hoangquocbao.com/den-led-nha-xuong/den-led-150w---den-led-nha-xuong--den-led-hightbay-150w/?gad=1&amp;gclid=Cj0KCQjw0tKiBhC6ARIsAAOXutkpA3pS6QNjbdL5Ov5QIcRWzSI5DtPsuxJ6OM6UvyklE8VNFOUMVt0aApVZEALw_wcB</t>
  </si>
  <si>
    <t>Đèn High bay led 200W</t>
  </si>
  <si>
    <t>Theo báo giá</t>
  </si>
  <si>
    <t>Đèn High bay led treo 80W</t>
  </si>
  <si>
    <t>https://www.hoangquocbao.com/den-led-nha-xuong/den-led-100w---den-led-nha-xuong--den-led-hightbay-100w/?gad=1&amp;gclid=Cj0KCQjw0tKiBhC6ARIsAAOXutlTfd-RAlGsNkots1BE1buVeAOWytMWDSeqAaxluET7dt-aBce88ZgaAmMOEALw_wcB</t>
  </si>
  <si>
    <t>Đèn led 600x600 panel 40W, âm trần</t>
  </si>
  <si>
    <t>https://rangdong.com.vn/den-led-panel-chieu-thang-60-60-40w-pr1249.html</t>
  </si>
  <si>
    <t>Đèn Led 70W (trụ đèn STK)</t>
  </si>
  <si>
    <t>https://daxin.vn/san-pham/den-duong-led-70w-daxinco-kieu-mat-trang/?utm_source=Google%20Shopping&amp;utm_campaign=TEST&amp;utm_medium=cpc&amp;utm_term=5672&amp;gclid=Cj0KCQjw0tKiBhC6ARIsAAOXutlGTLRB39OBi7R8NVeUOnS0X_WJ2oFYQhF1Zirlt4mby9sdM7V3kAEaAkXIEALw_wcB</t>
  </si>
  <si>
    <t>Đèn led downlight âm trần 12W</t>
  </si>
  <si>
    <t>Đèn led downlight âm trần 9W</t>
  </si>
  <si>
    <t>Đèn led downlight lắp nổi 12W</t>
  </si>
  <si>
    <t xml:space="preserve">Đèn led gắn tường </t>
  </si>
  <si>
    <t>Đèn pha Led 50W IP66</t>
  </si>
  <si>
    <t>Đèn pha Led 70W IP66</t>
  </si>
  <si>
    <t>Đèn Tube led 20W 1,2m</t>
  </si>
  <si>
    <t>Bóng đèn led tube nhôm T8 MPE 1m2 20W</t>
  </si>
  <si>
    <t>Đèn Tube led 20W 1,2m (kín nước)</t>
  </si>
  <si>
    <t>Đèn Tube led 2x20W 1,2m</t>
  </si>
  <si>
    <t>Đèn pha Mechantronict100-100W-19180Lm</t>
  </si>
  <si>
    <t>Bảng báo giá Đông Vũ</t>
  </si>
  <si>
    <t>Gia\Báo giá Đèn sân bóng.pdf</t>
  </si>
  <si>
    <t>Đèn pha Megaluxt40-100W-16000Lm</t>
  </si>
  <si>
    <t>Đèn pha Megaluxt60-100W-16000Lm</t>
  </si>
  <si>
    <t>Đèn pha Prolux-50W-9600Lm</t>
  </si>
  <si>
    <t>Đinh vít nở M5</t>
  </si>
  <si>
    <t>Đồng hồ điện đa năng</t>
  </si>
  <si>
    <t>Đồng hồ đo ampe 0-150A</t>
  </si>
  <si>
    <t>Đồng hồ đo ampe 0-400A</t>
  </si>
  <si>
    <t>Đồng hồ đo Volt 0-500V</t>
  </si>
  <si>
    <t>Gạch thẻ làm dấu</t>
  </si>
  <si>
    <t>Giá đỡ máy</t>
  </si>
  <si>
    <t>Giảm 150x150/250x200</t>
  </si>
  <si>
    <t>Giảm 200x150/250x200</t>
  </si>
  <si>
    <t>Giảm vuông tròn 150x150/D150</t>
  </si>
  <si>
    <t>Giảm vuông tròn 2 đầu quạt</t>
  </si>
  <si>
    <t>Giảm vuông tròn 200x150/D150</t>
  </si>
  <si>
    <t>Giảm vuông tròn 250x200/D150</t>
  </si>
  <si>
    <t>Gioăng cao su tấm</t>
  </si>
  <si>
    <t>Gót giày 200x200</t>
  </si>
  <si>
    <t>Gót giày D150</t>
  </si>
  <si>
    <t>Hộp chia 1,2,3,4 ngã</t>
  </si>
  <si>
    <t>Hộp box 250x150x130 IP67, MCB 3P-20A-6kA</t>
  </si>
  <si>
    <t>cộng thêm phụ kiện MCB Schneider</t>
  </si>
  <si>
    <t>Hộp nối kín nước IP67 gồm RCBO (box -3N &amp; box-ON)</t>
  </si>
  <si>
    <t>https://daihoaphu.vn/san-pham/hop-nut-nhan-kin-nuoc-ip67-hi-box-dspcg08111b1</t>
  </si>
  <si>
    <t>Hộp nối quang ODF 16 Port</t>
  </si>
  <si>
    <t>https://thietbiquang.net/hop-phoi-quang-odf-16fo-trong-nha-day-du-phu-kien-c-324-337-5280.html</t>
  </si>
  <si>
    <t>Hộp nối trung gian 110x110x50</t>
  </si>
  <si>
    <t>Hộp nối trung gian 150x150x50</t>
  </si>
  <si>
    <t>Hộp nối trung gian 150x150</t>
  </si>
  <si>
    <t>Hộp nối trung gian tròn 2,3 ngã D20</t>
  </si>
  <si>
    <t>Khung đỡ dàn nóng + Cao su chống run dàn nóng</t>
  </si>
  <si>
    <t>Loa âm trần 6W</t>
  </si>
  <si>
    <t>https://toavietnam.net/143-loa-am-tran-6w-toa-pc-658r.html</t>
  </si>
  <si>
    <t>Loa hộp gắn tường 10W</t>
  </si>
  <si>
    <t>https://toavietnam.net/183-loa-hop-treo-tuong-10w-toa-bs-1034.html</t>
  </si>
  <si>
    <t>Loa loa kèn 20W</t>
  </si>
  <si>
    <t>https://toavietnam.net/222-vanh-loa-nen-toa-th-652.html</t>
  </si>
  <si>
    <t>Màn hình LCD 32''</t>
  </si>
  <si>
    <t>https://dienmaycholon.vn/tivi/android-tivi-itel-32-inch-hd-g3257</t>
  </si>
  <si>
    <t>GIÁ LS</t>
  </si>
  <si>
    <t>Giá Mitsubishi</t>
  </si>
  <si>
    <t>MCB 1P-16A-6kA</t>
  </si>
  <si>
    <t>MCB 1P-20A-15kA</t>
  </si>
  <si>
    <t>MCB 1P-20A-6kA</t>
  </si>
  <si>
    <t>MCB 1P-25A-15kA</t>
  </si>
  <si>
    <t>MCB 1P-6A-6kA</t>
  </si>
  <si>
    <t>MCB 1P-32A-10kA</t>
  </si>
  <si>
    <t>MCB 2P-16A-6kA</t>
  </si>
  <si>
    <t>MCB 2P-20A-6kA</t>
  </si>
  <si>
    <t>MCB 2P-25A-6kA</t>
  </si>
  <si>
    <t>MCB 2P-25A-10kA</t>
  </si>
  <si>
    <t>MCB 2P-32A-10kA</t>
  </si>
  <si>
    <t>MCB 3P-16A-6kA</t>
  </si>
  <si>
    <t>MCB 3P-20A-6kA</t>
  </si>
  <si>
    <t>MCB 3P-25A-15kA</t>
  </si>
  <si>
    <t>MCB 3P-25A-10kA</t>
  </si>
  <si>
    <t>MCB 3P-25A-6kA</t>
  </si>
  <si>
    <t>MCB 3P-32A-6kA</t>
  </si>
  <si>
    <t>MCB 3P-40A-15kA</t>
  </si>
  <si>
    <t>MCB 3P-40A-10kA</t>
  </si>
  <si>
    <t>MCB 3P-50A-15kA</t>
  </si>
  <si>
    <t>MCB 3P-63A-15kA</t>
  </si>
  <si>
    <t>MCCB 3P-80A-10kA</t>
  </si>
  <si>
    <t>MCCB 3P-100A-15kA</t>
  </si>
  <si>
    <t>MCCB 3P-125A-18kA</t>
  </si>
  <si>
    <t>MCCB 3P-150A-18kA</t>
  </si>
  <si>
    <t>MCCB 3P-150A-25kA</t>
  </si>
  <si>
    <t>MCCB 3P-225A-18kA</t>
  </si>
  <si>
    <t>MCCB 3P-320A-36kA</t>
  </si>
  <si>
    <t>MCCB 3P-400A-36kA</t>
  </si>
  <si>
    <t>MCT 150/5A</t>
  </si>
  <si>
    <t>https://www.thegioidien.com/sanpham/5/23177/Bien-dong-do-luong-MCT-150-5A-CL-0-5-5VA--tron-.aspx#:~:text=Gi%C3%A1%20b%C3%A1n%3A%20726.000%20vn%C4%91%2FC%C3%A1i.</t>
  </si>
  <si>
    <t>MCT 400/5A</t>
  </si>
  <si>
    <t>https://thegioidien.com/sanpham/5/3189/Bien-dong-do-luong-MCT-400-5A-CL-1-15VA--tron-.aspx#:~:text=Gi%C3%A1%20b%C3%A1n%3A%20649.000%20vn%C4%91%2FC%C3%A1i.</t>
  </si>
  <si>
    <t>Bàn gọi chọn vùng 06 zone</t>
  </si>
  <si>
    <t>https://www.sieuthivienthong.com/mixer-amplifier-240w-chon-5-vung-loa-toa-vm-2240-4759.html?gclid=CjwKCAjwjMiiBhA4EiwAZe6jQ8bvLfAfuuP9heFS68BwoDxrBOEJS1gGHPMBNP-8WvgwRg3vSsMDRRoCWDIQAvD_BwE</t>
  </si>
  <si>
    <t>Bộ điều khiển 6 vùng</t>
  </si>
  <si>
    <t>Bộ điều khiển trung tâm</t>
  </si>
  <si>
    <t>Mối hàn cáp quang</t>
  </si>
  <si>
    <t>mối</t>
  </si>
  <si>
    <t>Mối hàn hóa nhiệt</t>
  </si>
  <si>
    <t>Kẹp ống điện PVC D20</t>
  </si>
  <si>
    <t>Nối ống PVC D20</t>
  </si>
  <si>
    <t>Nối ống PVC D25</t>
  </si>
  <si>
    <t>Nối ống PVC D32</t>
  </si>
  <si>
    <t>Nối ống PVC D40</t>
  </si>
  <si>
    <t>Ổ cắm đôi âm tường 3 chấu 16A</t>
  </si>
  <si>
    <t>Ổ cắm đôi âm tường 3 chấu 16A kín nước</t>
  </si>
  <si>
    <t>Ổ cắm đôi gắn nổi 3 chấu 16A</t>
  </si>
  <si>
    <t>Ổ cắm mạng RJ45</t>
  </si>
  <si>
    <t>Ống các loại và dây điện</t>
  </si>
  <si>
    <t>Ống cách nhiệt xốp D12,7mm</t>
  </si>
  <si>
    <t>https://dienmayhaianh.vn/bang-gia-tong-hop-ong-dong-may-lanh/</t>
  </si>
  <si>
    <t>Ống cách nhiệt xốp D15,9mm</t>
  </si>
  <si>
    <t>Ống cách nhiệt xốp D25,4mm</t>
  </si>
  <si>
    <t>Ống cách nhiệt xốp D31,8mm</t>
  </si>
  <si>
    <t>Ống cách nhiệt xốp D6,4mm</t>
  </si>
  <si>
    <t>Ống cách nhiệt xốp D9,5mm</t>
  </si>
  <si>
    <t>Ống cách nhiệt xốp D41,3mm</t>
  </si>
  <si>
    <t>Ống đồng D12,7mm, L=2m</t>
  </si>
  <si>
    <t>Ống đồng D15,9mm, L=2m</t>
  </si>
  <si>
    <t>Ống đồng D6,4mm, L=2m</t>
  </si>
  <si>
    <t>Ống đồng D9,5mm, L=2m</t>
  </si>
  <si>
    <t>Ống luồn HDPE D160/125</t>
  </si>
  <si>
    <t>https://andatphat.com.vn/bao-gia-ong-nhua-xoan-hdpe/?gclid=Cj0KCQjwr82iBhCuARIsAO0EAZwZ_NU24M6X7edErHtqxOu0XKvwFnO7pDmC84clWGxDQxXDKMwpJysaAnxtEALw_wcB</t>
  </si>
  <si>
    <t>Ống luồn HDPE D65/50</t>
  </si>
  <si>
    <t>Ống luồn HDPE D85/65</t>
  </si>
  <si>
    <t>Ống luồn HDPE xoắn D50/40</t>
  </si>
  <si>
    <t>ống luồn HDPE D40/30</t>
  </si>
  <si>
    <t>Ống HDPE D32/25</t>
  </si>
  <si>
    <t>Ống luồn HDPE xoắn D85/65</t>
  </si>
  <si>
    <t>Ống uPVC D27</t>
  </si>
  <si>
    <t>Ống uPVC D34</t>
  </si>
  <si>
    <t>Ống PVC D20</t>
  </si>
  <si>
    <t>Ống PVC D25</t>
  </si>
  <si>
    <t>Ống PVC D32</t>
  </si>
  <si>
    <t>ống PVC D40</t>
  </si>
  <si>
    <t>Ống ruột gà D20</t>
  </si>
  <si>
    <t>Ống ruột gà D25</t>
  </si>
  <si>
    <t>ống STK D34</t>
  </si>
  <si>
    <t>Ống SKT D76</t>
  </si>
  <si>
    <t>Ống STK D168</t>
  </si>
  <si>
    <t>Ống STK D60</t>
  </si>
  <si>
    <t>Ống mềm kèm cách nhiệt D150mm</t>
  </si>
  <si>
    <t>Ống gió mềm D150 kèm cách nhiệt</t>
  </si>
  <si>
    <t>Ống gió 150x150mm</t>
  </si>
  <si>
    <t>Ống gió 150x150</t>
  </si>
  <si>
    <t>Ống gió 200x200mm</t>
  </si>
  <si>
    <t>Ống gió 200x200</t>
  </si>
  <si>
    <t>Patch Panel loại 16 Port</t>
  </si>
  <si>
    <t>https://www.sieuthivienthong.com/patch-panel-24-port-commscope-cat6-760237040-9-1375055-2-22667.html?gclid=Cj0KCQjwr82iBhCuARIsAO0EAZyaz4wM_VC5QKVN57jmuXhHvj3Mp2o1ZPWUR93b3KnYVGDo7b6KguQaAgS0EALw_wcB</t>
  </si>
  <si>
    <t>Patch Panel loại 24 Port</t>
  </si>
  <si>
    <t>Patch Panel 24 cổng</t>
  </si>
  <si>
    <t>Sever (Firewall, router modem,..)</t>
  </si>
  <si>
    <t>https://www.sieuthivienthong.com/multi-wan--firewall--vpn--load-balancing-router-draytek-vigor3220-21114.html?gclid=Cj0KCQjwz8emBhDrARIsANNJjS5xHvMT5-8s2GAtZS18CGHQSx_x7zsUmE_a-OVyfUlbFuxj4Yv1bWQaAtlgEALw_wcB</t>
  </si>
  <si>
    <t>PCT 150/5A</t>
  </si>
  <si>
    <t>https://thegioidien.com/sanpham/5/2926/Bien-dong-bao-ve-PCT-150-5A-CL-5P10-5VA--tron-.aspx</t>
  </si>
  <si>
    <t>PCT 400/5A</t>
  </si>
  <si>
    <t>https://thegioidien.com/sanpham/5/2946/Bien-dong-bao-ve-PCT-400-5A-CL-5P10-15VA--tron-.aspx</t>
  </si>
  <si>
    <t>Quạt làm mát</t>
  </si>
  <si>
    <t>Quạt thông gió</t>
  </si>
  <si>
    <t>RCBO 2P-20A-30mA-6kA</t>
  </si>
  <si>
    <t>Schneider-A9D31620</t>
  </si>
  <si>
    <t>RCCB 4P-25A-30mA</t>
  </si>
  <si>
    <t>Schneider-A9R50425</t>
  </si>
  <si>
    <t>Remote không dây</t>
  </si>
  <si>
    <t>https://dienmaygiasi.vn/remote-khong-day-may-lanh-multi-daikin-brc86a22</t>
  </si>
  <si>
    <t>Rơ le thời gian 24h</t>
  </si>
  <si>
    <t>Schneider-CCT15101</t>
  </si>
  <si>
    <t xml:space="preserve">Router Internet </t>
  </si>
  <si>
    <t>https://cellphones.com.vn/router-wifi-tp-link-archer-ax10-wifi-6.html?gclid=CjwKCAjwjMiiBhA4EiwAZe6jQ--GLg5BDoAxfyIv5mBi0csrB7FqDmH87Fs0lZ-y6qS5aRU4bEhm5hoCdtoQAvD_BwE</t>
  </si>
  <si>
    <t>Shuntrip 220V</t>
  </si>
  <si>
    <t>https://www.thegioidien.com/sanpham/5/3236/Electrical-auxiliaries-DRAWOUT--Shunt-trip--2nd-MX---220VAC-DC.aspx</t>
  </si>
  <si>
    <t>Switch 16 Port - PoE</t>
  </si>
  <si>
    <t>https://www.anphat.vn/san-pham/switch-poe/aptek-sf1163p-switch-16-port-poe-un-managed</t>
  </si>
  <si>
    <t>Switch 48 Port Layer 2</t>
  </si>
  <si>
    <t>https://www.anphatpc.com.vn/switch-tp-link-tl-sg1048-48-port-101001000mbps_id11477.html</t>
  </si>
  <si>
    <t>Switch 48 cổng POE</t>
  </si>
  <si>
    <t>Switch 8 Port Layer 2</t>
  </si>
  <si>
    <t>https://www.anphat.vn/san-pham/switch/switch-managed/draytek-vigorswitch-g1080</t>
  </si>
  <si>
    <t>Thang cáp 250x100x1.5mm</t>
  </si>
  <si>
    <t>Tê 100x100</t>
  </si>
  <si>
    <t>Tổng đài điện thoại 4 trung kế 24 máy + Card mở rộng</t>
  </si>
  <si>
    <t>https://www.sieuthivienthong.com/tong-dai-panasonic-kx-tes824-08-line-vao-24-may-ra-8218.html</t>
  </si>
  <si>
    <t>Tổng đài điện thoại 4 trung kế 16 máy nhánh</t>
  </si>
  <si>
    <t>https://www.sieuthivienthong.com/tong-dai-panasonic-kx-tes824-05-line-vao-16-may-ra-8215.html?gclid=Cj0KCQjwz8emBhDrARIsANNJjS4dzlmFqRk0Jt7h_xPY31dqR9d43T6QsXBIuSkiczu_UGUNY3NA7zYaAmHfEALw_wcB</t>
  </si>
  <si>
    <t>Nối trung king 100x100</t>
  </si>
  <si>
    <t>Trung king 100x100x0.8mm</t>
  </si>
  <si>
    <t>Trung king 100x100x1mm</t>
  </si>
  <si>
    <t>Trung king 150x100x1.2mm</t>
  </si>
  <si>
    <t>Trung king 200x100x1.5mm</t>
  </si>
  <si>
    <t>Trung king 250x100x1.5mm</t>
  </si>
  <si>
    <t>Tụ bù 25kVAr</t>
  </si>
  <si>
    <t>https://codienhaiau.com/product/tu-bu-samwha-smb-4150250kt-25kvar-3-pha-415v-tu-dau/</t>
  </si>
  <si>
    <t>Tủ rack chuẩn 19'' loại 27U, thanh phân phối nguồn PDU</t>
  </si>
  <si>
    <t>https://www.sieuthivienthong.com/rack-cabinet-19-inch-27u-series-b-ecp-27u600-b-23533.html</t>
  </si>
  <si>
    <t>Tủ Rack treo tường loại 15U, thanh phân phối nguồn PDU loại 6 lỗ C13-16A</t>
  </si>
  <si>
    <t>https://www.sieuthivienthong.com/rack-cabinet-19-inch-15u-series-c-ecp-15u600-c-3024.html</t>
  </si>
  <si>
    <t>Tủ Rack treo tường loại 9U, thanh phân phối nguồn PDU loại 6 lỗ C13-16A</t>
  </si>
  <si>
    <t>https://www.sieuthivienthong.com/tu-treo-tuong-wall-mount-rack-9u-ecp-wm9uw550c-3020.html</t>
  </si>
  <si>
    <t xml:space="preserve">Tủ rack 19" 20U </t>
  </si>
  <si>
    <t xml:space="preserve">Tủ rack 19" 27U </t>
  </si>
  <si>
    <t>Ty treo, khung đỡ dàn lạnh</t>
  </si>
  <si>
    <t>Ty treo, khung đỡ quạt</t>
  </si>
  <si>
    <t>Vật tư phụ cho hệ thống điện</t>
  </si>
  <si>
    <t>Vỏ tủ composit HxWxD: 775x480x325mm (IP54)</t>
  </si>
  <si>
    <t>CĐT cung cấp</t>
  </si>
  <si>
    <t>Vỏ tủ Tole HxWxD 1600x(3x600)x600x2.0mm (2 lớp cửa)</t>
  </si>
  <si>
    <t xml:space="preserve">Vỏ tủ tole HxWxD 300x200x150x1.2mm </t>
  </si>
  <si>
    <t>Vỏ tủ tole HxWxD 700x500x250x1.5mm (2 lớp cửa)</t>
  </si>
  <si>
    <t>Wireless Access Point loại gắn tường, Adptor</t>
  </si>
  <si>
    <t>https://www.sieuthivienthong.com/ceiling-mount-access-point-ruijie-rg-rap2200f-48262.html</t>
  </si>
  <si>
    <t>Bulong neo M16x400</t>
  </si>
  <si>
    <t>Trụ BTLT 14m + giá treo đèn</t>
  </si>
  <si>
    <t>Tủ điện âm tường 17 đường</t>
  </si>
  <si>
    <t>Tủ điện âm tường 25 đường</t>
  </si>
  <si>
    <t>Tủ điện âm tường 29 đường</t>
  </si>
  <si>
    <t>Vỏ tủ Composite HxWxD 1050x600x400mm (IP65)</t>
  </si>
  <si>
    <t>Mô tơ cửa cổng trượt</t>
  </si>
  <si>
    <t>ĐIỀU HÒA KHÔNG KHÍ (Panasonic hoặc tương đương)</t>
  </si>
  <si>
    <t>Bảng báo giá</t>
  </si>
  <si>
    <t>Gia\Bao gia may lanh Pana.pdf</t>
  </si>
  <si>
    <t>Bịt đầu đoạn cuối ống gió 1500x1500</t>
  </si>
  <si>
    <t>Cáp quang multimode - 4 FO</t>
  </si>
  <si>
    <t>Cáp quang multimode - 8 FO</t>
  </si>
  <si>
    <t>https://thietbiquang.net/cap-quang-multimode-8-soi-8-core-8fo--c-322-327-5058.html</t>
  </si>
  <si>
    <t>Cáp (2x1C-2.5mm² Cu/PVC)/ + E 2.5mm² Cu/PVC</t>
  </si>
  <si>
    <t xml:space="preserve">Cáp nguồn 2x1Cx2.5mm² CU/PVC + E-1x2.5mm² CU/PVC  </t>
  </si>
  <si>
    <t>Cáp (4x1C-2.5mm2 Cu/PVC) + E 2.5mm2 Cu/PVC</t>
  </si>
  <si>
    <t>Co 90 200x200</t>
  </si>
  <si>
    <t>Dây remote 2Cx0.75mm² Cu/PVC</t>
  </si>
  <si>
    <t>Giảm 150x150/200x200</t>
  </si>
  <si>
    <t>Giảm vuông tròn 200x200/D150</t>
  </si>
  <si>
    <t>Ống uPVC D42</t>
  </si>
  <si>
    <t>Quạt đảo gắn trần CF-BV-1</t>
  </si>
  <si>
    <t>Quạt gió thải kèm khớp nối mềm TEF-1F-1,2 (Lưu lượng: 540m3h@150Pa)</t>
  </si>
  <si>
    <t>Quạt gió thải kèm Louver ( cửa chớp) EAF-1F-1; Lưu lượng: 750m3h</t>
  </si>
  <si>
    <t>Quạt gió thải kèm Louver ( cửa chớp) EAF-1F-2,3,4; Lưu lượng: 670m3h</t>
  </si>
  <si>
    <t>Quạt gió thải kèm Louver ( cửa chớp) EAF-1F-5; Lưu lượng: 180m3h</t>
  </si>
  <si>
    <t>Quạt gió thải kèm Louver ( cửa chớp) EAF-RAC-1,2; Lưu lượng: 180m3h</t>
  </si>
  <si>
    <t>Quạt gió thải kèm Louver ( cửa chớp) TEF-1F-3,4 Lưu lượng: 180m3h</t>
  </si>
  <si>
    <t>Quạt gió thải kèm Louver ( cửa chớp) TEF-2F-1,2; Lưu lượng: 670m3h</t>
  </si>
  <si>
    <t>Quạt gió thải kèm Louver ( cửa chớp) TEF-BV-1; Lưu lượng: 180m3h</t>
  </si>
  <si>
    <t>Quạt trần CF-1F-1,2</t>
  </si>
  <si>
    <t>Remote có dây</t>
  </si>
  <si>
    <t>https://dienmaygiasi.vn/remote-day-may-lanh-multi-daikin-brc1e62</t>
  </si>
  <si>
    <t>Lưới thép mắc cáo chống nứt tường</t>
  </si>
  <si>
    <t>BẢNG TỔNG HỢP CHI PHÍ XÂY DỰNG
TRẠM BIẾN ÁP 320KVA</t>
  </si>
  <si>
    <t>GIÁ TRỊ</t>
  </si>
  <si>
    <t>CỘNG</t>
  </si>
  <si>
    <t>TRƯỚC THUẾ</t>
  </si>
  <si>
    <t>Chi phí xây dựng trạm biến áp (QĐ số 1781/SCT-QLNL ngày 06/03/2017)</t>
  </si>
  <si>
    <r>
      <t>G</t>
    </r>
    <r>
      <rPr>
        <vertAlign val="subscript"/>
        <sz val="10"/>
        <rFont val="Segoe UI"/>
        <family val="2"/>
        <charset val="163"/>
      </rPr>
      <t>tba</t>
    </r>
  </si>
  <si>
    <t>Chi phí thiết bị trạm biến áp (QĐ số 1781/SCT-QLNL ngày 06/03/2017)</t>
  </si>
  <si>
    <r>
      <t>G</t>
    </r>
    <r>
      <rPr>
        <vertAlign val="subscript"/>
        <sz val="10"/>
        <rFont val="Segoe UI"/>
        <family val="2"/>
        <charset val="163"/>
      </rPr>
      <t>tbatt</t>
    </r>
    <r>
      <rPr>
        <sz val="10"/>
        <rFont val="Segoe UI"/>
        <family val="2"/>
        <charset val="163"/>
      </rPr>
      <t>*2,657%*(1+10%)</t>
    </r>
  </si>
  <si>
    <t>Chi phí lập báo cáo kinh tế - kỹ thuật</t>
  </si>
  <si>
    <r>
      <t>G</t>
    </r>
    <r>
      <rPr>
        <vertAlign val="subscript"/>
        <sz val="10"/>
        <rFont val="Segoe UI"/>
        <family val="2"/>
        <charset val="163"/>
      </rPr>
      <t>tbatt</t>
    </r>
    <r>
      <rPr>
        <sz val="10"/>
        <rFont val="Segoe UI"/>
        <family val="2"/>
        <charset val="163"/>
      </rPr>
      <t>*3,7%*(1+10%)</t>
    </r>
  </si>
  <si>
    <t>Chi phí thẩm tra bản vẽ thi công và dự toán trạm biến áp (Quyết định số 957/QĐ-BXD ngày 29-09-2009)</t>
  </si>
  <si>
    <r>
      <t>G</t>
    </r>
    <r>
      <rPr>
        <vertAlign val="subscript"/>
        <sz val="10"/>
        <rFont val="Segoe UI"/>
        <family val="2"/>
        <charset val="163"/>
      </rPr>
      <t>TBtt-tba</t>
    </r>
    <r>
      <rPr>
        <sz val="10"/>
        <rFont val="Segoe UI"/>
        <family val="2"/>
        <charset val="163"/>
      </rPr>
      <t xml:space="preserve"> *0,469% * (1+10%)</t>
    </r>
  </si>
  <si>
    <t>Chi phí giám sát thi công xây dựng trạm biến áp (Quyết định số 957/QĐ-BXD ngày 29-09-2009)</t>
  </si>
  <si>
    <r>
      <t>(G</t>
    </r>
    <r>
      <rPr>
        <vertAlign val="subscript"/>
        <sz val="10"/>
        <rFont val="Segoe UI"/>
        <family val="2"/>
        <charset val="163"/>
      </rPr>
      <t>XDtt-tba</t>
    </r>
    <r>
      <rPr>
        <sz val="10"/>
        <rFont val="Segoe UI"/>
        <family val="2"/>
        <charset val="163"/>
      </rPr>
      <t xml:space="preserve"> *2,806% +G</t>
    </r>
    <r>
      <rPr>
        <vertAlign val="subscript"/>
        <sz val="10"/>
        <rFont val="Segoe UI"/>
        <family val="2"/>
        <charset val="163"/>
      </rPr>
      <t>TBtt-tba</t>
    </r>
    <r>
      <rPr>
        <sz val="10"/>
        <rFont val="Segoe UI"/>
        <family val="2"/>
        <charset val="163"/>
      </rPr>
      <t xml:space="preserve"> *0,918%) * (1+10%)</t>
    </r>
  </si>
  <si>
    <t>Chi phí bảo hiểm thi công xây dựng trạm biến áp</t>
  </si>
  <si>
    <r>
      <t>G</t>
    </r>
    <r>
      <rPr>
        <vertAlign val="subscript"/>
        <sz val="10"/>
        <rFont val="Segoe UI"/>
        <family val="2"/>
        <charset val="163"/>
      </rPr>
      <t>tbatt</t>
    </r>
    <r>
      <rPr>
        <sz val="10"/>
        <rFont val="Segoe UI"/>
        <family val="2"/>
        <charset val="163"/>
      </rPr>
      <t>*0,285%*(1+10%)</t>
    </r>
  </si>
  <si>
    <t>PHẦN TÍNH DỰ PHÒNG PHÍ DO YẾU TỐ TRƯỢT GIÁ</t>
  </si>
  <si>
    <t>Cơ cấu CP gốc của năm</t>
  </si>
  <si>
    <t>Thời gian</t>
  </si>
  <si>
    <t>Chỉ số giá xây dựng</t>
  </si>
  <si>
    <t>Chỉ số giá xây dựng Liên hoàn</t>
  </si>
  <si>
    <r>
      <t>I</t>
    </r>
    <r>
      <rPr>
        <vertAlign val="subscript"/>
        <sz val="14"/>
        <rFont val="Segoe UI"/>
        <family val="2"/>
        <charset val="163"/>
      </rPr>
      <t>XDCTbq</t>
    </r>
  </si>
  <si>
    <t>T</t>
  </si>
  <si>
    <r>
      <t>V</t>
    </r>
    <r>
      <rPr>
        <vertAlign val="subscript"/>
        <sz val="10"/>
        <rFont val="Segoe UI"/>
        <family val="2"/>
        <charset val="163"/>
      </rPr>
      <t>t</t>
    </r>
  </si>
  <si>
    <r>
      <t>L</t>
    </r>
    <r>
      <rPr>
        <vertAlign val="subscript"/>
        <sz val="10"/>
        <rFont val="Segoe UI"/>
        <family val="2"/>
        <charset val="163"/>
      </rPr>
      <t>vay t</t>
    </r>
  </si>
  <si>
    <r>
      <t>I</t>
    </r>
    <r>
      <rPr>
        <vertAlign val="subscript"/>
        <sz val="10"/>
        <rFont val="Segoe UI"/>
        <family val="2"/>
        <charset val="163"/>
      </rPr>
      <t>XDCTbq</t>
    </r>
  </si>
  <si>
    <r>
      <t>G</t>
    </r>
    <r>
      <rPr>
        <vertAlign val="subscript"/>
        <sz val="10"/>
        <rFont val="Segoe UI"/>
        <family val="2"/>
        <charset val="163"/>
      </rPr>
      <t>DP2</t>
    </r>
  </si>
  <si>
    <t>Trước thuế năm 1 (50%)</t>
  </si>
  <si>
    <t>Thuế năm 1 (50%)</t>
  </si>
  <si>
    <t>Trước thuế năm 2 (50%)</t>
  </si>
  <si>
    <t>Thuế năm 2 (50%)</t>
  </si>
  <si>
    <t>Chưa thuế</t>
  </si>
  <si>
    <t>Trước thuế năm 3 (40%)</t>
  </si>
  <si>
    <t>Thuế năm 3 (40%)</t>
  </si>
  <si>
    <t>Tổng  =</t>
  </si>
  <si>
    <r>
      <t>G</t>
    </r>
    <r>
      <rPr>
        <b/>
        <vertAlign val="subscript"/>
        <sz val="10"/>
        <rFont val="Segoe UI"/>
        <family val="2"/>
        <charset val="163"/>
      </rPr>
      <t>DP2</t>
    </r>
    <r>
      <rPr>
        <b/>
        <sz val="10"/>
        <rFont val="Segoe UI"/>
        <family val="2"/>
        <charset val="163"/>
      </rPr>
      <t xml:space="preserve"> =</t>
    </r>
  </si>
  <si>
    <t>Trước thuế năm 1 (20%)</t>
  </si>
  <si>
    <t>Thuế năm 1 (20%)</t>
  </si>
  <si>
    <t>Trước thuế năm 2 (40%)</t>
  </si>
  <si>
    <t>Thuế năm 2 (40%)</t>
  </si>
  <si>
    <t>BẢNG TỔNG HỢP CHI PHÍ THIẾT BỊ NỘI THẤT</t>
  </si>
  <si>
    <t xml:space="preserve">Tên thiết bị </t>
  </si>
  <si>
    <t xml:space="preserve">Quy cách, chủng loại </t>
  </si>
  <si>
    <t>THIẾT BỊ CƠ BẢN</t>
  </si>
  <si>
    <t>A</t>
  </si>
  <si>
    <t>TẦNG 1</t>
  </si>
  <si>
    <t>Bàn làm việc</t>
  </si>
  <si>
    <t>Bàn chính: 1800 x 900 x750 mm, có 1 ngăn kéo giữa
Bàn phụ: 1200 x 600 x 750mm, 1 thùng để CPU+ ray bàn phím
Thùng cóc: 500 x 500x 650mm, 3 ngăn kéo, bánh xe di chuyển
- Vật liệu: Gỗ ghép công nghiệp đã qua tẩm sấy chống mối mọt, co rút, dày 18 mm, sơn PU.</t>
  </si>
  <si>
    <t xml:space="preserve">Bảng trắng (bảng kế hoạch). </t>
  </si>
  <si>
    <t>KT: 2400 x 1200 mm
Khung nhôm hộp Uralium chuyên dụng, mặt bảng ván MDF dày 4 ly màu trắng</t>
  </si>
  <si>
    <t>Ghế nệm xoay</t>
  </si>
  <si>
    <t>Loại ghế lớn có tay vịn</t>
  </si>
  <si>
    <t>Ghế gỗ</t>
  </si>
  <si>
    <t>Kích thước: 380x380x450+550mm
- Nguyên liệu: Gỗ ghép công nghiệp đã qua tẩm sấy chống mối mọt, co rút, dày 18 mm, sơn PU</t>
  </si>
  <si>
    <t>Tủ hồ sơ</t>
  </si>
  <si>
    <t>Kích thước: 1200 x 400 x 1800 mm
+ Phía trên 2 cánh cửa mở lồng kính có khoá 1 bên và tay nắm, trong chia làm 3 ngăn. Phía dưới 2 cửa pano có khoá và tay nắm.
- Vật liệu: Gỗ ghép công nghiệp đã qua tẩm sấy chống mối mọt, co rút, dày 18 mm, sơn PU, hậu tủ ván MDF dày 4.5ly</t>
  </si>
  <si>
    <t xml:space="preserve"> - CPU Intel core i3 3240(3.4 Ghz) SK:1155
- MAINBOARD: Foxconn H61MD:sk LGA 1155, S/p Intel Core i3+i5+i7 (Ivy or  Sandy Bridge ), 2x DDR3-1600/1333/ 1066 max 16GB, VGA on board ( GPU) S/p D-Sub, DVI, 1x PCIe 3.0 (16x), 2x PCI 2.0(1x),  4x SATA 3Gb/s, Sound 8CH, Gigabit LAN, 8 USB 2.0, 2 PS/2
- Ram 2GB DDRAM III Bus 1333 kingmax
- HDD: Seagate 500GB SATA3-7200prm
- DVD RW LG
- LCD AOC 19.5'' 
- KEYBOARD: GENIUS 
 Mouse: GENIUS Optical 110X-USB
Case + Power supply 500W E18</t>
  </si>
  <si>
    <t>Máy in Canon 
Chức năng: In Laser khổ A4
Bộ nhớ chuẩn: 8MB
Giao Tiếp: Hi-Speed USB 2.0 port
Công suất (tháng/A4): 7.000 trang
Khay giấy 2: 250 tờ
Khay giấy tay: 1 tờ
Khay giấy ra: 100 tờ
Khổ giấy: A4; A5;
Loại giấy: (plain, laserjet), envelopes, transparencies, labels, postcards
Tốc độ in ( A4): 21 trang/phút
Hệ điều hành tương thích: Windows 8, Windows 7, Windows Vista, Windows XP, Mac OSX
Sử dụng mực in: Canon Cartridge 308 – 2500 trang/độ phủ 5%</t>
  </si>
  <si>
    <t>Bộ bàn ghế tiếp khách</t>
  </si>
  <si>
    <t xml:space="preserve">Salon gỗ bọc nệm gồm: 
1 x ghế 3 chổ
2 x ghế 1 chổ
2 x ghế đôn 
1 x bàn nước </t>
  </si>
  <si>
    <t>Bàn làm việc kết hợp máy vi tính</t>
  </si>
  <si>
    <t xml:space="preserve"> KT: 1200x600x750mm
+ Gỗ ghép công nghiệp đã qua tẩm sấy chống mối mọt, co rút, dày 18 mm, sơn PU.</t>
  </si>
  <si>
    <t>Ghế xoay</t>
  </si>
  <si>
    <t>Loại ghế nhỏ có tay vịn</t>
  </si>
  <si>
    <t xml:space="preserve">Ghế sắt bọc nệm </t>
  </si>
  <si>
    <t>- Kích thước: 380x380x450+550mm
- Khung sắt hàn liên kết có khí CO2 bảo vệ sơn tĩnh điện
- Mặt ghế và lưng tựa bọc nệm simili</t>
  </si>
  <si>
    <t>Tủ đựng hồ sơ văn phòng 4 cửa</t>
  </si>
  <si>
    <t>KT: 1200x400x1800mm
+ Gỗ ghép công nghiệp đã qua tẩm sấy chống mối mọt, co rút, dày 18 mm, sơn PU, hậu tủ ván MDF dày 4.5ly</t>
  </si>
  <si>
    <t xml:space="preserve">Bảng formica </t>
  </si>
  <si>
    <t>KT: 2400 x 1200mm 
Khung nhôm hộp Uralium chuyên dụng, mặt bảng ván MDF dày 4 ly màu trắng</t>
  </si>
  <si>
    <t xml:space="preserve">Tốc độ: 20 bản/phút. 
Khổ giấy: A5 - A3. 
Độ phân giải: 600 dpi. 
Phóng: 25% - 400%. </t>
  </si>
  <si>
    <t>Loại thông thường thương hiệu Panasonic, có màn hình hiển thị cuộc gọi đến</t>
  </si>
  <si>
    <t>Phòng hiệu phó 1</t>
  </si>
  <si>
    <t>KT: 2400 x 1200mm
Khung nhôm hộp Uralium chuyên dụng, mặt bảng ván MDF dày 4 ly màu trắng</t>
  </si>
  <si>
    <t>Phòng tiếp khách</t>
  </si>
  <si>
    <t>Bàn tiếp khách 6 chổ</t>
  </si>
  <si>
    <t>KT bàn: 1800 x 900 x 750 mm
+ Gỗ ghép công nghiệp đã qua tẩm sấy chống mối mọt, co rút, dày 18 mm, sơn PU</t>
  </si>
  <si>
    <t>Bàn làm việc</t>
  </si>
  <si>
    <t>Kích thước: 1200x700x750mm. Bàn 1 thùng 2 ngăn kéo + 1 ngăn kéo 
- Vật liệu: Gỗ ghép công nghiệp đã qua tẩm sấy chống mối mọt, co rút, dày 18 mm, sơn PU.</t>
  </si>
  <si>
    <t>Ghế Inox</t>
  </si>
  <si>
    <t>KT: Tròn 280 x 450 mm
- Inox 201</t>
  </si>
  <si>
    <t>Kích thước: 2000x1000x700 mm
- Nguyên liệu: 
+ Khung sắt 25x50, 25x25, 16x16 mm hàn liên kết có khí CO2 bảo vệ 
+ Vạt giường ván ép 10 mm.
+ Nêm mouss dày 50mm</t>
  </si>
  <si>
    <t xml:space="preserve">Bảng đo thị giác </t>
  </si>
  <si>
    <t>dùng cho học sinh VN</t>
  </si>
  <si>
    <t>- 1 máy đo huyết áp
- 1 băng ca cứu thương 
- 5 bộ nẹp chân, tay
- 1 hộp inox đựng bông gạc y tế
- 1 hộp để thuốc sát trùng bằng inox</t>
  </si>
  <si>
    <t>Tủ dụng cụ y tế</t>
  </si>
  <si>
    <t>KT: 1200x400x1600mm
Khung nhôm, kính trắng 5mm</t>
  </si>
  <si>
    <t xml:space="preserve">Rèm che </t>
  </si>
  <si>
    <t xml:space="preserve">Bộ </t>
  </si>
  <si>
    <t>Phòng hỗ trợ học sinh khuyết tật</t>
  </si>
  <si>
    <t>Kích thước: 1200x600x750 mm 
Bàn 1 Ngăn kéo giữa 
- Vật liệu: Gỗ ghép công nghiệp đã qua tẩm sấy chống mối mọt, co rút, dày 18 mm, sơn PU.</t>
  </si>
  <si>
    <t>Ghế làm việc</t>
  </si>
  <si>
    <t>- Kích thước: 380x380x450+550mm
- Khung sắt hàn liên kết có khí CO2 bảo vệ sơn tĩnh điện
- Mặt ghế và lưng tựa gỗ cao su ghép dày 18mm sơn PU 3 lớp chống trầy
- Liên kết lắp ráp bằng vis, bulon. Tiếp xúc nền bằng chân đế nhựa</t>
  </si>
  <si>
    <t>Bộ bàn ghế tiếp khách( 1 bàn+ 6 ghê</t>
  </si>
  <si>
    <t>Kho</t>
  </si>
  <si>
    <t>Kệ dụng cụ</t>
  </si>
  <si>
    <t>KT: 1500 x 400 x 1800mm
Kệ 5 ngăn di độngkhung sắt sơn tĩnh điện. Mặt Gỗ ghép công nghiệp đã qua tẩm sấy chống mối mọt, co rút, dày 18 mm, sơn PU.</t>
  </si>
  <si>
    <t xml:space="preserve">cái </t>
  </si>
  <si>
    <t xml:space="preserve">Phòng nghĩ giáo viên </t>
  </si>
  <si>
    <t xml:space="preserve">Bàn nước </t>
  </si>
  <si>
    <t>Kích thước: 1800 x 900 x 750mm
- Vật liệu: Gỗ ghép công nghiệp đã qua tẩm sấy chống mối mọt, co rút, dày 18 mm sơn PU.</t>
  </si>
  <si>
    <t>Ghế bọc nệm</t>
  </si>
  <si>
    <t>Giường nghỉ cá nhân (2 tầng)</t>
  </si>
  <si>
    <t>Kích thước: 2000x1000x450+900 mm
- Nguyên liệu: 
+ Khung sắt 25x50, 25x25, 16x16 mm hàn liên kết có khí CO2 bảo vệ 
+ Vạt giường ván ép 10 mm.
+ Nêm mouss dày 50mm</t>
  </si>
  <si>
    <t>Nhà ăn</t>
  </si>
  <si>
    <t>* Kích thước:
- Bàn: 1120x600x750 mm
- Ghế tròn: 280x480 mm (4 ghế) 
- Bàn và ghế bằng inox.</t>
  </si>
  <si>
    <t>Bảng trắng thực đơn trong tuần</t>
  </si>
  <si>
    <t xml:space="preserve">KT: 2400 x 1200 mm khung nhôm hộp Uralium mặt bảng MDF trắng dày 4 ly </t>
  </si>
  <si>
    <t>Khu bếp</t>
  </si>
  <si>
    <t>Bàn tiếp phẩm</t>
  </si>
  <si>
    <t xml:space="preserve">Bàn tiếp phẩm 2 tầng 
Kích thước: 1800 x 800 x 800 mm
NL: Khung Inox, mặt bàn Inox tấm dày 0.8 mm, mặt ngăn Inox tấm, tiếp xúc sàn chân đế tăng đưa </t>
  </si>
  <si>
    <t xml:space="preserve">Bồn rửa thực phẩm </t>
  </si>
  <si>
    <t>Bồn rửa 3 hộc 
KT: 1900 x 650 x 800mm
- Khung chân Inox, bồn inox, chân đế tăng đưa 
- Gồm 3 vòi cấp nước, 3 ô bồn,3 bộ xả có lọc rác</t>
  </si>
  <si>
    <t>Bàn sơ chế</t>
  </si>
  <si>
    <t>Kích thước: 1800 x 800 x 800 mm
NL: Khung Inox, mặt bàn Inox tấm dày 0.8 mm, mặt ngăn Inox song, tiếp súc sàn chân đế tăng đưa</t>
  </si>
  <si>
    <t>Bếp gar công nghiệp</t>
  </si>
  <si>
    <t>Bếp công nghiệp 2 lò 
- Kích thước: 1400 x 700 x 550/ 750mm
- Mặt sàn bếp inox, 
- 2 kiềng gang đúc giữ nhiệt
- Mặt sau bếp có thành chắn cao 300 mm
- 2 khóa gas, đường cấp gas bằng Inox 
- 2 x Công tắc tăng giãm gas 
- Bếp 4 chân có tăng đưa bằng Inox</t>
  </si>
  <si>
    <t xml:space="preserve">Hệ thống hút khói </t>
  </si>
  <si>
    <t xml:space="preserve">Hệ thống hút khói cho bếp và tủ hấp cơm 
KT: 5200 x 700 x 400mm
Tủ có lá chắn gió và 3 khay lọc mỡ, toàn bộ bằng Inox 
1 x Quạt hút 1,5 HP. + giá đỡ bằng sắt sơn tĩnh Điện 
10 x Mét ống hút khói bằng Inox phi 150 
</t>
  </si>
  <si>
    <t xml:space="preserve">Tủ hấp cơm 100 kg 20 khay
KT: 700 x 700 x 1500 mm
2 x cánh cửa có tay khóa
1 x bếp gas 
1 x khóa gas 
1 x đồng hồ báo nhiệt
1 x Bộ van xả hơi tự động
4 x chân tăng đưa điều chỉnh 
- Thân tủ 2 bên, cửa tủ có bông 2 lớp cách nhiệt 
- Vỏ bên ngoài Inox chịu nhiệt 
</t>
  </si>
  <si>
    <t xml:space="preserve">Hệ thống bình gas </t>
  </si>
  <si>
    <t>Hệ thống bình gas bao gồm:
- Hệ thống quản lý bình gas 6 bình ( không bao gồm bình gas) 
1 x đồng hồ điều áp gas tổng 
1 x Khóa ngắt gas tổng 
6 x khóa ngắt gas cho 6 bình gas
2 x đồng hồ báo áp xuất loại 10kg
6 x dây gas cao cấp cho 6 bình gas
1 x khóa ngắt gas ( đầu cuối)
1 x đồng hồ báo áp xuất gas 7 Kg 
- Đường ông dẫn gas chuyên dụng bằng inox O16, co, tê, đinh vis các loại 
1 x bảng sơ đồ hệ thống bình gas bằng mica
1 x bảng cấm lửa bằng mica</t>
  </si>
  <si>
    <t xml:space="preserve">Hệ Thống cấp thoát nước </t>
  </si>
  <si>
    <t>Đường cấp, thoát nước 
Gồm: ống PVC Bình Minh, khóa, Co, Tê, Đinh Vis, keo, công lắp đặt toàn bộ hệ thống 
 (- Không bao gồm ngoài phòng và thiết thị âm nền, âm tường 
- Đường cấp, thoát nước được chủ đầu tư bố trí lắp đặt và có van khóa, lọc rác tại vị trí thiết bị được xác định )</t>
  </si>
  <si>
    <t xml:space="preserve">Chi phí kiểm định </t>
  </si>
  <si>
    <t xml:space="preserve">chi phí kiểm định
- Đường ống dẫn gas
- Hệ thống quản lý bình gas
- Các đồng hồ báo áp, khóa gas 
- Khí thử, thiết bị thử, công cụ, dụng cụ thử 
</t>
  </si>
  <si>
    <t>- Kích thước: 1200x1100x800mm
- Bằng inox, có 2 tầng mặt dày lmm, 2 tay đẩy, thanh chắn 3 mặt
- Dưới mặt sàn xe có hộp đỡ inox chịu lực
- 4 chân inox, 4 bánh xe chịu lực</t>
  </si>
  <si>
    <t xml:space="preserve">Bàn chia thức ăn </t>
  </si>
  <si>
    <t xml:space="preserve">Bàn chia thức ăn 2 tầng 
Kích thước: 1800 x 800 x 700/1100mm
KT mặt bàn: 1800 x 800mm, Mặt kệ: 1800 x 400 mm
NL: Khung Inox, mặt bàn Inox tấm dày 0.8 mm, mặt ngăn Inox song, tiếp súc sàn 4 bán xe có khóa </t>
  </si>
  <si>
    <t>Tủ mát Alaska 
Dung tích: 300 lít
Tủ mát 2 cửa</t>
  </si>
  <si>
    <t>Tủ Đông</t>
  </si>
  <si>
    <t>Tủ đông Sanaky 
Dung tích: 208 lít
Tủ đông 1 ngăn, 2 nắp bật</t>
  </si>
  <si>
    <t xml:space="preserve">Xe đẩy chén bát bẩn </t>
  </si>
  <si>
    <t xml:space="preserve">Kích thước: 900 x 600 x 800 mm
NL: Khung Inox, mặt bàn Inox tấm dày 0.8 mm, tiếp xúc sàn 4 bánh xe có khóa </t>
  </si>
  <si>
    <t xml:space="preserve">Bồn rửa chén bát 3 hộc </t>
  </si>
  <si>
    <t xml:space="preserve">Máy xay thịt </t>
  </si>
  <si>
    <t>- Công suất: 0.5 HP
- Xay được khoảng 20-30kg/ giờ</t>
  </si>
  <si>
    <t xml:space="preserve">Máy xay rau, củ quả </t>
  </si>
  <si>
    <t xml:space="preserve"> hiệu FUJY YAMA
- Công suất: 350W</t>
  </si>
  <si>
    <t>Hiệu: Sanyo 
Khối lượng giặt tối đa 9.0kg - Sử dụng động cơ truyền động trực tiếp - Công suất vắt tối đa 850 vòng/phút - Lượng nước tiêu thụ 130 lít - Thương hiệu Nhật Bản</t>
  </si>
  <si>
    <t xml:space="preserve">Bộ Dao các loại </t>
  </si>
  <si>
    <t>Cân Nhơn hòa 
1 x Cân 5kg
1 x Cân 30 kg
1 x Cân 100 kg</t>
  </si>
  <si>
    <t>Rổ lớn nhỏ</t>
  </si>
  <si>
    <t xml:space="preserve">Rổ Inox các loại 
5 x rổ 30 cm
5 x rổ 40 cm 
</t>
  </si>
  <si>
    <t>Thau Inox</t>
  </si>
  <si>
    <t xml:space="preserve">Thau Inox các loại 
5 x thau 18 cm 
5 x thau 24 cm 
5 x thau 30 cm 
5 x thau 40 cm </t>
  </si>
  <si>
    <t>Nồi Inox</t>
  </si>
  <si>
    <t xml:space="preserve">5 x nồi 30 cm 
5 x nồi 40 cm 
5 x nồi 50 cm </t>
  </si>
  <si>
    <t xml:space="preserve">Vá múc lớn nhỏ các loại </t>
  </si>
  <si>
    <t>5 vá múc canh bằng Inox (5 lớn +5 nhỏ)
5 vá múc cơm bằng Inox (5 lớn + 5 nhỏ)</t>
  </si>
  <si>
    <t>Mâm Inox</t>
  </si>
  <si>
    <t xml:space="preserve">Mâm Inox loại vuông
5x Mâm 40 x 60 cm 
5x Mâm 30 x 40 cm </t>
  </si>
  <si>
    <t xml:space="preserve">Chảo </t>
  </si>
  <si>
    <t xml:space="preserve">2 x Chảo 30 cm 
2 x Chảo 40 cm 
2 x Chảo 50 cm </t>
  </si>
  <si>
    <t xml:space="preserve">Thố Inox 30 cm </t>
  </si>
  <si>
    <t xml:space="preserve">Khay chia thức ăn </t>
  </si>
  <si>
    <t>Khay chia thức bằng Inox, nắp đậy bằng nhựa
KT: 350 x 270mm</t>
  </si>
  <si>
    <t xml:space="preserve">Thìa, nĩa Inox </t>
  </si>
  <si>
    <t>Kho bếp</t>
  </si>
  <si>
    <t>Kệ để lương thực</t>
  </si>
  <si>
    <t>KT: 1500 x 500 x 1800mm
Kệ 5 ngăn di động khung sắt sơn tĩnh điện. Mặt Gỗ ghép công nghiệp đã qua tẩm sấy chống mối mọt, co rút, dày 18 mm sơn PU.</t>
  </si>
  <si>
    <t>Kệ thực phẩm khô</t>
  </si>
  <si>
    <t>KT: 1500 x 500 x 1800mm
Kệ 5 ngăn di động khung sắt sơn tĩnh điện. Mặt Gỗ ghép công nghiệp đã qua tẩm sấy chống mối mọt, co rút, dày 18 mm, sơn PU.</t>
  </si>
  <si>
    <t>XII</t>
  </si>
  <si>
    <t>Bàn ghế học sinh 2 chỗ ghế rời</t>
  </si>
  <si>
    <t>KT Bàn: 1200 x 450 x 730 mm 
KT Ghế: 380 x 350 x 440/ 790 mm
+ Khung sắt, sơn tĩnh điện.
+ Mặt bàn ghế, đáy bàn gỗ ghép công nghiệp dày 17 mm đã được xử lý chống mối mọt, co rút sơn PU.</t>
  </si>
  <si>
    <t>Kích thước: 1200x 3600 mm
- Nguyên liệu:
+ Khung nhôm hộp uralium (25*32) mm
+ Lưng bảng bằng ván MDF dày 8 ly phủ decal chống hút ẩm.
+ Mặt tole  bảng màu xanh rêu đậm dày 0.4 mm,chống chói.</t>
  </si>
  <si>
    <t>Tủ đựng thiết bị dạy và học</t>
  </si>
  <si>
    <t>kích thước: 1200 x 400 x 1800 mm
+ Phía trên 2 cửa mở lòng kính trắng trong chia 4 ngăn. Phía dưới 2 cửa pano có khoá và tay nắm.
- Vật liệu: Gỗ ghép công nghiệp đã qua tẩm sấy chống mối mọt, co rút, dày 18 mm, sơn PU,hậu tủ ván MDF dày 4.5ly</t>
  </si>
  <si>
    <t xml:space="preserve"> KT: 400 x 600mm
1 bảng 5 điều Bác Hồ dạy…..
1 bảng non sông Việt Nam ……
Khung nhôm sơn tĩnh điện, mặt MDF, dày 4 ly, dán decal in chữ </t>
  </si>
  <si>
    <t>KT: 300 x 400 mm 
Khung nhôm sơn tĩnh điện, bìa mica trong</t>
  </si>
  <si>
    <t xml:space="preserve">Ảnh </t>
  </si>
  <si>
    <t>XIII</t>
  </si>
  <si>
    <t xml:space="preserve">Phòng giám thị </t>
  </si>
  <si>
    <t>* Kích thước: 1200x600x750 mm
* Vật liệu:
- Gỗ ghép công nghiệp được tẩm sấy chống mối mọt, co rút dày 18mm, phủ sơn PU
- Bàn 1 thùng cửa mở + 1 ngăn kéo giữa có khóa
- Liên kết lắp ráp bằng vit, bulông, chân đế nhựa</t>
  </si>
  <si>
    <t>Ghế ngồi</t>
  </si>
  <si>
    <t>* Kích thước: 380x380x450+550mm
* Ghế cố định
- Khung ghế làm bằng sắt sơn tĩnh điện
- Mặt ghế và lưng tựa bọc nệm
- Liên kết lắp ráp bằng vit, bulông, chân đế nhựa</t>
  </si>
  <si>
    <t>Bộ bàn ghế tiếp khách (1 bàn + 8 ghế )</t>
  </si>
  <si>
    <t>* Bàn: Kích thước: 2000x1000x750 mm
* Hình oval, gỗ ghép công nghiệp được tẩm sấy chống mối mọt, co rút, dày 18mm, phủ sơn PU
* Ghế: KT: 380x380x450+550mm
* Khung ghế sắt sơn tĩnh điện, mặt và lưng bọc nệm, chân đế nhựa</t>
  </si>
  <si>
    <t>B</t>
  </si>
  <si>
    <t>TẦNG 2</t>
  </si>
  <si>
    <t>kích thước: 1200 x 400 x 1800 mm
+ Phía trên 2 cửa mở lòng kính trắng trong chia 4 ngăn. Phía dưới 2 cửa pano có khoá và tay nắm.
- Vật liệu:
+ Gỗ ghép công nghiệp đã qua tẩm sấy chống mối mọt, co rút, dày 18 mm, sơn PU,hậu tủ ván MDF dày 4.5ly</t>
  </si>
  <si>
    <t xml:space="preserve"> KT: 400 x 600mm
1 bảng 5 điều Bác Hồ dạy…..
1 bảng non sông Việt Nam ……
Khung nhôm sơn tĩnh điện, mặt MDF,, dày 4 ly, dán decal in chữ </t>
  </si>
  <si>
    <t>1 x Phông màn, rèm sâu khấu: KT: 11000 x 4500mm
1 x bảng ĐẢNG CỘNG SẢN….. 
NL: Khung sắt sơn tĩnh điện., mặt bảng Bằng mica chử nổi
2 x bảng khẩu hiệu 2 bên 
NK: Khung sắt sơn tĩnh điện, nền Mica trong chữ in dsn1 decal 
2 x khung cờ nước cờ nước, cờ đảng 
NL: khung nhôm, bọc vải thun, cờ đảng, cờ nước bằng mica nổi 
1x Giá móc treo khung bảng hội nghị 
NL: khung sắt sơn tĩnh điện
1x Bảng hội Khung nhôm 
NK: khung nhôm, mặt mut sốp (không bao gồm chử</t>
  </si>
  <si>
    <t xml:space="preserve"> - Hê thống âm thanh sân khấu
1 x Ampli 600 w 4 ngõ
1 x Equalize có 2 x 31 cần điều chỉnh có báo hú 
6 x loa 100 w có chân đứng 
- Âm thanh hội nghị 
1 x âm li 600 w 
12 x loa 40 w loại treo tường 
1 x Micro không dây loại 2 cây, có bộ thu tín hiệu
1 x micro cổ ngổng dành cho bục thuyết trình
2 x micro có dây 
500 m dây loại 300 tim + ống, đinh, vis, công lắp đặt 
</t>
  </si>
  <si>
    <t>KT: 700 x 500 x 1400mm 
- Vật liệu:
+ Gỗ ghép công nghiệp đã qua tẩm sấy chống mối mọt, co rút, dày 18 mm, sơn PU.
Tượng bác bằng thạch cao nhũ đồng cao 800mm</t>
  </si>
  <si>
    <t xml:space="preserve"> Kích thước: 800 x 550 x 1100mm 
- Nguyên liệu: Gỗ ghép công nghiệp đã qua tẩm sấy chống mối mọt, co rút, dày 18 mm, sơn PU.</t>
  </si>
  <si>
    <t>Kích thước: 1200x450x780 mm
+ Bàn có ngăn để hồ sơ
- Vật liệu: Mặt bàn gỗ ghép công nghiệp đã qua tẩm sấy chống mối mọt, co rút, dày 18 mm, sơn PU.</t>
  </si>
  <si>
    <t>Ghế sắt</t>
  </si>
  <si>
    <t>KT: 1500 x 400 x 1800mm
Kệ 5 ngăn di động khung sắt sơn tĩnh điện. Mặt Gỗ ghép công nghiệp đã qua tẩm sấy chống mối mọt, co rút, dày 18 mm, sơn PU.</t>
  </si>
  <si>
    <t>Phòng hiệu phó 2</t>
  </si>
  <si>
    <r>
      <t>Bàn chính: 1800 x 900 x750 mm, có 1 ngăn kéo giữa
Bàn phụ: 1200 x 600 x 750mm, 1 thùng để CPU+ ray bàn phím
Thùng cóc: 500 x 500x 650mm, 3 ngăn kéo, bánh xe di chuyển
- Vật liệu: Gỗ ghép công nghiệp đã qua tẩm sấy chống mối mọt, co rút, dày 18 mm,</t>
    </r>
    <r>
      <rPr>
        <sz val="12"/>
        <color indexed="10"/>
        <rFont val="Segoe UI"/>
        <family val="2"/>
        <charset val="163"/>
      </rPr>
      <t xml:space="preserve"> </t>
    </r>
    <r>
      <rPr>
        <sz val="12"/>
        <rFont val="Segoe UI"/>
        <family val="2"/>
        <charset val="163"/>
      </rPr>
      <t>sơn PU.</t>
    </r>
  </si>
  <si>
    <t>Kích thước: 1200 x 400 x 1800 mm
+ Phía trên 2 cánh cửa mở lồng kính có khoá 1 bên và tay nắm, trong chia làm 3 ngăn. Phía dưới 2 cửa pano có khoá và tay nắm.
- Vật liệu:
+ Gỗ ghép công nghiệp đã qua tẩm sấy chống mối mọt, co rút, dày 18 mm, sơn PU, hậu tủ ván MDF dày 4.5ly</t>
  </si>
  <si>
    <t xml:space="preserve">Loại thông thường thương hiệu Panasonic </t>
  </si>
  <si>
    <t>Phòng Truyền thống đoàn đội</t>
  </si>
  <si>
    <t xml:space="preserve">Bàn họp </t>
  </si>
  <si>
    <t>KT: 2400 x 1200 x 750mm bàn không có ngăn
+ Gỗ ghép công nghiệp đã qua tẩm sấy chống mối mọt, co rút, dày 18 mm,  sơn PU.</t>
  </si>
  <si>
    <t xml:space="preserve">Kích thước: 380x380x450+550mm
- Nguyên liệu: 
 Khung Gỗ ghép công nghiệp đã qua tẩm sấy chống mối mọt, co rút, dày 18 mm, sơn PU
+ Mặt ghế bọc nệm simili </t>
  </si>
  <si>
    <t>Bảng trắng</t>
  </si>
  <si>
    <t>KT: 2400 x 1200 mm
khung nhôm hộp Uralium chuyên dụng, mặt bảng ván MDF dày 4 ly màu trắng</t>
  </si>
  <si>
    <t>Tủ trưng bày</t>
  </si>
  <si>
    <t>Kích thước: 1600 x 400 x 1800 mm
+ Phía trên cửa kính lùa có khoá 1 bên và tay nắm, chia làm nhiều ngăn. Phía dưới cửa pano có khoá và tay nắm.
- Vật liệu: Gỗ ghép công nghiệp đã qua tẩm sấy chống mối mọt, co rút, dày 18 mm, sơn PU, hậu tủ ván MDF dày 4.5ly</t>
  </si>
  <si>
    <t>Bàn họp giáo viên</t>
  </si>
  <si>
    <t>Bàn 30 chổ ngồi 
Bàn lắp ghép đa năng
- Bàn có ngăn để hồ sơ 
- Vật liệu:
+ Gỗ ghép công nghiệp đã qua tẩm sấy chống mối mọt, co rút, dày 18 mm, sơn PU.</t>
  </si>
  <si>
    <t>Kích thước: 1800 x 900 x 750mm.
- Vật liệu: Gỗ ghép công nghiệp đã qua tẩm sấy chống mối mọt, co rút, dày 18 mm sơn PU.</t>
  </si>
  <si>
    <t>C</t>
  </si>
  <si>
    <t>TẦNG 3</t>
  </si>
  <si>
    <t>KT Bàn: 1200 x 450 x 730 mm 
KT Ghế: 380 x 350 x 440/ 790mm 
+ Khung sắt, sơn tĩnh điện.
+ Mặt bàn ghế, đáy bàn gỗ ghép công nghiệp dày 17 mm đã được xử lý chống mối mọt, co rút sơn PU.</t>
  </si>
  <si>
    <t>- Kích thước:380x380x450+550mm
- Khung sắt hàn liên kết có khí CO2 bảo vệ sơn tĩnh điện
- Mặt ghế và lưng tựa gỗ cao su ghép dày 18mm sơn PU 3 lớp chống trầy
- Liên kết lắp ráp bằng vis, bulon. Tiếp xúc nền bằng chân đế nhựa</t>
  </si>
  <si>
    <t>Kho dụng cụ học phẩm</t>
  </si>
  <si>
    <t>Kệ dụng cụ 1 mặt</t>
  </si>
  <si>
    <t>Phòng chuẩn bị</t>
  </si>
  <si>
    <t>Tủ để dụng cụ</t>
  </si>
  <si>
    <t>KT: 1200 x 400 x 1800mm
Tủ 2 cánh cửa kính lùa, dưới 2 cửa pano mở
NL: Gỗ ghép công nghiệp đã qua tẩm sấy chống mối mọt, co rút, dày 18 mm, sơn PU+ hậu tủ ván MDF dày 4.5ly</t>
  </si>
  <si>
    <t>Bàn chuẩn bị</t>
  </si>
  <si>
    <t>KT: 1800 x 900 x 750mm
Khung sắt sơn tĩnh điện, mặt bàn gỗ ghép công nghiệp đã qua tẩm sấy chống mối mọt, co rút, dày 18 mm,sơn PU.</t>
  </si>
  <si>
    <t>Phòng công nghệ</t>
  </si>
  <si>
    <t xml:space="preserve">Bàn thực hành giáo viên </t>
  </si>
  <si>
    <t>Bàn KT: 1200 x 550 x 750/ 900 mm
1 x CB LS - 10 A
1 x ổ cấm điện 6 lổ
- Khung sắt sơn tĩnh điện, chân đế tăng đưa 
- Mặt bàn gỗ ghép công nghiệp dày 17 mm đã được xử lý chống mối mọt, co rút sơn PU.</t>
  </si>
  <si>
    <t>Bàn thực hành học sinh</t>
  </si>
  <si>
    <t>Bàn KT: 1200 x 500 x 750/ 900 mm
2 x CB LS - 10 A
2 x ổ cấm điện 6 lổ
- Khung sắt sơn tĩnh điện, chân đế tăng đưa 
- Mặt bàn gỗ ghép công nghiệp dày 17 mm đã được xử lý chống mối mọt, co rút sơn PU.</t>
  </si>
  <si>
    <t>Ghế học sinh</t>
  </si>
  <si>
    <t>KT: 320 x 450mm
Mặt ghế xoay 360 Ghế có trục tăng đưa 
Ghế khung sắt sơn tĩnh điện, mặt ghế Gỗ ghép công nghiệp đã qua tẩm sấy chống mối mọt, co rút, dày 18 mm, sơn PU.</t>
  </si>
  <si>
    <t>KT: 1200 x 450 x 1800mm
Tủ 2 cánh cửa kính lùa, dưới 2 cửa pano mở.
NL: Gỗ ghép công nghiệp đã qua tẩm sấy chống mối mọt, co rút, dày 18 mm, sơn PU+ hậu tủ ván MDF dày 4.5ly</t>
  </si>
  <si>
    <t>Cái</t>
  </si>
  <si>
    <t>Kệ treo kính lùa</t>
  </si>
  <si>
    <t>Kích thước: 1200x400x800mm
Tủ cửa kính lùa trong chia ngăn
Vật liệu: Gỗ ghép công nghiệp được tẩm sấy chống mối mọt co rút dày 18mm, sơn phủ PU</t>
  </si>
  <si>
    <t>Phòng âm nhạc</t>
  </si>
  <si>
    <t>Kích thước: 1200x600x750 mm 
Bàn 1 Ngăn kéo giữa 
- Vật liệu:
+ Gỗ ghép công nghiệp  đã qua tẩm sấy chống mối mọt, co rút, dày 17 mm, sơn PU.</t>
  </si>
  <si>
    <t>- Kích thước:380x380x450+550mm
- Khung sắt hàn liên kết có khí CO2 bảo vệ sơn tĩnh điện
- Mặt ghế và lưng tựa gỗ cao su ghép dày 17mm sơn PU 3 lớp chống trầy
- Liên kết lắp ráp bằng vis, bulon. Tiếp xúc nền bằng chân đế nhựa</t>
  </si>
  <si>
    <t>Ghế  học sinh</t>
  </si>
  <si>
    <t>KT: 320 x 450
Mặt ghế xoay 360  Ghế có trục tăng đưa 
Ghế khung sắt sơn tĩnh điện , mặt ghế  Gỗ ghép công nghiệp  đã qua tẩm sấy chống mối mọt, co rút, dày 18 mm,  sơn PU.</t>
  </si>
  <si>
    <t>Yamaha:
Phím: 76 phím piano
Bàn phím Soft Touch 76 cấp
Âm thanh : Live!, Cool! and Sweet! 
Bộ sắp xếp bài hát dễ dàng và Công nghệ Hỗ trợ Trình Diễn
Đầu cực USB tích hợp cho phép kết nối nhanh và dễ dàng với máy tính
Bánh xe điều chỉnh độ cao âm thanh sẽ thêm vào biến tấu độ cao suông sẻ cho các nốt được chơi.</t>
  </si>
  <si>
    <t>Yamaha 
Bao gồm 60 bài hát trong chương trình phổ thông và 10 bài hát Việt Nam thông dụng , 
Phím: 61 phím piano</t>
  </si>
  <si>
    <t>Đàn ghita</t>
  </si>
  <si>
    <t>gỗ công nghiệp sơn PU</t>
  </si>
  <si>
    <t xml:space="preserve">Kho </t>
  </si>
  <si>
    <t>Kệ dụng cụ 2 mặt</t>
  </si>
  <si>
    <t>KT: 1500 x 600 x 1800mm
Kệ 5 ngăn di động khung sắt sơn tĩnh điện. Mặt Gỗ ghép công nghiệp đã qua tẩm sấy chống mối mọt, co rút, dày 18 mm, sơn PU.</t>
  </si>
  <si>
    <t>Phòng hội họa</t>
  </si>
  <si>
    <t xml:space="preserve">KT Giá vẽ: 550 x 900/ 1200 
KT mặt bản vẽ: 600 x 400 x 5
giá vẽ xếp gọn, có thể tăng đưa cao thấp theo nhu cầu sử dụng 
+Khung giá vẽ bằng sắt sơn tĩnh điện
+ Mặt ván MDF dày 5 mmm + Kẹp bản vẽ </t>
  </si>
  <si>
    <t>Phòng vi tính 1</t>
  </si>
  <si>
    <t xml:space="preserve">Bàn ghế vi tính giáo viên </t>
  </si>
  <si>
    <t>* Bàn chính : 1400 x 600 x 750 mm
Bàn 1 thùng để CPU,  , ngăn kéo có khóa. MDF dày 18mm 
* Ghế :  Kích thước:380x380x450+550
- Khung sắt hàn liên kết có khí CO2 bảo vệ sơn tĩnh điện
- Mặt ghế và lưng tựa bọc nệm simili</t>
  </si>
  <si>
    <t xml:space="preserve">Ghế học viên </t>
  </si>
  <si>
    <t>- Kích thước:340x330x420+300
- Khung sắt hàn liên kết có khí CO2 bảo vệ sơn tĩnh điện
- Mặt ghế và lưng tựa MDF dày 18mm  sơn  PU</t>
  </si>
  <si>
    <t>Bàn vi tính học sinh 2 chỗ</t>
  </si>
  <si>
    <t xml:space="preserve"> Kích thước: 1200x600x700 mm
+ Khung sắt sơn tĩnh điện , mặt gỗ  MDF dày 18 mm  , 2 ngăn bàn phím trượt trên ray 3 tầng , có đế để CPU</t>
  </si>
  <si>
    <t>Bảng từ trắng</t>
  </si>
  <si>
    <t>Kích thước: 1200x 3600 mm
- Nguyên liệu:
+ Khung nhôm hộp uralium (25*32) mm
+ Lưng bảng bằng ván MDF dày 8 ly phủ decal 
+ Mặt tole tử Hàn Quốc màu trắng  dày 0.4 mm</t>
  </si>
  <si>
    <t>Máy vi tính giáo viên</t>
  </si>
  <si>
    <t xml:space="preserve"> - CPU Intel core i3 3240(3.4 Ghz) SK:1155
- MAINBOARD : Foxconn H61MD:sk LGA 1155, S/p Intel Core i3+i5+i7 (Ivy or  Sandy Bridge ),  2x DDR3-1600/1333/ 1066 max 16GB, VGA on board ( GPU) S/p D-Sub, DVI, 1x PCIe 3.0 (16x), 2x PCI 2.0(1x) ,  4x SATA 3Gb/s, Sound 8CH, Gigabit LAN, 8 USB 2.0, 2 PS/2
- Ram 2GB DDRAM III Bus 1333 kingmax
- HDD: Seagate 500GB SATA3-7200prm
- DVD RW LG
-  LCD AOC 19.5'' 
- KEYBOARD : GENIUS 
 Mouse : GENIUS Optical 110X-USB
Case + Power supply 500W E18</t>
  </si>
  <si>
    <t>Máy vi tính học viên</t>
  </si>
  <si>
    <t>CPU INTEL G860
MAIN FOXCON H61
RAM 2/1333/1600 
HD 250G seagate
DVD SAMSUNG
LCD AOC 19"
KAYBOARD+MOUSES GENIUS USB
CASE+NGUỒN 500W</t>
  </si>
  <si>
    <t>2 x Swith 24 port D- link 
- 1 x CB 50 A LS 
 - 50 x ổ cấm điện cho bàn học viên , giáo viên
 - 250 m Cable AMP  chống nhiiễu
 - Đầu chụp J 45 
- Cáp điện cadivi : chính 3.0 ; Phụ  2 x 1,5 
- Nẹp, đinh vis,  cáp mạng, thi công lắp đặt, hướng dẫn sử  dụng</t>
  </si>
  <si>
    <t>Phòng anh văn 1&amp; 2</t>
  </si>
  <si>
    <t>a</t>
  </si>
  <si>
    <t>Thiết bị cơ bản ( Modun1)</t>
  </si>
  <si>
    <t>Bàn ghế giáo viên chuyên dụng</t>
  </si>
  <si>
    <t>* Bàn chính : 1400 x 600 x 750 mm
Bàn chuyên dụng cho phòng ngoại ngữ, đa phương tiện, thiết kế chuyên dụng  màn hình máy tính ,  
Bàn 1 thùng cửa mở để CPU,  , Ngăn kéo có khóa. MDF dày 18mm  
* Ghế :  Kích thước:380x380x450+550
- Khung sắt hàn liên kết có khí CO2 bảo vệ sơn tĩnh điện
- Mặt ghế và lưng tựa bọc nệm simili</t>
  </si>
  <si>
    <t xml:space="preserve">Bàn học sinh chuyên dụng
 2 chổ </t>
  </si>
  <si>
    <t xml:space="preserve"> Kích thước: 1200x500x700 mm
+ Khung sắt sơn tĩnh điện , mặt MDF dày 18 mm  sơn  PU , không ngăn</t>
  </si>
  <si>
    <t xml:space="preserve">Ghế  Học viên </t>
  </si>
  <si>
    <t>- Kích thước:340x330x420+300
- Khung sắt hàn liên kết có khí CO2 bảo vệ sơn tĩnh điện
- Mặt ghế và lưng tựa  MDF dày 18mm  sơn  PU</t>
  </si>
  <si>
    <t>b</t>
  </si>
  <si>
    <t xml:space="preserve">Thiết bị chuyên dụng  ( Modun 2 ) hàng đồng bộ không thể tách rời </t>
  </si>
  <si>
    <t>Máy tính giáo viên</t>
  </si>
  <si>
    <t xml:space="preserve">Bộ điều khiển giáo viên </t>
  </si>
  <si>
    <t xml:space="preserve">Phần mềm điều khiển </t>
  </si>
  <si>
    <t>Khối điều khiển học viên 2 cổng</t>
  </si>
  <si>
    <t>Bôộ thiết bị truyền thông của học viên</t>
  </si>
  <si>
    <t>Bộ tai nghe cho giáo viên và học viên</t>
  </si>
  <si>
    <t>Cáp kết nối cho 45 học viên</t>
  </si>
  <si>
    <t xml:space="preserve">Thi công , lắp đặt </t>
  </si>
  <si>
    <t xml:space="preserve">Phòng anh văn 3 </t>
  </si>
  <si>
    <t>Kho thiết bị giáo dục</t>
  </si>
  <si>
    <t>KT: 1500 x 400 x 1800mm
Kệ 5 ngăn di độngkhung sắt sơn tĩnh điện, . Mặt Gỗ ghép công nghiệp đã qua tẩm sấy chống mối mọt, co rút, dày 18 mm, sơn PU.</t>
  </si>
  <si>
    <t>Phòng nghỉ giáo viên</t>
  </si>
  <si>
    <t>TẦNG 4</t>
  </si>
  <si>
    <t>Kích thước: 1200x600x750 mm 
Bàn 1 Ngăn kéo giữa 
- Vật liệu:
+ Gỗ ghép công nghiệp đã qua tẩm sấy chống mối mọt, co rút, dày 18 mm, sơn PU.</t>
  </si>
  <si>
    <t xml:space="preserve"> KT: 400 x 600mm
1 bảng 5 điều Bác Hồ dạy…..
1 bảng non sông Việt Nam ……
Khung nhôm sơn tĩnh điện, mặt MDF, dán decal in chữ </t>
  </si>
  <si>
    <t>Phòng chuẩn bị sinh</t>
  </si>
  <si>
    <t>Tủ để dụng cụ thí nghiệm</t>
  </si>
  <si>
    <t>KT: 1200 x 450 x 1800mm
Tủ 2 cánh cửa kính lùa, dưới 2 cửa pano mở,
có 24 khay nhựa để dụng cụ 
NL: Gỗ ghép công nghiệp đã qua tẩm sấy chống mối mọt, co rút, dày 18 mm, sơn PU+ hậu tủ ván MDF dày 4.5ly</t>
  </si>
  <si>
    <t>Phòng bộ môn sinh</t>
  </si>
  <si>
    <t>Bàn thí nghiệm giáo viên</t>
  </si>
  <si>
    <t xml:space="preserve">Bàn KT: 1200 x 600 x 750mm
Khung Inox, Mặt đá granite, chân đế tăng đưa </t>
  </si>
  <si>
    <t>Bàn thí nghiệm học sinh</t>
  </si>
  <si>
    <t>KT: 1200 x 500 x 750 mm
Khung Inox, Mặt đá granite, Chân đế tăng đưa</t>
  </si>
  <si>
    <t>Bồn rửa phòng thí nghiệm ( cho giáo viên và học sinh)</t>
  </si>
  <si>
    <t>KT: 1000x400x750
Khung sắt sơn tĩnh điện , bồn inox có bộ xả lọc rác</t>
  </si>
  <si>
    <t>Ghế phòng thí nghiệm</t>
  </si>
  <si>
    <t>Tủ để mô hình</t>
  </si>
  <si>
    <t>KT: 1200 x 450 x 1800mm
Tủ 2 cánh cửa kính lùa, dưới 2 cửa pano mở,
6 ngăn di dộng cao thấp 
NL: Gỗ ghép công nghiệp đã qua tẩm sấy chống mối mọt, co rút, dày 18 mm,  sơn PU+ hậu tủ ván MDF dày 4.5ly</t>
  </si>
  <si>
    <t>Phòng bộ môn hóa</t>
  </si>
  <si>
    <t>Phòng chuẩn bị hóa</t>
  </si>
  <si>
    <t>KT: 1800 x 900 x 750mm
Khung sắt sơn tĩnh điện, mặt bàn gỗ ghép công nghiệp đã qua tẩm sấy chống mối mọt, co rút, dày 18 mm, sơn PU.</t>
  </si>
  <si>
    <t>Phòng bộ môn lý</t>
  </si>
  <si>
    <t>Bàn KT: 1200 x 550 x 750/ 900 mm
1 x CB LS - 10 A
1 x ổ cấm điện 6 lổ
1 x Thanh treo thiết bị thực hành bằng sắt sơn Tĩnh điện 
- Khung sắt sơn tĩnh điện, chân đế tăng đưa 
- Mặt bàn gỗ ghép công nghiệp dày 17 mm đã được xử lý chống mối mọt, co rút sơn PU.</t>
  </si>
  <si>
    <t>Bàn KT: 1200 x 500 x 750/ 900 mm
2 x CB LS - 10 A
2 x ổ cấm điện 6 lổ
1 x Thanh treo thiết bị thực hành bằng sắt sơn Tĩnh điện 
- Khung sắt sơn tĩnh điện, chân đế tăng đưa 
- Mặt bàn gỗ ghép công nghiệp dày 17 mm đã được xử lý chống mối mọt, co rút sơn PU.</t>
  </si>
  <si>
    <t>KT: 320 x 450
Mặt ghế xoay 360 Ghế có trục tăng đưa 
Ghế khung sắt sơn tĩnh điện, mặt ghế Gỗ ghép công nghiệp đã qua tẩm sấy chống mối mọt, co rút, dày 18 mm, sơn PU.</t>
  </si>
  <si>
    <t>KT: 1200 x 450 x 1800mm
Tủ 2 cánh cửa kính lùa, dưới 2 cửa pano mở,
6 ngăn di dộng cao thấp 
NL: Gỗ ghép công nghiệp đã qua tẩm sấy chống mối mọt, co rút, dày 18 mm, sơn PU.+ hậu tủ ván MDF dày 4.5ly</t>
  </si>
  <si>
    <t>Phòng chuẩn bị lý</t>
  </si>
  <si>
    <t>KT: 1200 x 450 x 1800mm
Tủ 2 cánh cửa kính lùa, dưới 2 cửa pano mở,
có 16 khay nhựa để dụng cụ 
NL: Gỗ ghép công nghiệp đã qua tẩm sấy chống mối mọt, co rút, dày 18 mm, sơn PU+ hậu tủ ván MDF dày 4.5ly</t>
  </si>
  <si>
    <t>Thư viện</t>
  </si>
  <si>
    <t>Bàn ghế quản thư</t>
  </si>
  <si>
    <t xml:space="preserve">Kích thước: 1400 x 700x750 mm
Bàn 1 thùng để CPU, 01 ngăn kéo, 1 ngăn bàn phím
- Vật liệu:
+ Gỗ ghép công nghiệp đã qua tẩm sấy chống mối mọt, co rút, dày 18 mm, sơn PU.
 Ghế sắt bọc nệm
KT: 380 x 380 x 450+550
Nguyên liệu: khung sắt sơn tĩnh điện, mặt ghế, lưng tựa bọc nêm simili </t>
  </si>
  <si>
    <t>Bàn đọc sách học sinh</t>
  </si>
  <si>
    <t xml:space="preserve"> Kích thước: 1200 x 800x 750 mm
- Vật liệu:
+ Khung sắt, sơn tĩnh điện.
+ Gỗ ghép công nghiệp đã qua tẩm sấy chống mối mọt, co rút, dày 18 mm, sơn PU.</t>
  </si>
  <si>
    <t>Ghế ngồi đọc sách</t>
  </si>
  <si>
    <t>- Kích thước: 380x350x450+340mm
- Khung sắt hàn liên kết có khí CO2 bảo vệ sơn tĩnh điện
- Mặt ghế và lưng tựa bằng gỗ cao su ghép</t>
  </si>
  <si>
    <t>Tủ đựng hồ sơ thư viện</t>
  </si>
  <si>
    <t>Kích thước: 1000 x 400 x 1400 mm
+ Phía trên 2 cửa mở lồng kính, trong chia ngăn. Phía dưới 2 cửa pano có khoá và tay nắm.
- Vật liệu:
+ Gỗ ghép công nghiệp đã qua tẩm sấy chống mối mọt, co rút, dày 18 mm, sơn PU, hậu tủ ván MDF dày 4.5ly</t>
  </si>
  <si>
    <t>Tủ đựng sách thư viện</t>
  </si>
  <si>
    <t>Kích thước: 1200 x 400 x 1800 mm
+ Phía trên 2 cửa kính lùa trên ray nhôm, trong chia 4 ngăn. Phía dưới 2 cửa pano có khoá và tay nắm.
- Vật liệu:
+ Gỗ ghép công nghiệp đã qua tẩm sấy chống mối mọt, co rút, dày 18 mm, sơn PU, hậu tủ ván MDF dày 4.5ly</t>
  </si>
  <si>
    <t>Kệ sách 5 ngăn</t>
  </si>
  <si>
    <t>Kích thước: 1200 x 500 x 1800 mm
- Vật liệu:
+ Khung sắt sơn tĩnh điện, mặt gỗ ghép công nghiệp đã qua tẩm sấy chống mối mọt, co rút, dày 18 mm, sơn PU.</t>
  </si>
  <si>
    <t>Kệ, tủ trưng bày</t>
  </si>
  <si>
    <t>Kích thước: 800x300 x 1400mm
- Vật liệu:
+ Gỗ ghép công nghiệp đã qua tẩm sấy chống mối mọt, co rút, dày 18 mm, sơn PU, ngăn để sách nghiêng + hậu tủ ván MDF dày 4.5ly</t>
  </si>
  <si>
    <t>Giá để báo, tạp chí</t>
  </si>
  <si>
    <t>Kích thước: 1200x400x1400mm
- Vật liệu:
+ Gỗ ghép công nghiệp đã qua tẩm sấy chống mối mọt, co rút, dày 18 mm, sơn PU, có 5 thanh nhôm tròn để treo báo xếp bậc thang, Phía dưới 2 cửa pano có khoá và tay nắm, hậu tủ ván MDF dày 4.5ly</t>
  </si>
  <si>
    <t>KT: 900 x 400 x 1800 mm
+ Tủ 32 hộc, Gỗ ghép công nghiệp đã qua tẩm sấy chống mối mọt, co rút, dày 18 mm, sơn PU, hậu tủ ván MDF dày 4.5ly</t>
  </si>
  <si>
    <t>Bảng hướng dẫn sử dụng mục lục</t>
  </si>
  <si>
    <t>KT: 800 x 1000 mm
Khung nhôm hộp Uralium chuyên dụng, mặt bảng MDF trắng dày 4ly, chữ decal xanh</t>
  </si>
  <si>
    <t>Bảng thông tin - thư mục</t>
  </si>
  <si>
    <t xml:space="preserve">KT: 800 x 700 mm
Khung nhôm hộp Uralium chuyên dụng, mặt bảng MDF trắng dày 4 ly, </t>
  </si>
  <si>
    <t>KT: 800 x 1000 mm
Khung nhôm hộp Uralium chuyên dụng, mặt bảng MDF trắng dày 4 ly, chữ decal xanh</t>
  </si>
  <si>
    <t>Bảng các câu danh ngôn về sách, biểu ngữ thư viện</t>
  </si>
  <si>
    <t>KT: theo nội dung và vị trí đặt câu danh ngôn
Khung nhôm hộp Uralium chuyên dụng, mặt bảng MDF trắng dày 4ly, chữ decal xanh</t>
  </si>
  <si>
    <t xml:space="preserve">Máy vi tính tra cứu sách </t>
  </si>
  <si>
    <t>Máy in Canon 
Chức năng: In Laser khổ A4
Bộ nhớ chuẩn: 8MB
Giao Tiếp: Hi-Speed USB 2.0 port
Công suất (tháng/A4): 7.000 trang
Khay giấy 2: 250 tờ
Khay giấy tay: 1 tờ
Khay giấy ra: 100 tờ
Khổ giấy: A4; A5;
Loại giấy: (plain, laserjet), envelopes</t>
  </si>
  <si>
    <t xml:space="preserve">Bàn, ghế vi tính 1 chổ </t>
  </si>
  <si>
    <t>Kích thước: 800 x 600x750 mm
bàn có đế để CPU,1 ngăn bàn phím
- Vật liệu:
+ Khung sắt sơn tĩnh điện, mặt gỗ ghép công nghiệp đã qua tẩm sấy chống mối mọt, co rút, dày 18 mm, sơn PU.</t>
  </si>
  <si>
    <t>Phòng vi tính</t>
  </si>
  <si>
    <t>KT: 1500 x 600 x 1800mm
Kệ 5 ngăn di động Khung sắt sơn tĩnh điện. Mặt Gỗ ghép công nghiệp đã qua tẩm sấy chống mối mọt, co rút, dày 18 mm, sơn PU.</t>
  </si>
  <si>
    <t>Bàn đọc sách GV</t>
  </si>
  <si>
    <t xml:space="preserve"> Kích thước: 1200 x 2400x 750 mm
- Vật liệu:
+ Khung sắt, sơn tĩnh điện.
+ Gỗ ghép công nghiệp đã qua tẩm sấy chống mối mọt, co rút, dày 18 mm, sơn PU.</t>
  </si>
  <si>
    <t>Kích thước: 380x380x450+550mm khung sắt hàn, sơn tĩnh điện, lưng tựa, mặt ghế bọc nệm</t>
  </si>
  <si>
    <t>Tủ trưng bày sách tham khảo</t>
  </si>
  <si>
    <t>* Kích thước: 1200x400x1800 mm
+ Phía trên 2 cửa kính lùa trên ray nhôm, trong chia 4 ngăn. Phía dưới 4 cửa pano có khóa và tay nắm
Vật liệu:
- Gỗ ghép công nghiệp đã qua tẩm sấy chống mối mọt, co rút dày 18mm, sơn PU</t>
  </si>
  <si>
    <t>Kệ để sách báo</t>
  </si>
  <si>
    <t>* Kích thước: 1500x400x1600 mm
Vật liệu:
- Kệ thư viện 5 ngăn
- Khung sắt 30x30, 25x25mm. Hàn liên kết có khí CO2 bảo vệ, sơn tĩnh điện
- Liên kết lắp ráp bằng vit, bulôn, tiếp xúc nền bằng chân đế nhựa</t>
  </si>
  <si>
    <t>Kệ giới thiệu sách</t>
  </si>
  <si>
    <t>* Kích thước: 1200x400x1600 mm
Vật liệu:
- Gỗ ghép công nghiệp đã qua tẩm sấy chống mối mọt, co rút dày 18mm, sơn PU
- Liên kết lắp ráp bằng vit, bulôn, tiếp xúc nền bằng chân đế nhựa</t>
  </si>
  <si>
    <t>THIẾT BỊ DẠY HỌC TỐI THIỂU</t>
  </si>
  <si>
    <t xml:space="preserve">Thiết bị dạy học tối thiểu </t>
  </si>
  <si>
    <t xml:space="preserve">Tổng cộng: </t>
  </si>
  <si>
    <t>BẢNG NỘI SUY HỆ SỐ CHI PHÍ TƯ VẤN</t>
  </si>
  <si>
    <t>HẠNG MỤC</t>
  </si>
  <si>
    <t xml:space="preserve">   Nb   </t>
  </si>
  <si>
    <t xml:space="preserve">   Na   </t>
  </si>
  <si>
    <t xml:space="preserve">   Gb   </t>
  </si>
  <si>
    <t xml:space="preserve">   Ga   </t>
  </si>
  <si>
    <t xml:space="preserve">   Gt   </t>
  </si>
  <si>
    <t xml:space="preserve">   Nt   </t>
  </si>
  <si>
    <t>LÀM TRÒN</t>
  </si>
  <si>
    <t>CT</t>
  </si>
  <si>
    <t>Chi phí bồi thường giải phóng mặt bằng, tái định cư</t>
  </si>
  <si>
    <t>%*</t>
  </si>
  <si>
    <t>V.1</t>
  </si>
  <si>
    <t>Chi phí khảo sát xây dựng</t>
  </si>
  <si>
    <t>V.1.1</t>
  </si>
  <si>
    <t>Chi phí khảo sát đo đạt hiện trạng, vị trí</t>
  </si>
  <si>
    <t>Chi phí thí nghiệm tường vây</t>
  </si>
  <si>
    <t>V.1.2</t>
  </si>
  <si>
    <t>Chi phí khoan khảo sát địa chất</t>
  </si>
  <si>
    <t>V.2</t>
  </si>
  <si>
    <t>Chi phí giám sát khảo sát xây dựng</t>
  </si>
  <si>
    <t>V.2.1</t>
  </si>
  <si>
    <t>Chi phí giám sát khảo sát địa chất công trình</t>
  </si>
  <si>
    <t xml:space="preserve"> Chi phí thiết kế nội thất </t>
  </si>
  <si>
    <t>V.2.2</t>
  </si>
  <si>
    <t>Chi phí giám sát khảo sát địa hình công trình</t>
  </si>
  <si>
    <t>V.3</t>
  </si>
  <si>
    <t>Chi phí lập báo cáo đầu tư</t>
  </si>
  <si>
    <t>V.4</t>
  </si>
  <si>
    <t>Chi phí lập dự án (Quyết định số 957/QĐ-BXD ngày 29-09-2009)</t>
  </si>
  <si>
    <t>V.5</t>
  </si>
  <si>
    <t>Chi phí lập báo cáo kinh tế - kỹ thuật (Quyết định số 957/QĐ-BXD ngày 29-09-2009)</t>
  </si>
  <si>
    <t>V.6</t>
  </si>
  <si>
    <t>Chi phí đo đạt đánh giá hiện trạng công trình phục vụ thiết kế sửa chữa, cải tạo nâng cấp, mở rộng</t>
  </si>
  <si>
    <t>V.7</t>
  </si>
  <si>
    <t>Chi phí thi tuyển thiết kế kiến trúc</t>
  </si>
  <si>
    <t>V.8</t>
  </si>
  <si>
    <t>Chi phí thiết kế xây dựng công trình (Quyết định số 957/QĐ-BXD ngày 29-09-2009)</t>
  </si>
  <si>
    <t>BAÏN NHAÄP KHOÂNG ÑUÙNG</t>
  </si>
  <si>
    <t>Chi phí thiết kế nội thất</t>
  </si>
  <si>
    <t>Thiết kế trạm biến áp</t>
  </si>
  <si>
    <t>V.9</t>
  </si>
  <si>
    <t>Chi phí thiết kế di dời, thiết kế biện pháp tháo dỡ công trình</t>
  </si>
  <si>
    <t>V.10</t>
  </si>
  <si>
    <t>Chi phí thiết kế chế tạo thiết bị</t>
  </si>
  <si>
    <t>V.11</t>
  </si>
  <si>
    <t>Chi phí làm mô hình công trình</t>
  </si>
  <si>
    <t>V.12</t>
  </si>
  <si>
    <t>Chi phí mô tả địa chất trong quá trình xây dựng công trình thủy điện</t>
  </si>
  <si>
    <t>V.13</t>
  </si>
  <si>
    <t>Chi phí mua bản quyền trí tuệ thiết kế</t>
  </si>
  <si>
    <t>V.14</t>
  </si>
  <si>
    <t>V.15</t>
  </si>
  <si>
    <t>Chi phí thẩm tra thiết kế bản vẽ thi công công trình (TK 3 bước)</t>
  </si>
  <si>
    <t>V.16</t>
  </si>
  <si>
    <t>V.17</t>
  </si>
  <si>
    <t>Chi phí đưa tim, mốc thiết kế công trình ra thực địa</t>
  </si>
  <si>
    <t>V.18</t>
  </si>
  <si>
    <t>V.19</t>
  </si>
  <si>
    <t>Chi phí lập hồ sơ mời thầu, đánh giá hồ sơ dự thầu cung cấp vật tư thiết bị (Quyết định số 957/QĐ-BXD ngày 29-09-2009)</t>
  </si>
  <si>
    <t>V.20</t>
  </si>
  <si>
    <t>Chi phí giám sát thi công xây dựng (Quyết định số 957/QĐ-BXD ngày 29-09-2009)</t>
  </si>
  <si>
    <t>V.21</t>
  </si>
  <si>
    <t>V.22</t>
  </si>
  <si>
    <t>V.23</t>
  </si>
  <si>
    <t>Chi phí lập báo cáo đánh giá khoán sản trong khu vực ảnh hưởng của công trình</t>
  </si>
  <si>
    <t>V.24</t>
  </si>
  <si>
    <t>Chi phí lập định mức xây dựng công trình</t>
  </si>
  <si>
    <t>V.25</t>
  </si>
  <si>
    <t>Chi phí lập đơn giá xây dựng công trình</t>
  </si>
  <si>
    <t>V.26</t>
  </si>
  <si>
    <t>Chi phí quản lý chi phí đầu tư xây dựng</t>
  </si>
  <si>
    <t>V.27</t>
  </si>
  <si>
    <t>Chi phí tư vấn quản lý dự án</t>
  </si>
  <si>
    <t>V.28</t>
  </si>
  <si>
    <t>Chi phí kiểm tra chất lượng vật liệu theo yêu cầu của chủ đầu tư</t>
  </si>
  <si>
    <t>V.29</t>
  </si>
  <si>
    <t>Chi phí kiểm định chất lượng công trình theo yêu cầu của chủ đầu tư</t>
  </si>
  <si>
    <t>V.30</t>
  </si>
  <si>
    <t>Chi phí kiểm tra và chứng nhận sự phù hợp về chất lượng công trình (TT 11/2005/TT-BXD ngày 14-07-2005)</t>
  </si>
  <si>
    <t>V.31</t>
  </si>
  <si>
    <t>Chi phí quy đổi vốn đầu tư xây dựng công trình đối với dự án có thời gian thực hiện trên 3 năm</t>
  </si>
  <si>
    <t>V.32</t>
  </si>
  <si>
    <t>Chi phí thực hiện các công việc tư vấn khác</t>
  </si>
  <si>
    <t>VI.1</t>
  </si>
  <si>
    <t>Chi phí thẩm tra tổng mức đầu tư (TT109/2000/TT-BTC)</t>
  </si>
  <si>
    <t>VI.2</t>
  </si>
  <si>
    <t>Chi phí rà phá bom mìn, vật nổ</t>
  </si>
  <si>
    <t>VI.3</t>
  </si>
  <si>
    <t>Chi phí bảo hiểm xây lắp công trình (Quyết định 33/2004/QĐ-BTC)</t>
  </si>
  <si>
    <t>VI.4</t>
  </si>
  <si>
    <t>Chi phí bảo hiểm thiết bị công trình (Quyết định 33/2004/QĐ-BTC)</t>
  </si>
  <si>
    <t>VI.5</t>
  </si>
  <si>
    <t>Chi phí di chuyển thiết bị thi công và lực lượng lao động đến công trường</t>
  </si>
  <si>
    <t>VI.6</t>
  </si>
  <si>
    <t>Chi phí đăng kiểm, quan trắc biến dạng công trình</t>
  </si>
  <si>
    <t>VI.7</t>
  </si>
  <si>
    <t>Chi phí đảm bảo an toàn giao thông phục vụ thi công các công trình</t>
  </si>
  <si>
    <t>VI.8</t>
  </si>
  <si>
    <t>Chi phí kiểm toán vốn đầu tư (Min = 1.100.000đvn) (Thông tư số 09/2016/BTC ngày 18-01-2016)</t>
  </si>
  <si>
    <t>VI.9</t>
  </si>
  <si>
    <t>Chi phí thẩm tra, phê duyệt quyết toán vốn đầu tư (Min = 500.000đvn) (Thông tư số 09/2016/BTC ngày 18-01-2016)</t>
  </si>
  <si>
    <t>VI.10</t>
  </si>
  <si>
    <t>Chi phí thẩm tra tính hiệu quả, tính khả thi của dự án (Quyết định số 957/QĐ-BXD ngày 29-09-2009)</t>
  </si>
  <si>
    <t>VI.11</t>
  </si>
  <si>
    <t>Lệ phí thẩm tra thiết kế (TT75/2014/TT-BTC ngày 12-06-2014)</t>
  </si>
  <si>
    <t>Lệ phí thẩm tra dự toán (TT75/2014/TT-BTC ngày 12-06-2014)</t>
  </si>
  <si>
    <t>Chi phí nguyên cứu khoa học công nghệ liên quan dự án</t>
  </si>
  <si>
    <t>VI.12</t>
  </si>
  <si>
    <t>Vốn lưu động ban đầu</t>
  </si>
  <si>
    <t>VI.13</t>
  </si>
  <si>
    <t>Lãi vay trong thời gian xây dựng</t>
  </si>
  <si>
    <t>VI.14</t>
  </si>
  <si>
    <t>Chi phí cho quá trình chạy thử không tải</t>
  </si>
  <si>
    <t>VI.15</t>
  </si>
  <si>
    <t>Chi phí cho quá trình chạy thử có tảitheo qui trình công nghệ trước khi bàn giao trừ sản phẩm thu hồi được</t>
  </si>
  <si>
    <t>VI.16</t>
  </si>
  <si>
    <t>Một số chi phí khác</t>
  </si>
  <si>
    <t>Dự án thực hiện đến 2 năm</t>
  </si>
  <si>
    <t>Chi phí dự phòng cho yếu tố khối lượng phát sinh và cho yếu tố trượt giá</t>
  </si>
  <si>
    <t>**</t>
  </si>
  <si>
    <t>Dự án thực hiện trên 2 năm</t>
  </si>
  <si>
    <t>Chi phí dự phòng cho yếu tố khối lượng phát sinh</t>
  </si>
  <si>
    <t>ÑÒNH MÖÙC CHI PHÍ LAÄP BAÙO CAÙO KINH TEÁ - KYÕ THUAÄT (QUYEÁT ÑÒNH SOÁ 957/QÑ-BXD NGAØY 29-09-2009)</t>
  </si>
  <si>
    <t xml:space="preserve">Loaïi coâng trình </t>
  </si>
  <si>
    <t xml:space="preserve"> Teân coâng vieäc </t>
  </si>
  <si>
    <t xml:space="preserve"> Chi phí xaây döïng vaø thieát bò (tyû ñoàng) </t>
  </si>
  <si>
    <t>&lt;=</t>
  </si>
  <si>
    <t>&gt;</t>
  </si>
  <si>
    <t>Laäp baùo caùo kinh teá - kyõ thuaät</t>
  </si>
  <si>
    <t>ÑÒNH MÖÙC CHI PHÍ LAÄP DÖÏ AÙN ÑAÀU TÖ XAÂU DÖÏNG COÂNG TRÌNH (QUYEÁT ÑÒNH SOÁ 957/QÑ-BXD NGAØY 29-09-2009)</t>
  </si>
  <si>
    <t xml:space="preserve"> Chi phí xaây döïng vaø thieát bò (tyû ñoàng) (Chöa thueá VAT)</t>
  </si>
  <si>
    <t>&gt;=</t>
  </si>
  <si>
    <t>Laäp döï aùn ñaàu tö</t>
  </si>
  <si>
    <t>Taêng theâm</t>
  </si>
  <si>
    <t>ÑÒNH MÖÙC CHI PHÍ THIEÁT KEÁ COÂNG TRÌNH (QUYEÁT ÑÒNH SOÁ 957/QÑ-BXD NGAØY 29-09-2009)</t>
  </si>
  <si>
    <t>CAÁP COÂNG TRÌNH</t>
  </si>
  <si>
    <t>LOAÏI THIEÁT KEÁ (MAÁY BÖÔÙC)</t>
  </si>
  <si>
    <t xml:space="preserve"> Chi phí xaây döïng chöa thueá(tyû ñoàng) </t>
  </si>
  <si>
    <t>ÑB (5)</t>
  </si>
  <si>
    <t xml:space="preserve"> Chi phí xaây döïng chöa thueá (tyû ñoàng) </t>
  </si>
  <si>
    <t>CN1</t>
  </si>
  <si>
    <t>CAÙP NGAÀM ÑIEÄN AÙP &lt;6KV (1)</t>
  </si>
  <si>
    <t>CAÙP NGAÀM ÑIEÄN AÙP &lt;6÷110KV (2)</t>
  </si>
  <si>
    <t>CAÙP NGAÀM ÑIEÄN AÙP 220KV (3)</t>
  </si>
  <si>
    <t>CN2</t>
  </si>
  <si>
    <t>COÂNG TRÌNH HOÙA CHAÁT (4)</t>
  </si>
  <si>
    <t>CT KHAI THAÙC THAN, QUAËNG (MOÛ VAÄT LIEÄU): MOÛ LOÄ THIEÂN (5)</t>
  </si>
  <si>
    <t>CT KHAI THAÙC THAN, QUAËNG (MOÛ VAÄT LIEÄU): MOÛ HAÀM LOØ (6)</t>
  </si>
  <si>
    <t>CT SAÛN XUAÁT XI MAÊNG (7)</t>
  </si>
  <si>
    <t>CT COÂNG NGHIEÄP KHAÙC (BAO GOÀM CAÛ CT ÑÖÔØNG DAÂY VAØ TRAÏM BIEÁN AÙP)</t>
  </si>
  <si>
    <t>Loaïi coâng trình  traïm bôm thuûy lôïi…</t>
  </si>
  <si>
    <t>CAÁP COÂNG TRÌNH COÙ CHI PHÍ THIEÁT BÒ &gt;=50%</t>
  </si>
  <si>
    <t>TL1</t>
  </si>
  <si>
    <t xml:space="preserve"> Chi phí xaây döïng (tyû ñoàng) </t>
  </si>
  <si>
    <t>CAÁP COÂNG TRÌNH 2 - COÂNG TRÌNH BÖU CHÍNH VIEÃN THOÂNG</t>
  </si>
  <si>
    <t>HTKT1</t>
  </si>
  <si>
    <t>COÂNG TRÌNH CAÙP CHOÂN TRÖÏC TIEÁP - 1</t>
  </si>
  <si>
    <t>COÂNG TRÌNH TUYEÁN CAÙP CHOÂN QUA SOÂNG - 2</t>
  </si>
  <si>
    <t>COÂNG TRÌNH COÁNG BEÅ VAØ KEÙO CAÙP, COÂNG TRÌNH TUYEÁN CAÙP TREO -3</t>
  </si>
  <si>
    <t>CAÁP COÂNG TRÌNH 1 - COÂNG TRÌNH MAÙY THOÂNG TIN</t>
  </si>
  <si>
    <t>HTKT2</t>
  </si>
  <si>
    <t>CAÙC LOAÏI TOÅNG ÑAØI HOST, VEÄ TINH, ÑOÄC LAÄP -1</t>
  </si>
  <si>
    <t>CAÙC LOAÏI TOOÅNG ÑAØI MSC, BSC, TRUY CAÄP THUEÂ BAO, NHAÉN TIN -2</t>
  </si>
  <si>
    <t>HEÄ THOÁNG THIEÁT BÒ TRUYEÀN DAÃN QUANG -3</t>
  </si>
  <si>
    <t>HEÄ THOÁNG TRUYEÀN DAÃN VI BA -4</t>
  </si>
  <si>
    <t>MAÏNG VIEÃN THOÂNG NOÂNG THOÂN -5</t>
  </si>
  <si>
    <t>MAÏNG INTERNET, VOIP, THIEÁT BÒ MAÏNG NGN -6</t>
  </si>
  <si>
    <t>HEÄ THOÁNG TIEÁP ÑAÁT CHOÁNG SEÙT (CAÛ THIEÁT BÒ) -7</t>
  </si>
  <si>
    <t>TRAÏM THOÂNG TIN VEÄ TINH V SAÙT -8</t>
  </si>
  <si>
    <t>THIEÁT BÒ TRAÏM BTS, CS, ÑIEÄN THOAÏI THEÛ -9</t>
  </si>
  <si>
    <t>ÑÒNH MÖÙC CHI PHÍ BAN QUAÛN LYÙ DÖÏ AÙN ÑAÀU TÖ XAÂY DÖÏNG COÂNG TRÌNH (QUYEÁT ÑÒNH SOÁ 957/QÑ-BXD NGAØY 29-09-2009)</t>
  </si>
  <si>
    <t xml:space="preserve"> Chi phí xaây döïng + thieát bò (tyû ñoàng) (CHÖA BAO GOÀM THUEÁ VAT)</t>
  </si>
  <si>
    <t>boå sung</t>
  </si>
  <si>
    <t>ÑÒNH MÖÙC CHI PHÍ THAÅM TRA TÍNH HIEÄU QUAÛ VAØ TÍNH KHAÛ THI CUÛA DÖÏ AÙN (QUYEÁT ÑÒNH SOÁ 957/QÑ-BXD NGAØY 29-09-2009)</t>
  </si>
  <si>
    <t xml:space="preserve"> Chi phí xaây döïng + thieát bò (Chöa thueá)(tyû ñoàng) </t>
  </si>
  <si>
    <t>ÑÒNH MÖÙC CHI PHÍ THAÅM TRA THIEÁT KEÁ KYÕ THUAÄT, THIEÁT KEÁ BAÛN VEÕ THI COÂNG (QUYEÁT ÑÒNH SOÁ 957/QÑ-BXD NGAØY 29-09-2009)</t>
  </si>
  <si>
    <t>ÑÒNH MÖÙC CHI PHÍ THAÅM TRA DÖÏ TOAÙN COÂNG TRÌNH (QUYEÁT ÑÒNH SOÁ 957/QÑ-BXD NGAØY 29-09-2009)</t>
  </si>
  <si>
    <t>ÑÒNH MÖÙC CHI PHÍ LÖÏA CHOÏN NHAØ THAÀU THI COÂNG XAÂY DÖÏNG COÂNG TRÌNH (QUYEÁT ÑÒNH SOÁ 957/QÑ-BXD NGAØY 29-09-2009)</t>
  </si>
  <si>
    <t>ÑÒNH MÖÙC CHI PHÍ LÖÏA CHOÏN NHAØ THAÀU CUNG CAÁP VAÄT TÖ THIEÁT BÒ COÂNG TRÌNH (QUYEÁT ÑÒNH SOÁ 957/QÑ-BXD NGAØY 29-09-2009)</t>
  </si>
  <si>
    <t xml:space="preserve"> Chi phí thieát bò chöa thueá(tyû ñoàng) </t>
  </si>
  <si>
    <t>ÑÒNH MÖÙC CHI PHÍ GIAÙM SAÙT THI COÂNG XAÂY DÖÏNG COÂNG TRÌNH (QUYEÁT ÑÒNH SOÁ 957/QÑ-BXD NGAØY 29-09-2009)</t>
  </si>
  <si>
    <t>ÑÒNH MÖÙC CHI PHÍ GIAÙM SAÙT THI COÂNG LAÉP ÑAËT THIEÁT BÒ CUÛA COÂNG TRÌNH (QUYEÁT ÑÒNH SOÁ 957/QÑ-BXD NGAØY 29-09-2009)</t>
  </si>
  <si>
    <t xml:space="preserve"> Chi phí thieát bò chöa thueá (tyû ñoàng) </t>
  </si>
  <si>
    <t>ÑÒNH MÖÙC LEÄ PHÍ THAÅM ÑÒNH DÖÏ AÙN (176/2011/TT-BTC)</t>
  </si>
  <si>
    <t>Toång möùc ñaàu tö</t>
  </si>
  <si>
    <t>ÑÒNH MÖÙC LEÄ PHÍ THAÅM TRA THIEÁT KEÁ BVTC (TT75/2014/TT-BTC ngaøy 12-06-2014)-NHAØ NÖÔÙC THAÅM TRA</t>
  </si>
  <si>
    <t>NN</t>
  </si>
  <si>
    <t>ÑÒNH MÖÙC LEÄ PHÍ THAÅM TRA DÖ TOAÙN (TT75/2014/TT-BTC ngaøy 12-06-2014) - NHAØ NÖÔÙC THAÅM TRA</t>
  </si>
  <si>
    <t>ÑÒNH MÖÙC LEÄ PHÍ THAÅM TRA THIEÁT KEÁ BVTC (TT75/2014/TT-BTC ngaøy 12-06-2014)-NHAØ NÖÔÙC + TÖ VAÁN CUØNG THAÅM TRA</t>
  </si>
  <si>
    <t>ÑÒNH MÖÙC LEÄ PHÍ THAÅM TRA DÖ TOAÙN (TT75/2014/TT-BTC ngaøy 12-06-2014) - NHAØ NÖÔÙC + TÖ VAÁN CUØNG THAÅM TRA</t>
  </si>
  <si>
    <t>ÑÒNH MÖÙC LEÄ PHÍ THAÅM TRA THIEÁT KEÁ BVTC (TT75/2014/TT-BTC ngaøy 12-06-2014)-NHAØ NÖÔÙC THAÅM TRA - KHI COÙ NGUOÀN VOÁN KHAÙC</t>
  </si>
  <si>
    <t>CHI PHÍ THAÅM TRA - PHEÂ DUYEÄT QUYEÁT TOAÙN (Thông tư số 09/2016/BTC ngày 18-01-2016 cuûa Boä Taøi Chính höôùng daãn quyeát toaùn voán ñaàu tö;)</t>
  </si>
  <si>
    <t xml:space="preserve">TOÅNG MÖÙC ÑAÀU TÖ (tyû ñoàng) </t>
  </si>
  <si>
    <t>CHI PHÍ KIEÅM TOAÙN - QUYEÁT TOAÙN VOÁN ÑAÀU TÖ DÖÏ AÙN HOAØN THAØNH (Thông tư số 09/2016/BTC ngày 18-01-2016 cuûa Boä Taøi Chính höôùng daãn quyeát toaùn voán ñaàu tö;)</t>
  </si>
  <si>
    <t>ÑÒNH MÖÙC CHI PHÍ THAÅM ÑÒNH DÖÏ AÙN (QÑ15/2001/QÑ-BXD)</t>
  </si>
  <si>
    <t xml:space="preserve"> Chi phí xaây döïng + thieát bò (tyû ñoàng) (Giaù chöa thueá)</t>
  </si>
  <si>
    <t>PHÍ THẨM DUYỆT VỀ PHÒNG CHÁY, CHỮA CHÁY ĐỐI VỚI DỰ ÁN, CÔNG TRÌNH</t>
  </si>
  <si>
    <t>(Ban hành kèm theo Thông tư số150/2014/TT-BTC ngày10/10/2014 của Bộ Tài Chính)</t>
  </si>
  <si>
    <t>HC+DK</t>
  </si>
  <si>
    <t>NL</t>
  </si>
  <si>
    <t>CTK</t>
  </si>
  <si>
    <t>PHUÏ LUÏC 1</t>
  </si>
  <si>
    <t xml:space="preserve">PHAÂN CAÁP, PHAÂN LOAÏI COÂNG TRÌNH XAÂY DÖÏNG </t>
  </si>
  <si>
    <t>(Ban haønh keøm theo Nghò ñònh soá 209/2004/NÑ-CP ngaøy 16/12/2004 cuûa Chính phuû)</t>
  </si>
  <si>
    <t>Maõ soá</t>
  </si>
  <si>
    <t>Loaïi coâng trình</t>
  </si>
  <si>
    <t>Caáp</t>
  </si>
  <si>
    <t>Caáp I</t>
  </si>
  <si>
    <t>Caáp II</t>
  </si>
  <si>
    <t>Caáp III</t>
  </si>
  <si>
    <t>Caáp IV</t>
  </si>
  <si>
    <t>ñaëc bieät</t>
  </si>
  <si>
    <t xml:space="preserve">COÂNG TRÌNH DAÂN DUÏNG </t>
  </si>
  <si>
    <t>I-1</t>
  </si>
  <si>
    <t>Nhaø ôû</t>
  </si>
  <si>
    <t xml:space="preserve">Chieàu cao </t>
  </si>
  <si>
    <t>Chieàu cao</t>
  </si>
  <si>
    <t>a) Nhaø chung cö</t>
  </si>
  <si>
    <t>&gt;=30 taàng</t>
  </si>
  <si>
    <t xml:space="preserve"> 20- 29 taàng</t>
  </si>
  <si>
    <t xml:space="preserve"> 9 - 19 taàng</t>
  </si>
  <si>
    <t xml:space="preserve"> 4 - 8 taàng</t>
  </si>
  <si>
    <t>&lt;= 3 taàng</t>
  </si>
  <si>
    <t>hoaëc</t>
  </si>
  <si>
    <t>toång dieän tích saøn (TDTS)</t>
  </si>
  <si>
    <t xml:space="preserve">TDTS </t>
  </si>
  <si>
    <t>TDTS</t>
  </si>
  <si>
    <t>TDTS &lt;1.000 m²</t>
  </si>
  <si>
    <t>&gt;= 15.000m²</t>
  </si>
  <si>
    <t>10.000 -</t>
  </si>
  <si>
    <t>5.000 -</t>
  </si>
  <si>
    <t>1.000 -</t>
  </si>
  <si>
    <t>b) Nhaø ôû rieâng leû</t>
  </si>
  <si>
    <t>&lt;15.000 m²</t>
  </si>
  <si>
    <t>&lt;10.000 m²</t>
  </si>
  <si>
    <t>&lt;5.000 m²</t>
  </si>
  <si>
    <t>Coâng trình coâng coäng</t>
  </si>
  <si>
    <t xml:space="preserve">a) Coâng trình vaên hoùa: </t>
  </si>
  <si>
    <t>Thö vieän, baûo taøng, nhaø trieån laõm, nhaø vaên hoùa, caâu laïc boä, nhaø bieåu dieãn, nhaø haùt, raïp chieáu boùng, raïp xieác, ñaøi phaùt thanh, ñaøi truyeàn hình.</t>
  </si>
  <si>
    <t xml:space="preserve"> &gt;=30 taàng</t>
  </si>
  <si>
    <t>9 - 19 taàng</t>
  </si>
  <si>
    <t>4 - 8 taàng</t>
  </si>
  <si>
    <t>20- 29 taàng</t>
  </si>
  <si>
    <t>nhòp &gt;= 96m</t>
  </si>
  <si>
    <t>nhòp 36- &lt;72m</t>
  </si>
  <si>
    <t>nhòp 12 - &lt;36m</t>
  </si>
  <si>
    <t>nhòp 72 - &lt; 96m</t>
  </si>
  <si>
    <t>nhòp &lt;12m</t>
  </si>
  <si>
    <t xml:space="preserve">hoaëc </t>
  </si>
  <si>
    <t>I-2</t>
  </si>
  <si>
    <t>TDTS &gt;= 15.000m</t>
  </si>
  <si>
    <t xml:space="preserve">5.000 - </t>
  </si>
  <si>
    <t xml:space="preserve"> 1.000 - </t>
  </si>
  <si>
    <t>TDTS  &lt;1.000 m²</t>
  </si>
  <si>
    <t xml:space="preserve">10.000 - </t>
  </si>
  <si>
    <t xml:space="preserve">b) Coâng trình giaùo duïc: </t>
  </si>
  <si>
    <t>Nhaø treû, tröoøng maãu giaùo, tröôøng phoå thoâng caùc caáp, tröoøng ñaïi hoïc vaø cao ñaúng, tröôøng trung hoïc chuyeân nghieäp, tröôøng daïy ngheà, tröôøng coâng nhaân kyõ thuaät, tröôøng nghieäp vuï vaø  caùc loaïi tröôøng khaùc.</t>
  </si>
  <si>
    <t xml:space="preserve">c) Coâng trình y teá: </t>
  </si>
  <si>
    <t>Traïm y teá, beänh vieän ña khoa, beänh vieän chuyeân khoa töø trung öông ñeán ñòa phöông, caùc phoøng khaùm ña khoa, khaùm chuyeân khoa khu vöïc, nhaø hoä sinh, nhaø ñieàu döôõng, nhaø nghæ, nhaø döôõng laõo, caùc cô quan y teá: phoøng choáng dòch beänh.</t>
  </si>
  <si>
    <t>d) Coâng trình thöông nghieäp: chôï, cöûa haøng, trung taâm thöông maïi, sieâu thò, haøng aên, giaûi khaùt, traïm dòch vuï coâng coäng</t>
  </si>
  <si>
    <t>TDTS &gt;= 15.000m²</t>
  </si>
  <si>
    <t>ñ) Nhaø laøm vieäc: vaên phoøng, truï sôû</t>
  </si>
  <si>
    <t>e)Khaùch saïn, nhaø khaùch</t>
  </si>
  <si>
    <t>g) Nhaø phuïc vuï giao thoâng: nhaø ga, beán xe caùc loaïi</t>
  </si>
  <si>
    <t>h) Nhaø phuïc vuï thoâng tin lieân laïc: nhaø böu ñieän, böu cuïc, nhaø laép ñaët thieât bò thoâng tin, ñaøi löu khoâng</t>
  </si>
  <si>
    <t>i) Thaùp thu, phaùt soùng vieãn thoâng, truyeàn thanh, truyeàn hình.</t>
  </si>
  <si>
    <t>&gt; 300m</t>
  </si>
  <si>
    <t>200- &lt; 300m</t>
  </si>
  <si>
    <t>100m-&lt;200m</t>
  </si>
  <si>
    <t>50m-&lt;100m</t>
  </si>
  <si>
    <t>&lt;50 m</t>
  </si>
  <si>
    <t>k) Saân vaän ñoäng</t>
  </si>
  <si>
    <t>Saân thi ñaáu söùc chöùa &gt;40.000 choã, coù maùi che, tieâu chuaån quoác teá.</t>
  </si>
  <si>
    <t>Saân thi ñaáu söùc chöùa 20.000 - &lt;= 40.000 choã, coù maùi che, tieâu chuaån quoác teá.</t>
  </si>
  <si>
    <t>Saân thi ñaáu söùc chöùa 10.000 - &lt;= 20.000 choã</t>
  </si>
  <si>
    <t>Saân thi ñaáu söùc chöùa  &lt;=10.000 choã ngoài</t>
  </si>
  <si>
    <t>Caùc loaïi saân taäp cho theå thao phong traøo</t>
  </si>
  <si>
    <t>l) Nhaø theå thao.</t>
  </si>
  <si>
    <t>Nhòp &gt;=96m</t>
  </si>
  <si>
    <t>Nhòp 72m -96m</t>
  </si>
  <si>
    <t>Nhòp 36m - &lt;72m hoaëc</t>
  </si>
  <si>
    <t>Nhòp &lt;36m</t>
  </si>
  <si>
    <t>-</t>
  </si>
  <si>
    <t>coù söùc chöùa</t>
  </si>
  <si>
    <t xml:space="preserve"> coù söùc chöùa &gt;7.500 choã</t>
  </si>
  <si>
    <t xml:space="preserve"> coù söùc chöùa</t>
  </si>
  <si>
    <t>2000 - &lt;5.000 choã</t>
  </si>
  <si>
    <t xml:space="preserve"> 5.000 - &lt;= 7.500 choã</t>
  </si>
  <si>
    <t>&lt; 2.000 choã</t>
  </si>
  <si>
    <t>m) Coâng trình theå thao döôùi nöôùc</t>
  </si>
  <si>
    <t>Beå bôi thi ñaáu coù maùi che ñaït tieâu chuaån quoác teá, söùc chöùa &gt; 7.500 choã</t>
  </si>
  <si>
    <t>Beå bôi thi ñaáu coù maùi che, söùc chöùa 5.000 - 7.500 choã</t>
  </si>
  <si>
    <t>Beå bôi thi ñaáu, söùc chöùa 2.000- &lt;5.000 choã</t>
  </si>
  <si>
    <t>Beå bôi thi ñaáu, söùc chöùa &lt;2.000 choã</t>
  </si>
  <si>
    <t>Beå bôi cho theå thao phong traøo</t>
  </si>
  <si>
    <t>COÂNG TRÌNH COÂNG NGHIEÄP</t>
  </si>
  <si>
    <t>II-1</t>
  </si>
  <si>
    <t>Coâng trình khai thaùc than</t>
  </si>
  <si>
    <t>a) Coâng trình moû than haàm loø</t>
  </si>
  <si>
    <t>Saûn löôïng &gt; 3 trieäu T/naêm</t>
  </si>
  <si>
    <t>Saûn löôïng 1 - 3 trieäu T/naêm</t>
  </si>
  <si>
    <t>Saûn löôïng 0.3 - &lt;1 trieäu T/naêm</t>
  </si>
  <si>
    <t>Saûn löôïng &lt; 0.3 trieäu T/naêm</t>
  </si>
  <si>
    <t>b) Coâng trình moû than loä thieân</t>
  </si>
  <si>
    <t>Saûn löôïng &gt; 5 trieäu T/naêm</t>
  </si>
  <si>
    <t>Saûn löôïng 2 - 5 trieäu T/naêm</t>
  </si>
  <si>
    <t>Saûn löôïng 0.5 - &lt;2 trieäu T/naêm</t>
  </si>
  <si>
    <t>Saûn löôïng &lt; 0.5 trieäu T/naêm</t>
  </si>
  <si>
    <t>c) Coâng trình choïn röûa, tuyeån than.</t>
  </si>
  <si>
    <t>II-2</t>
  </si>
  <si>
    <t>Coâng trình khai thaùc quaëng</t>
  </si>
  <si>
    <t>a) Coâng trình moû quaëng haàm loø</t>
  </si>
  <si>
    <t>Saûn löôïng &gt; 1 trieäu T/naêm</t>
  </si>
  <si>
    <t>Saûn löôïng 0.5 - 1 trieäu T/naêm</t>
  </si>
  <si>
    <t>b) Coâng trình moû quaëng loä thieân</t>
  </si>
  <si>
    <t>Saûn löôïng</t>
  </si>
  <si>
    <t>Saûn löôïng 1 - 2 trieäu T/naêm</t>
  </si>
  <si>
    <t>&gt; 2 trieäu T/naêm</t>
  </si>
  <si>
    <t>&lt;1 trieäu T/naêm</t>
  </si>
  <si>
    <t>c) Coâng trình tuyeån quaëng, laøm giaàu quaëng.</t>
  </si>
  <si>
    <t>II-3</t>
  </si>
  <si>
    <t>Coâng trình khai thaùc daàu, khí ñoát.</t>
  </si>
  <si>
    <t>a) Coâng trình daøn khoan thaêm doø, khai thaùc treân bieån</t>
  </si>
  <si>
    <t>Chieàu saâu möïc nöôùc bieån</t>
  </si>
  <si>
    <t>Chieàu saâu möïc nöôùc bieån töø 300M ñeán 5Km</t>
  </si>
  <si>
    <t>&gt; 5 Km</t>
  </si>
  <si>
    <t>&lt; 300m</t>
  </si>
  <si>
    <t>II-4</t>
  </si>
  <si>
    <t xml:space="preserve">Coâng trình coâng nghieäp hoaù </t>
  </si>
  <si>
    <t>a) Coâng trình saûn xuaát hoùa chaát cô baûn, hoùa chaát tieâu duøng</t>
  </si>
  <si>
    <t>Saûn löôïng &gt; 500.000 T/naêm</t>
  </si>
  <si>
    <t>Saûn löôïng &gt;100.000 - 500.000 T/naêm</t>
  </si>
  <si>
    <t>Saûn löôïng &lt; 100.000 T/naêm</t>
  </si>
  <si>
    <t xml:space="preserve">chaát vaø hoaù daàu, </t>
  </si>
  <si>
    <t>b) Coâng trình saûn xuaát hoùa döôïc, hoùa myõ phaåm.</t>
  </si>
  <si>
    <t>Saûn löôïng &gt; 300.000 T/naêm</t>
  </si>
  <si>
    <t>Saûn löôïng &gt;50.000 - 300.000 T/naêm</t>
  </si>
  <si>
    <t>cheá bieán khí</t>
  </si>
  <si>
    <t>&lt; 50.000 T/naêm</t>
  </si>
  <si>
    <t>c) Coâng trình saûn xuaát phaân boùn (u reâ, DAP).</t>
  </si>
  <si>
    <t>Saûn löôïng &gt;500.000 - 1 trieäu T/naêm</t>
  </si>
  <si>
    <t>Saûn löôïng &lt; 500.000 T/naêm</t>
  </si>
  <si>
    <t>Vôùi moïi quy moâ</t>
  </si>
  <si>
    <t xml:space="preserve">d) Coâng trình saûn xuaát vaät lieäu noå coâng nghieäp </t>
  </si>
  <si>
    <t>ñ) Nhaø maùy loïc hoùa daàu</t>
  </si>
  <si>
    <t>Coâng suaát cheá bieán daàu thoâ</t>
  </si>
  <si>
    <t>Coâng suaát cheá bieán daàu thoâ töø 300 - 500 thuøng/ngaøy</t>
  </si>
  <si>
    <t>Coâng suaát cheá bieán daàu thoâ töø 100 -300 thuøng/ngaøy</t>
  </si>
  <si>
    <t>&gt; 500 thuøng/ngaøy</t>
  </si>
  <si>
    <t>&lt; 100 thuøng/ngaøy</t>
  </si>
  <si>
    <t xml:space="preserve">e) Nhaø maùy cheá bieán khí </t>
  </si>
  <si>
    <t>Coâng suaát</t>
  </si>
  <si>
    <t>Coâng suaát töø</t>
  </si>
  <si>
    <t>&gt;10 trieäu m³ khí/ngaøy</t>
  </si>
  <si>
    <t>5- 10 trieäu m³ khí/ngaøy</t>
  </si>
  <si>
    <t>&lt; 5 trieäu  m³ khí/ngaøy</t>
  </si>
  <si>
    <t>II-5</t>
  </si>
  <si>
    <t>Kho xaêng, daàu, khí hoaù loûng vaø tuyeán oáng daãn khí, daàu</t>
  </si>
  <si>
    <t xml:space="preserve">a) Kho xaêng, daàu. </t>
  </si>
  <si>
    <t>Beå chöùa coù dung tích &gt; 20.000 m³</t>
  </si>
  <si>
    <t>Beå chöùa coù dung tích &gt;10.000m³</t>
  </si>
  <si>
    <t>Beå chöùa coù dung tích töø</t>
  </si>
  <si>
    <t>Beå chöùa coù dung tích</t>
  </si>
  <si>
    <t>Beå chöùa coù dung tích  &lt; 1.000 m³</t>
  </si>
  <si>
    <t>5.000-10.000m³</t>
  </si>
  <si>
    <t>&lt; 5.000 m³</t>
  </si>
  <si>
    <t>b) Kho chöùa khí hoùa loûng</t>
  </si>
  <si>
    <t>Dung tích beå chöùa &gt;10.000m³</t>
  </si>
  <si>
    <t>Dung tích beå chöùa töø</t>
  </si>
  <si>
    <t>Dung tích beå chöùa&lt; 5.000 m³</t>
  </si>
  <si>
    <t>5.000 -10.000 m³</t>
  </si>
  <si>
    <t xml:space="preserve">c) Kho chöùa vaät lieäu noå coâng nghieäp </t>
  </si>
  <si>
    <t>c) Tuyeán oáng daãn khí, daàu</t>
  </si>
  <si>
    <t>Tuyeán oáng ngoaøi khôi; tuyeán oáng treân bôø aùp löïc &gt; 60 bar</t>
  </si>
  <si>
    <t>Tuyeán oáng treân bôø aùp löïc 19 - 60 bar</t>
  </si>
  <si>
    <t xml:space="preserve">Tuyeán oáng treân bôø aùp löïc </t>
  </si>
  <si>
    <t>7 - &lt;19 bar</t>
  </si>
  <si>
    <t>II-6</t>
  </si>
  <si>
    <t>a) Coâng trình coâng nghieäp luyeän kim maàu.</t>
  </si>
  <si>
    <t>Saûn löôïng 500.000-1 trieäu T/naêm</t>
  </si>
  <si>
    <t>Saûn löôïng 100.000 -&lt;500.000 T/naêm</t>
  </si>
  <si>
    <t>Coâng trình luyeän kim</t>
  </si>
  <si>
    <t>b) Coâng trình luyeän, caùn theùp.</t>
  </si>
  <si>
    <t>Khu lieân hôïp luyeän kim</t>
  </si>
  <si>
    <t>Saûn löôïng &gt;1 trieäu T/naêm</t>
  </si>
  <si>
    <t>II-7</t>
  </si>
  <si>
    <t>Coâng trình cô khí, cheá taïo</t>
  </si>
  <si>
    <t>a) Coâng trình cô khí cheá taïo maùy coâng cuï caùc loaïi.</t>
  </si>
  <si>
    <t>Saûn löôïng &gt;5.000 Caùi/naêm</t>
  </si>
  <si>
    <t>Saûn löôïng 2.500-5.000 Caùi/naêm</t>
  </si>
  <si>
    <t>Saûn löôïng &lt;2.500 Caùi/naêm</t>
  </si>
  <si>
    <t>b) Coâng trình cheá taïo thieát bò coâng nghieäp</t>
  </si>
  <si>
    <t>Saûn löôïng &gt;10.000 T/naêm</t>
  </si>
  <si>
    <t>5.000 -10.000 T/naêm</t>
  </si>
  <si>
    <t>&lt; 500.000 T/naêm</t>
  </si>
  <si>
    <t>c) Coâng trình laép raùp, söûa chöõa oâ toâ xe maùy.</t>
  </si>
  <si>
    <t>&gt;10.000</t>
  </si>
  <si>
    <t>3.000 -10.000 Xe/naêm</t>
  </si>
  <si>
    <t>&lt; 3.000</t>
  </si>
  <si>
    <t>Xe/naêm</t>
  </si>
  <si>
    <t>II-8</t>
  </si>
  <si>
    <t>Coâng nghieäp ñieän töû-tin hoïc</t>
  </si>
  <si>
    <t xml:space="preserve">Saûn löôïng &gt; </t>
  </si>
  <si>
    <t>Saûn löôïng 200.000 -300.000 sf/naêm</t>
  </si>
  <si>
    <t>Saûn löôïng 150.000- &lt; 200.000 sf/naêm</t>
  </si>
  <si>
    <t>Saûn löôïng 100.000 -150.00 sf/naêm</t>
  </si>
  <si>
    <t>Saûn löôïng &lt; 100.000 sf/naêm</t>
  </si>
  <si>
    <t>a) Laép raùp saûn phaåm (saûn phaåm töông ñöông TV hay maùy vi tính)</t>
  </si>
  <si>
    <t>300.000 sf/naêm</t>
  </si>
  <si>
    <t>b) Cheá taïo linh kieän, phuï tuøng, cuïm linh kieän (saûn phaåm töông ñöông maïch in ñieän töû hay IC)</t>
  </si>
  <si>
    <t xml:space="preserve">Saûn löôïng </t>
  </si>
  <si>
    <t>500 trieäu sf/naêm</t>
  </si>
  <si>
    <t>400 -500 trieäu sf/naêm</t>
  </si>
  <si>
    <t>300- &lt; 400 trieäu sf/naêm</t>
  </si>
  <si>
    <t>200 -300 trieäu sf/naêm</t>
  </si>
  <si>
    <t>&lt; 200 trieäu sf/naêm</t>
  </si>
  <si>
    <t>Coâng trình naêng löôïng</t>
  </si>
  <si>
    <t>a) Coâng trình nguoàn nhieät ñieän</t>
  </si>
  <si>
    <t>Coâng suaát &gt; 2.000 MW</t>
  </si>
  <si>
    <t xml:space="preserve">Coâng suaát </t>
  </si>
  <si>
    <t>II-9</t>
  </si>
  <si>
    <t>600- 2.000 MW</t>
  </si>
  <si>
    <t>50- &lt; 600 MW</t>
  </si>
  <si>
    <t xml:space="preserve"> 5 -  50 MW</t>
  </si>
  <si>
    <t>&lt; 5 MW</t>
  </si>
  <si>
    <t>b) Coâng trình nguoàn thuûy ñieän (phaân caáp theo coâng suaát ñieän naêng hoaëc theo quy moâ hoà chöùa vaø ñaäp chính quy ñònh taïi muïc caùc coâng trình thuûy lôïi, maõ soá IV-1, IV-2)</t>
  </si>
  <si>
    <t>Coâng suaát &gt; 1.000 MW</t>
  </si>
  <si>
    <t>Coâng suaát 300 - 1.000 MW</t>
  </si>
  <si>
    <t>Coâng suaát 30</t>
  </si>
  <si>
    <t>Coâng suaát 3 -  &lt; 30 MW</t>
  </si>
  <si>
    <t>- &lt; 300 MW</t>
  </si>
  <si>
    <t>&lt; 3 MW</t>
  </si>
  <si>
    <t>c) Coâng trình nguoàn ñieän nguyeân töû</t>
  </si>
  <si>
    <t>&gt;1.000 MW</t>
  </si>
  <si>
    <t>&lt;=1.000 MW</t>
  </si>
  <si>
    <t>d) Coâng trình  ñöôøng daây vaø traïm bieán aùp</t>
  </si>
  <si>
    <t>500 KV</t>
  </si>
  <si>
    <t>110 KV</t>
  </si>
  <si>
    <t>35 KV</t>
  </si>
  <si>
    <t>Coâng trình coâng nghieäp nheï</t>
  </si>
  <si>
    <t>a) Nhaø maùy deät</t>
  </si>
  <si>
    <t>Saûn löôïng &gt;= 25 trieäu meùt/naêm</t>
  </si>
  <si>
    <t>Saûn löôïng 5 - &lt; 25 trieäu meùt/naêm</t>
  </si>
  <si>
    <t>Saûn löôïng &lt; 5 trieäu meùt/naêm</t>
  </si>
  <si>
    <t>II-10</t>
  </si>
  <si>
    <t>b) Nhaø maùy in nhuoäm</t>
  </si>
  <si>
    <t>Saûn löôïng &gt;= 35 trieäu meùt/naêm</t>
  </si>
  <si>
    <t>Saûn löôïng 10 - &lt; 35 trieäu meùt/naêm</t>
  </si>
  <si>
    <t>Saûn löôïng &lt; 10 trieäu meùt/naêm</t>
  </si>
  <si>
    <t>Saûn löôïng &gt;= 10 saûn phaåm /naêm</t>
  </si>
  <si>
    <t xml:space="preserve">Saûn löôïng 2 - &lt; 10 trieäu saûn phaåm /naêm </t>
  </si>
  <si>
    <t>Saûn löôïng &lt; 2 saûn phaåm /naêm</t>
  </si>
  <si>
    <t>c) Nhaø maùy saûn xuaát caùc saûn phaåm may</t>
  </si>
  <si>
    <t>d) Nhaø maùy thuoäc da vaø saûn xuaát caùc saûn phaåm töø da</t>
  </si>
  <si>
    <t>Saûn löôïng 1 - &lt; 12 trieäu ñoâi       ( hoaëc töông ñöông)</t>
  </si>
  <si>
    <t>Saûn löôïng &gt;= 12 trieäu ñoâi ( hoaëc töông ñöông)</t>
  </si>
  <si>
    <t xml:space="preserve">/naêm </t>
  </si>
  <si>
    <t>Saûn löôïng &lt; 1 trieäu ñoâi ( hoaëc töông ñöông)</t>
  </si>
  <si>
    <t xml:space="preserve">ñ) Nhaø maùy saûn xuaát  caùc saûn phaåm nhöïa </t>
  </si>
  <si>
    <t>Saûn löôïng &gt;= 15.000 T/naêm</t>
  </si>
  <si>
    <t>Saûn löôïng 2.000- &lt; 15.000 T/naêm</t>
  </si>
  <si>
    <t>Saûn löôïng &lt; 2.000 T/naêm</t>
  </si>
  <si>
    <t>e) Nhaø maùy saûn xuaát ñoà saønh söù, thuûy tinh</t>
  </si>
  <si>
    <t>Saûn löôïng &gt;= 25.000 T/naêm</t>
  </si>
  <si>
    <t>Saûn löôïng 3.000- &lt; 25.000 T/naêm</t>
  </si>
  <si>
    <t>Saûn löôïng &lt; 3.000 T/naêm</t>
  </si>
  <si>
    <t>g) Nhaø maùy boät giaáy vaø giaáy</t>
  </si>
  <si>
    <t>Saûn löôïng &gt;= 60.000 T/naêm</t>
  </si>
  <si>
    <t>Saûn löôïng 25.000 - &lt; 60.000 T/naêm</t>
  </si>
  <si>
    <t>Saûn löôïng &lt; 25.000 T/naêm</t>
  </si>
  <si>
    <t>a) Nhaø maùy saûn xuaát daàu aên, höông lieäu</t>
  </si>
  <si>
    <t>Saûn löôïng  &gt;= 150.000  T/naêm</t>
  </si>
  <si>
    <t>Saûn löôïng  50.000 -150.000 T/naêm</t>
  </si>
  <si>
    <t>Saûn löôïng  &lt; 50.000 T/naêm</t>
  </si>
  <si>
    <t>Coâng trình cheá bieán thöïc phaåm</t>
  </si>
  <si>
    <t>II-11</t>
  </si>
  <si>
    <t>b) Nhaø maùy saûn xuaát röôïu, bia, nöôùc giaûi khaùt.</t>
  </si>
  <si>
    <t>Saûn löôïng  &gt;= 100 trieäu lit/naêm</t>
  </si>
  <si>
    <t>Saûn löôïng 25 - &lt; 100 trieäu  lit/naêm</t>
  </si>
  <si>
    <t>Saûn löôïng  &lt; 25 trieäu  lit/naêm</t>
  </si>
  <si>
    <t>c) Nhaø maùy saûn xuaát thuoác laù</t>
  </si>
  <si>
    <t>&gt;= 200 trieäu  bao/naêm</t>
  </si>
  <si>
    <t>50 - &lt; 200 trieäu  bao/naêm</t>
  </si>
  <si>
    <t>&lt; 50 trieäu  bao/naêm</t>
  </si>
  <si>
    <t>d) Nhaø maùy söõa</t>
  </si>
  <si>
    <t>Saûn löôïng  &gt;= 100 trieäu  lít s.phaåm/naêm</t>
  </si>
  <si>
    <t>Saûn löôïng 30 - &lt; 100 trieäu  lít s.phaåm/naêm</t>
  </si>
  <si>
    <t>Saûn löôïng  &lt; 30 trieäu  lít s.phaåm/naêm</t>
  </si>
  <si>
    <t>ñ) Nhaø maùy saûn xuaát baùnh keïo, myø aên lieàn</t>
  </si>
  <si>
    <t>Saûn löôïng  &gt; 25.000 T/naêm</t>
  </si>
  <si>
    <t>Saûn löôïng  5.000 -25.000 T/naêm</t>
  </si>
  <si>
    <t>Saûn löôïng  &lt; 5.000 T/naêm</t>
  </si>
  <si>
    <t>e) Kho ñoâng laïnh</t>
  </si>
  <si>
    <t>Söùc chöùa  &gt; 1.000  T</t>
  </si>
  <si>
    <t>Söùc chöùa</t>
  </si>
  <si>
    <t>250 -&lt;=1.000 T</t>
  </si>
  <si>
    <t>&lt;250  T</t>
  </si>
  <si>
    <t>II-12</t>
  </si>
  <si>
    <t>Coâng trình coâng</t>
  </si>
  <si>
    <t>a) Nhaø maùy saûn xuaát Xi maêng</t>
  </si>
  <si>
    <t>Coâng suaát &gt; 2 trieäu T/naêm</t>
  </si>
  <si>
    <t>Coâng suaát 1 - 2 trieäu T/naêm</t>
  </si>
  <si>
    <t>Coâng suaát &lt; 1 trieäu T/naêm</t>
  </si>
  <si>
    <t>nghieäp vaät lieäu xaây döïng</t>
  </si>
  <si>
    <t>b) Nhaø maùy saûn xuaát gaïch Ceramic, gaïch Granit, oáp laùt</t>
  </si>
  <si>
    <t>Coâng suaát &gt; 5 trieäu m³/naêm</t>
  </si>
  <si>
    <t>Coâng suaát 2 - 5 trieäu m³/naêm</t>
  </si>
  <si>
    <t>Coâng suaát &lt; 2 trieäu m³/naêm</t>
  </si>
  <si>
    <t>c) Nhaø maùy saûn xuaát gaïch, ngoùi ñaát seùt nung.</t>
  </si>
  <si>
    <t>&gt; 20 trieäu Vieân/naêm</t>
  </si>
  <si>
    <t>10 - 20 trieäu Vieân/naêm</t>
  </si>
  <si>
    <t xml:space="preserve"> &lt; 10 trieäu Vieân/naêm</t>
  </si>
  <si>
    <t>d) Nhaø maùy saûn xuaát söù veä sinh</t>
  </si>
  <si>
    <t>Coâng suaát &gt;=500.000 s.phaåm/naêm</t>
  </si>
  <si>
    <t>Coâng suaát &lt; 500.000 s.phaåm/naêm</t>
  </si>
  <si>
    <t>ñ) Nhaø maùy saûn xuaát kính</t>
  </si>
  <si>
    <t>Coâng suaát &gt; 20 trieäu m²/naêm</t>
  </si>
  <si>
    <t>Coâng suaát 10 - 20 trieäu m²/naêm</t>
  </si>
  <si>
    <t>Coâng suaát &lt; 10 trieäu m²/naêm</t>
  </si>
  <si>
    <t>Coâng suaát &gt; 1 trieäu m³/naêm</t>
  </si>
  <si>
    <t>Coâng suaát 500.000 - 1 trieäu m³/naêm</t>
  </si>
  <si>
    <t>Coâng suaát &lt; 500.000 m³/naêm</t>
  </si>
  <si>
    <t>e) Nhaø maùy saûn xuaát hoãn hôïp beâ toâng vaø caáu kieän beâ toâng</t>
  </si>
  <si>
    <t>COÂNG TRÌNH GIAO THOÂNG</t>
  </si>
  <si>
    <t>III-1</t>
  </si>
  <si>
    <t>Ñöôøng boä</t>
  </si>
  <si>
    <t>a) Ñöôøng oâ toâ cao toác caùc loaïi</t>
  </si>
  <si>
    <t>Ñöôøng cao toác vôùi löu löôïng xe &gt; 30.000 Xe quy ñoåi/ ngaøy ñeâm</t>
  </si>
  <si>
    <t>Löu löôïng xe töø 3.000-10.000 Xe quy ñoåi/ ngaøy ñeâm</t>
  </si>
  <si>
    <t>Löu löôïng xe töø 300-3.000 Xe quy ñoåi/ngaøy ñeâm</t>
  </si>
  <si>
    <t>Löu löôïng xe &lt;300 Xe quy ñoåi/ ngaøy ñeâm</t>
  </si>
  <si>
    <t>Ñöôøng cao toác vôùi löu löôïng xe töø 10.000-30.000 Xe quy ñoåi/ngaøy ñeâm</t>
  </si>
  <si>
    <t>toác ñoä &gt;100km/h</t>
  </si>
  <si>
    <t>toác ñoä &gt;60km/h</t>
  </si>
  <si>
    <t>ñöôøng giao thoâng noâng thoân loaïi A</t>
  </si>
  <si>
    <t>ñöôøng giao thoâng noâng thoân loaïi B</t>
  </si>
  <si>
    <t>b) Ñöôøng oâ toâ, ñöôøng trong ñoâ thò</t>
  </si>
  <si>
    <t>toác ñoä &gt;80km/h</t>
  </si>
  <si>
    <t>c) Ñöôøng noâng thoân</t>
  </si>
  <si>
    <t>III-2</t>
  </si>
  <si>
    <t>Ñöôøng saét</t>
  </si>
  <si>
    <t>Ñöôøng saét cao toác</t>
  </si>
  <si>
    <t>Ñöôøng taàu ñieän ngaàm; ñöôøng saét treân cao.</t>
  </si>
  <si>
    <t>Ñöôøng saét quoác gia thoâng thöôøng</t>
  </si>
  <si>
    <t>Ñöôøng saét chuyeân duïng vaø ñöôøng saét ñòa phöông</t>
  </si>
  <si>
    <t>III-3</t>
  </si>
  <si>
    <t>Caàu</t>
  </si>
  <si>
    <t>a) Caàu ñöôøng boä</t>
  </si>
  <si>
    <t>Nhòp &gt;200m</t>
  </si>
  <si>
    <t>Nhòp töø</t>
  </si>
  <si>
    <t>Nhòp töø 50-100m</t>
  </si>
  <si>
    <t>Nhòp töø  25-50m</t>
  </si>
  <si>
    <t>Nhòp töø  &lt; 25m</t>
  </si>
  <si>
    <t>100-200m hoaëc söû duïng coâng ngheä thi coâng môùi, kieán truùc ñaëc bieät</t>
  </si>
  <si>
    <t>b) Caâuø ñöôøng saét</t>
  </si>
  <si>
    <t>III-4</t>
  </si>
  <si>
    <t>Haàm</t>
  </si>
  <si>
    <t>a) Haàm ñöôøng oâ toâ</t>
  </si>
  <si>
    <t>Haàm taàu ñieän ngaàm</t>
  </si>
  <si>
    <t>Chieàu daøi töø 1000-3000m, toái thieåu 2 laøn xe oâ toâ, 1 laøn ñöôøng saét</t>
  </si>
  <si>
    <t>Chieàu daøi töø 100-1000m</t>
  </si>
  <si>
    <t>Chieàu daøi &lt;100m</t>
  </si>
  <si>
    <t>b) Haàm ñöôøng saét</t>
  </si>
  <si>
    <t>Chieàu daøi &gt; 3000m, toái thieåu 2 laøn xe oâ toâ, 1 laøn ñöôøng saét</t>
  </si>
  <si>
    <t>c) Haàm cho ngöôøi ñi boä</t>
  </si>
  <si>
    <t>III-5</t>
  </si>
  <si>
    <t>Coâng trình ñöôøng thuûy</t>
  </si>
  <si>
    <t>a) Beán, UÏ naâng taàu caûng bieån</t>
  </si>
  <si>
    <t>Beán,uï cho taàu &gt;50.000 DWT</t>
  </si>
  <si>
    <t>Beán, uï cho taàu 30.000-50.000 DWT</t>
  </si>
  <si>
    <t>Beán, uï cho taàu 10.000-30.000 DWT</t>
  </si>
  <si>
    <t>Beán cho taàu &lt;10.000 DWT</t>
  </si>
  <si>
    <t>&gt; 5.000 T</t>
  </si>
  <si>
    <t>3.000 - 5.000 T</t>
  </si>
  <si>
    <t>1.500 – 3.000 T</t>
  </si>
  <si>
    <t>750 -1.500 T</t>
  </si>
  <si>
    <t>&lt; 750T</t>
  </si>
  <si>
    <t>b) Caûng beán thuûy cho taøu.nhaø maùy ñoùng söûa chöõa taøu</t>
  </si>
  <si>
    <t>c) AÂu thuyeàn cho taàu</t>
  </si>
  <si>
    <t>&gt; 3.000 T</t>
  </si>
  <si>
    <t>1.500 - 3.000 T</t>
  </si>
  <si>
    <t>750- 1.500 T</t>
  </si>
  <si>
    <t>200 - 750 T</t>
  </si>
  <si>
    <t>&lt; 200T</t>
  </si>
  <si>
    <t>d) Ñöôøng  thuûy coù beâ roäng (B) vaø ñoä saâu (H ) nöôùc chaïy taøu</t>
  </si>
  <si>
    <t>B= 90-&lt;120m</t>
  </si>
  <si>
    <t>B = 70- &lt; 90m</t>
  </si>
  <si>
    <t>B= 50- &lt; 70m</t>
  </si>
  <si>
    <t>B &lt; 50m</t>
  </si>
  <si>
    <t>Treân soâng</t>
  </si>
  <si>
    <t>B &gt; 120m;</t>
  </si>
  <si>
    <t>H = 4- &lt;5m</t>
  </si>
  <si>
    <t>H = 3 - &lt;4 m</t>
  </si>
  <si>
    <t>H = 2- &lt; 3 m</t>
  </si>
  <si>
    <t>H &lt; 2m</t>
  </si>
  <si>
    <t>H &gt;5m</t>
  </si>
  <si>
    <t>Treân keânh ñaøo</t>
  </si>
  <si>
    <t>B= 50- &lt;70m</t>
  </si>
  <si>
    <t>B = 40 - &lt;50m</t>
  </si>
  <si>
    <t>B= 30 - &lt; 40m</t>
  </si>
  <si>
    <t>B &lt; 30m</t>
  </si>
  <si>
    <t>B &gt; 70m;</t>
  </si>
  <si>
    <t>H = 5 - &lt; 6 m</t>
  </si>
  <si>
    <t>H = 4- &lt; 5m</t>
  </si>
  <si>
    <t>H = 2 - &lt;4 m</t>
  </si>
  <si>
    <t>H &lt; 3m</t>
  </si>
  <si>
    <t>H &gt;6m</t>
  </si>
  <si>
    <t>III-6</t>
  </si>
  <si>
    <t>Saân bay</t>
  </si>
  <si>
    <t>Ñöôøng baêng caát haï caùnh (phaân caáp theo tieâu chuaån cuaû toå chöùc ICAO)</t>
  </si>
  <si>
    <t>IV E</t>
  </si>
  <si>
    <t>IV D</t>
  </si>
  <si>
    <t>III C</t>
  </si>
  <si>
    <t>II B</t>
  </si>
  <si>
    <t>I A</t>
  </si>
  <si>
    <t>COÂNG TRÌNH THUÛY LÔÏI</t>
  </si>
  <si>
    <t>Coâng trình hoà chöùa</t>
  </si>
  <si>
    <t>Dung tích &gt;5.000 x 106 m³</t>
  </si>
  <si>
    <t>Dung tích  töø 1.000 x 106 -5.000 x 106 m³</t>
  </si>
  <si>
    <t>Dung tích  töø 100 x106 -1.000 x106 m³</t>
  </si>
  <si>
    <t>Dung tích  töø     1 x 106 -100 x 106 m³</t>
  </si>
  <si>
    <t>Dung tích</t>
  </si>
  <si>
    <t>IV-1</t>
  </si>
  <si>
    <t>&lt;1 x 106 m³</t>
  </si>
  <si>
    <t>IV-2</t>
  </si>
  <si>
    <t>Coâng trình ñaäp</t>
  </si>
  <si>
    <t xml:space="preserve">a) Ñaäp ñaát, ñaát - ñaù </t>
  </si>
  <si>
    <t>&gt;100 m</t>
  </si>
  <si>
    <t>75  - 100 m</t>
  </si>
  <si>
    <t>25 - &lt; 75 m</t>
  </si>
  <si>
    <t>15 - &lt; 25 m</t>
  </si>
  <si>
    <t>&lt; 15 m</t>
  </si>
  <si>
    <t xml:space="preserve">b) Ñaäp beâ toâng </t>
  </si>
  <si>
    <t xml:space="preserve"> &gt; 150 m</t>
  </si>
  <si>
    <t>100 - 150m</t>
  </si>
  <si>
    <t>50 - &lt; 100 m</t>
  </si>
  <si>
    <t>15 - &lt; 50 m</t>
  </si>
  <si>
    <t>&lt;15 m</t>
  </si>
  <si>
    <t xml:space="preserve">c) Töôøng chaén </t>
  </si>
  <si>
    <t>&gt; 50 m</t>
  </si>
  <si>
    <t>5 - 50 m</t>
  </si>
  <si>
    <t>&lt;5 m</t>
  </si>
  <si>
    <t>IV-3</t>
  </si>
  <si>
    <t>Coâng trình thuûy noâng</t>
  </si>
  <si>
    <t>a) Heä thoáng thuûy noâng coù söùc töôùi hoaëc söùc tieâu treân dieän tích: S x 103 ha</t>
  </si>
  <si>
    <t>Dieän tích</t>
  </si>
  <si>
    <t>&gt; 75</t>
  </si>
  <si>
    <t>&gt; 50 - 75</t>
  </si>
  <si>
    <t>10 - &lt; 50</t>
  </si>
  <si>
    <t>2 - &lt; 10</t>
  </si>
  <si>
    <t>&lt; 2</t>
  </si>
  <si>
    <t xml:space="preserve">b) Coâng trình caáp nöôùc nguoàn cho sinh hoaït, saûn xuaát coù löu löôïng: Q (m³/s) </t>
  </si>
  <si>
    <t xml:space="preserve">Löu löôïng </t>
  </si>
  <si>
    <t>&gt; 20</t>
  </si>
  <si>
    <t>10 - &lt; 20</t>
  </si>
  <si>
    <t>2- &lt; 10</t>
  </si>
  <si>
    <t>IV-4</t>
  </si>
  <si>
    <t>Ñeâ-Keø</t>
  </si>
  <si>
    <t>Ñeâ chính, ñeâ bao vaø ñeâ quai (phaân caáp theo quy phaïm phaân caáp ñeâ cuûa ngaønh thuûy lôïi)</t>
  </si>
  <si>
    <t>Ñaëc bieät</t>
  </si>
  <si>
    <t>COÂNG TRÌNH HAÏ TAÀNG KYÕ THUAÄT</t>
  </si>
  <si>
    <t>V-1</t>
  </si>
  <si>
    <t>Coâng trình caáp thoaùt nöôùc</t>
  </si>
  <si>
    <t>a) Caáp nöôùc</t>
  </si>
  <si>
    <t>&gt; 500.000 m³/ngaøy ñeâm</t>
  </si>
  <si>
    <t>300.000 öõ</t>
  </si>
  <si>
    <t>100.000öõ</t>
  </si>
  <si>
    <t>20.000 öõ100.000 m³/ngaøy ñeâm</t>
  </si>
  <si>
    <t>&lt; 20.000 m³/ngaøy ñeâm</t>
  </si>
  <si>
    <t>500.000 m³/ngaøy ñeâm</t>
  </si>
  <si>
    <t>&lt; 300.000 m³/ngaøy ñeâm</t>
  </si>
  <si>
    <t>b) Thoaùt nöôùc</t>
  </si>
  <si>
    <t>&gt; 300.000 m³/ngaøy ñeâm</t>
  </si>
  <si>
    <t>300.000öõ</t>
  </si>
  <si>
    <t>50.000öõ</t>
  </si>
  <si>
    <t>10.000öõ</t>
  </si>
  <si>
    <t>&lt; 10.000 m³/ngaøy ñeâm</t>
  </si>
  <si>
    <t>100.000 m³/ngaøy ñeâm</t>
  </si>
  <si>
    <t>&lt; 100.000 m³/ngaøy ñeâm</t>
  </si>
  <si>
    <t>&lt; 50.000 m³/ngaøy ñeâm</t>
  </si>
  <si>
    <t>V-2</t>
  </si>
  <si>
    <t>Coâng trình xöû lyù chaát thaûi</t>
  </si>
  <si>
    <t>a) Baõi choân laáp raùc</t>
  </si>
  <si>
    <t>500T/ngaøy</t>
  </si>
  <si>
    <t>300-&lt; 500 T/ngaøy</t>
  </si>
  <si>
    <t>150- &lt; 300 T/ngaøy</t>
  </si>
  <si>
    <t>&lt; 150 T/ngaøy</t>
  </si>
  <si>
    <t xml:space="preserve">b) Nhaø maùy xöû lyù raùc thaûi </t>
  </si>
  <si>
    <t>&gt; 3.000 T/ngaøy</t>
  </si>
  <si>
    <t>1.000öõ&lt; 3.000</t>
  </si>
  <si>
    <t>300öõ&lt; 1.000 T</t>
  </si>
  <si>
    <t>100öõ&lt; 300</t>
  </si>
  <si>
    <t>&lt; 100</t>
  </si>
  <si>
    <t>T/ngaøy</t>
  </si>
  <si>
    <t>/ngaøy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</si>
</sst>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5">
    <numFmt numFmtId="164" formatCode="_(&quot;$&quot;* #,##0_);_(&quot;$&quot;* \(#,##0\);_(&quot;$&quot;* &quot;-&quot;_);_(@_)"/>
    <numFmt numFmtId="165" formatCode="_(&quot;$&quot;* #,##0.00_);_(&quot;$&quot;* \(#,##0.00\);_(&quot;$&quot;* &quot;-&quot;??_);_(@_)"/>
    <numFmt numFmtId="166" formatCode="_(* #,##0.00_);_(* \(#,##0.00\);_(* &quot;-&quot;??_);_(@_)"/>
    <numFmt numFmtId="167" formatCode="_-* #,##0.00\ _₫_-;\-* #,##0.00\ _₫_-;_-* &quot;-&quot;??\ _₫_-;_-@_-"/>
    <numFmt numFmtId="168" formatCode="_(* #,##0_);_(* \(#,##0\);_(* &quot;-&quot;??_);_(@_)"/>
    <numFmt numFmtId="169" formatCode="_(* #,##0.0_);_(* \(#,##0.0\);_(* &quot;-&quot;??_);_(@_)"/>
    <numFmt numFmtId="170" formatCode="_(* #,##0.000_);_(* \(#,##0.000\);_(* &quot;-&quot;??_);_(@_)"/>
    <numFmt numFmtId="171" formatCode="_(* #,##0.0000_);_(* \(#,##0.0000\);_(* &quot;-&quot;??_);_(@_)"/>
    <numFmt numFmtId="172" formatCode="_(* #,##0.00000_);_(* \(#,##0.00000\);_(* &quot;-&quot;??_);_(@_)"/>
    <numFmt numFmtId="173" formatCode="_(* #,##0.0_);_(* \(#,##0.0\);_(* &quot;-&quot;?_);_(@_)"/>
    <numFmt numFmtId="174" formatCode="\$#,##0\ ;\(\$#,##0\)"/>
    <numFmt numFmtId="175" formatCode="_-* #,##0.00\ _k_r_-;\-* #,##0.00\ _k_r_-;_-* &quot;-&quot;??\ _k_r_-;_-@_-"/>
    <numFmt numFmtId="176" formatCode="_ * #,##0_ ;_ * \-#,##0_ ;_ * &quot;-&quot;_ ;_ @_ "/>
    <numFmt numFmtId="177" formatCode="_ * #,##0.00_ ;_ * \-#,##0.00_ ;_ * &quot;-&quot;??_ ;_ @_ "/>
    <numFmt numFmtId="178" formatCode="_ &quot;\&quot;* #,##0_ ;_ &quot;\&quot;* \-#,##0_ ;_ &quot;\&quot;* &quot;-&quot;_ ;_ @_ "/>
    <numFmt numFmtId="179" formatCode="_ &quot;\&quot;* #,##0.00_ ;_ &quot;\&quot;* \-#,##0.00_ ;_ &quot;\&quot;* &quot;-&quot;??_ ;_ @_ "/>
    <numFmt numFmtId="180" formatCode="_(* #,##0.00_);_(* \(#,##0.00\);_(* \-??_);_(@_)"/>
    <numFmt numFmtId="181" formatCode="0.0%"/>
    <numFmt numFmtId="182" formatCode="#,##0.#;\-#,##0.#"/>
    <numFmt numFmtId="183" formatCode="#,##0.000"/>
    <numFmt numFmtId="184" formatCode="_-* #,##0\ _₫_-;\-* #,##0\ _₫_-;_-* &quot;-&quot;??\ _₫_-;_-@_-"/>
    <numFmt numFmtId="185" formatCode="_-* #,##0_-;\-* #,##0_-;_-* &quot;-&quot;??_-;_-@_-"/>
    <numFmt numFmtId="186" formatCode="#,##0;[Red]#,##0"/>
    <numFmt numFmtId="187" formatCode="_-* #,##0.0000\ _₫_-;\-* #,##0.0000\ _₫_-;_-* &quot;-&quot;??\ _₫_-;_-@_-"/>
    <numFmt numFmtId="188" formatCode="_(* #,##0_);* \-#,###;_(* &quot;-&quot;??_);_(@_)"/>
    <numFmt numFmtId="189" formatCode="#"/>
    <numFmt numFmtId="190" formatCode="#,##0.000%"/>
    <numFmt numFmtId="191" formatCode="0.000%"/>
    <numFmt numFmtId="192" formatCode="0.000"/>
    <numFmt numFmtId="193" formatCode="0.0000%"/>
    <numFmt numFmtId="194" formatCode="0.00000"/>
    <numFmt numFmtId="195" formatCode="#,##0;#,##0"/>
    <numFmt numFmtId="196" formatCode="#,##0.00;[Red]#,##0.00"/>
    <numFmt numFmtId="197" formatCode="_ &quot;$&quot;\ * #,##0_ ;_ &quot;$&quot;\ * \-#,##0_ ;_ &quot;$&quot;\ * &quot;-&quot;_ ;_ @_ "/>
    <numFmt numFmtId="198" formatCode="_(* #,##0.000000000_);_(* \(#,##0.000000000\);_(* &quot;-&quot;??_);_(@_)"/>
  </numFmts>
  <fonts count="220">
    <font>
      <sz val="10"/>
      <name val="VNI-Apti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VNI-Aptima"/>
    </font>
    <font>
      <sz val="8"/>
      <name val="VNI-Aptima"/>
    </font>
    <font>
      <sz val="10"/>
      <name val="Arial"/>
      <family val="2"/>
    </font>
    <font>
      <b/>
      <sz val="10"/>
      <name val="VNI-Aptima"/>
    </font>
    <font>
      <i/>
      <sz val="10"/>
      <name val="VNI-Aptima"/>
    </font>
    <font>
      <sz val="10"/>
      <color indexed="10"/>
      <name val="VNI-Aptima"/>
    </font>
    <font>
      <b/>
      <sz val="10"/>
      <color indexed="10"/>
      <name val="VNI-Aptima"/>
    </font>
    <font>
      <b/>
      <sz val="10"/>
      <color indexed="11"/>
      <name val="VNI-Aptima"/>
    </font>
    <font>
      <sz val="10"/>
      <color indexed="11"/>
      <name val="VNI-Aptima"/>
    </font>
    <font>
      <sz val="10"/>
      <name val="VNI-Aptima"/>
    </font>
    <font>
      <u/>
      <sz val="10"/>
      <color indexed="12"/>
      <name val="VNI-Aptima"/>
    </font>
    <font>
      <sz val="8"/>
      <color indexed="81"/>
      <name val="Tahoma"/>
      <family val="2"/>
    </font>
    <font>
      <sz val="10"/>
      <color indexed="81"/>
      <name val="VNI-Aptima"/>
    </font>
    <font>
      <vertAlign val="subscript"/>
      <sz val="10"/>
      <color indexed="11"/>
      <name val="VNI-Aptima"/>
    </font>
    <font>
      <b/>
      <sz val="8"/>
      <color indexed="81"/>
      <name val="Tahoma"/>
      <family val="2"/>
    </font>
    <font>
      <i/>
      <sz val="10"/>
      <name val="VNI-Helve-Condense"/>
    </font>
    <font>
      <b/>
      <sz val="10"/>
      <color indexed="12"/>
      <name val="VNI-Aptima"/>
    </font>
    <font>
      <sz val="10"/>
      <color indexed="12"/>
      <name val="VNI-Aptima"/>
    </font>
    <font>
      <sz val="10"/>
      <name val="VNI-Helve-Condense"/>
    </font>
    <font>
      <sz val="12"/>
      <name val="VNI-Helve-Condense"/>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8"/>
      <name val="Arial"/>
      <family val="2"/>
    </font>
    <font>
      <b/>
      <sz val="12"/>
      <name val="Arial"/>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0"/>
      <name val="Helv"/>
      <family val="2"/>
    </font>
    <font>
      <sz val="10"/>
      <name val="Arial"/>
      <family val="2"/>
    </font>
    <font>
      <sz val="11"/>
      <name val="VNI-Avo"/>
    </font>
    <font>
      <sz val="10"/>
      <name val="VNI-Times"/>
    </font>
    <font>
      <sz val="12"/>
      <name val="Times New Roman"/>
      <family val="1"/>
      <charset val="163"/>
    </font>
    <font>
      <sz val="12"/>
      <name val="新細明體"/>
      <family val="1"/>
      <charset val="136"/>
    </font>
    <font>
      <u/>
      <sz val="10"/>
      <color indexed="12"/>
      <name val="Arial"/>
      <family val="2"/>
      <charset val="163"/>
    </font>
    <font>
      <b/>
      <sz val="12"/>
      <name val="Times New Roman"/>
      <family val="1"/>
      <charset val="163"/>
    </font>
    <font>
      <sz val="10"/>
      <name val="Arial"/>
      <family val="2"/>
      <charset val="163"/>
    </font>
    <font>
      <i/>
      <sz val="14"/>
      <name val="Times New Roman"/>
      <family val="1"/>
      <charset val="163"/>
    </font>
    <font>
      <sz val="9"/>
      <color indexed="81"/>
      <name val="Tahoma"/>
      <family val="2"/>
      <charset val="163"/>
    </font>
    <font>
      <b/>
      <sz val="9"/>
      <color indexed="81"/>
      <name val="Tahoma"/>
      <family val="2"/>
      <charset val="163"/>
    </font>
    <font>
      <sz val="10"/>
      <name val="Segoe UI"/>
      <family val="2"/>
      <charset val="163"/>
    </font>
    <font>
      <sz val="11"/>
      <name val="Segoe UI"/>
      <family val="2"/>
      <charset val="163"/>
    </font>
    <font>
      <b/>
      <sz val="16"/>
      <name val="Segoe UI"/>
      <family val="2"/>
      <charset val="163"/>
    </font>
    <font>
      <b/>
      <sz val="12"/>
      <name val="Segoe UI"/>
      <family val="2"/>
      <charset val="163"/>
    </font>
    <font>
      <sz val="12"/>
      <name val="Segoe UI"/>
      <family val="2"/>
      <charset val="163"/>
    </font>
    <font>
      <b/>
      <sz val="14"/>
      <name val="Segoe UI"/>
      <family val="2"/>
      <charset val="163"/>
    </font>
    <font>
      <b/>
      <i/>
      <sz val="12"/>
      <name val="Segoe UI"/>
      <family val="2"/>
      <charset val="163"/>
    </font>
    <font>
      <b/>
      <sz val="10"/>
      <name val="Segoe UI"/>
      <family val="2"/>
      <charset val="163"/>
    </font>
    <font>
      <i/>
      <sz val="10"/>
      <name val="Segoe UI"/>
      <family val="2"/>
      <charset val="163"/>
    </font>
    <font>
      <b/>
      <sz val="18"/>
      <name val="Segoe UI"/>
      <family val="2"/>
      <charset val="163"/>
    </font>
    <font>
      <b/>
      <u/>
      <sz val="10"/>
      <name val="Segoe UI"/>
      <family val="2"/>
      <charset val="163"/>
    </font>
    <font>
      <b/>
      <sz val="26"/>
      <name val="Segoe UI"/>
      <family val="2"/>
      <charset val="163"/>
    </font>
    <font>
      <b/>
      <sz val="10"/>
      <color indexed="12"/>
      <name val="Segoe UI"/>
      <family val="2"/>
      <charset val="163"/>
    </font>
    <font>
      <sz val="10"/>
      <color indexed="12"/>
      <name val="Segoe UI"/>
      <family val="2"/>
      <charset val="163"/>
    </font>
    <font>
      <sz val="10"/>
      <color indexed="9"/>
      <name val="Segoe UI"/>
      <family val="2"/>
      <charset val="163"/>
    </font>
    <font>
      <sz val="14"/>
      <name val="Segoe UI"/>
      <family val="2"/>
      <charset val="163"/>
    </font>
    <font>
      <vertAlign val="subscript"/>
      <sz val="14"/>
      <name val="Segoe UI"/>
      <family val="2"/>
      <charset val="163"/>
    </font>
    <font>
      <vertAlign val="subscript"/>
      <sz val="10"/>
      <name val="Segoe UI"/>
      <family val="2"/>
      <charset val="163"/>
    </font>
    <font>
      <b/>
      <vertAlign val="subscript"/>
      <sz val="10"/>
      <name val="Segoe UI"/>
      <family val="2"/>
      <charset val="163"/>
    </font>
    <font>
      <sz val="10"/>
      <color indexed="20"/>
      <name val="Segoe UI"/>
      <family val="2"/>
      <charset val="163"/>
    </font>
    <font>
      <sz val="12"/>
      <color indexed="12"/>
      <name val="Segoe UI"/>
      <family val="2"/>
      <charset val="163"/>
    </font>
    <font>
      <b/>
      <sz val="12"/>
      <color indexed="12"/>
      <name val="Segoe UI"/>
      <family val="2"/>
      <charset val="163"/>
    </font>
    <font>
      <sz val="10"/>
      <color indexed="10"/>
      <name val="Segoe UI"/>
      <family val="2"/>
      <charset val="163"/>
    </font>
    <font>
      <sz val="12"/>
      <color indexed="10"/>
      <name val="Segoe UI"/>
      <family val="2"/>
      <charset val="163"/>
    </font>
    <font>
      <sz val="18"/>
      <name val="Segoe UI"/>
      <family val="2"/>
      <charset val="163"/>
    </font>
    <font>
      <b/>
      <sz val="9"/>
      <name val="Segoe UI"/>
      <family val="2"/>
      <charset val="163"/>
    </font>
    <font>
      <b/>
      <u/>
      <sz val="10"/>
      <color indexed="12"/>
      <name val="Segoe UI"/>
      <family val="2"/>
      <charset val="163"/>
    </font>
    <font>
      <b/>
      <vertAlign val="subscript"/>
      <sz val="10"/>
      <color indexed="12"/>
      <name val="Segoe UI"/>
      <family val="2"/>
      <charset val="163"/>
    </font>
    <font>
      <u/>
      <sz val="10"/>
      <name val="Segoe UI"/>
      <family val="2"/>
      <charset val="163"/>
    </font>
    <font>
      <i/>
      <u/>
      <sz val="10"/>
      <name val="Segoe UI"/>
      <family val="2"/>
      <charset val="163"/>
    </font>
    <font>
      <b/>
      <i/>
      <sz val="10"/>
      <name val="Segoe UI"/>
      <family val="2"/>
      <charset val="163"/>
    </font>
    <font>
      <i/>
      <vertAlign val="subscript"/>
      <sz val="10"/>
      <name val="Segoe UI"/>
      <family val="2"/>
      <charset val="163"/>
    </font>
    <font>
      <vertAlign val="subscript"/>
      <sz val="10"/>
      <color indexed="12"/>
      <name val="Segoe UI"/>
      <family val="2"/>
      <charset val="163"/>
    </font>
    <font>
      <b/>
      <i/>
      <vertAlign val="subscript"/>
      <sz val="10"/>
      <name val="Segoe UI"/>
      <family val="2"/>
      <charset val="163"/>
    </font>
    <font>
      <b/>
      <sz val="22"/>
      <name val="Segoe UI"/>
      <family val="2"/>
      <charset val="163"/>
    </font>
    <font>
      <b/>
      <sz val="10"/>
      <name val="Segoe UI"/>
      <family val="2"/>
    </font>
    <font>
      <sz val="10"/>
      <name val="Arial"/>
      <family val="2"/>
      <charset val="163"/>
    </font>
    <font>
      <sz val="10"/>
      <name val="MS Sans Serif"/>
      <family val="2"/>
    </font>
    <font>
      <sz val="13"/>
      <name val="Segoe UI"/>
      <family val="2"/>
      <charset val="163"/>
    </font>
    <font>
      <b/>
      <sz val="25"/>
      <name val="Segoe UI"/>
      <family val="2"/>
      <charset val="163"/>
    </font>
    <font>
      <sz val="10"/>
      <name val="Symbol"/>
      <family val="1"/>
      <charset val="2"/>
    </font>
    <font>
      <sz val="10"/>
      <name val="Times New Roman"/>
      <family val="1"/>
    </font>
    <font>
      <b/>
      <sz val="10"/>
      <name val="Times New Roman"/>
      <family val="1"/>
    </font>
    <font>
      <b/>
      <sz val="20"/>
      <name val="Times New Roman"/>
      <family val="1"/>
    </font>
    <font>
      <b/>
      <sz val="16"/>
      <name val="Times New Roman"/>
      <family val="1"/>
    </font>
    <font>
      <sz val="8.25"/>
      <name val="Microsoft Sans Serif"/>
      <family val="2"/>
    </font>
    <font>
      <sz val="11"/>
      <name val="Arial Narrow"/>
      <family val="2"/>
    </font>
    <font>
      <sz val="11"/>
      <name val="Microsoft Sans Serif"/>
      <family val="2"/>
    </font>
    <font>
      <b/>
      <sz val="13"/>
      <name val="Times New Roman"/>
      <family val="1"/>
    </font>
    <font>
      <sz val="13"/>
      <name val="Microsoft Sans Serif"/>
      <family val="2"/>
    </font>
    <font>
      <sz val="11"/>
      <name val="Times New Roman"/>
      <family val="1"/>
    </font>
    <font>
      <sz val="13"/>
      <name val="Times New Roman"/>
      <family val="1"/>
    </font>
    <font>
      <b/>
      <sz val="18"/>
      <name val="Times New Roman"/>
      <family val="1"/>
    </font>
    <font>
      <b/>
      <sz val="11"/>
      <name val="Times New Roman"/>
      <family val="1"/>
    </font>
    <font>
      <b/>
      <sz val="12"/>
      <name val="Times New Roman"/>
      <family val="1"/>
    </font>
    <font>
      <sz val="12"/>
      <name val="Times New Roman"/>
      <family val="1"/>
    </font>
    <font>
      <i/>
      <sz val="12"/>
      <name val="Times New Roman"/>
      <family val="1"/>
    </font>
    <font>
      <b/>
      <sz val="9"/>
      <color indexed="81"/>
      <name val="Tahoma"/>
      <family val="2"/>
    </font>
    <font>
      <sz val="9"/>
      <color indexed="81"/>
      <name val="Tahoma"/>
      <family val="2"/>
    </font>
    <font>
      <sz val="12"/>
      <name val="VNI-Times"/>
    </font>
    <font>
      <b/>
      <sz val="14"/>
      <name val="Times New Roman"/>
      <family val="1"/>
    </font>
    <font>
      <sz val="11"/>
      <name val="Calibri"/>
      <family val="2"/>
    </font>
    <font>
      <sz val="10"/>
      <name val="VNI-Helve"/>
    </font>
    <font>
      <sz val="11"/>
      <name val="VNI-Helve-Condense"/>
    </font>
    <font>
      <b/>
      <sz val="11"/>
      <name val="Calibri"/>
      <family val="2"/>
      <charset val="163"/>
    </font>
    <font>
      <sz val="11"/>
      <color theme="1"/>
      <name val="Calibri"/>
      <family val="2"/>
      <scheme val="minor"/>
    </font>
    <font>
      <u/>
      <sz val="10"/>
      <color theme="10"/>
      <name val="Arial"/>
      <family val="2"/>
    </font>
    <font>
      <u/>
      <sz val="11"/>
      <color theme="10"/>
      <name val="Calibri"/>
      <family val="2"/>
      <scheme val="minor"/>
    </font>
    <font>
      <sz val="11"/>
      <color theme="1"/>
      <name val="Calibri"/>
      <family val="2"/>
      <charset val="163"/>
      <scheme val="minor"/>
    </font>
    <font>
      <b/>
      <sz val="10"/>
      <color rgb="FF0000FF"/>
      <name val="Segoe UI"/>
      <family val="2"/>
      <charset val="163"/>
    </font>
    <font>
      <b/>
      <sz val="12"/>
      <color theme="0"/>
      <name val="Segoe UI"/>
      <family val="2"/>
      <charset val="163"/>
    </font>
    <font>
      <sz val="12"/>
      <color rgb="FFFF0000"/>
      <name val="Segoe UI"/>
      <family val="2"/>
      <charset val="163"/>
    </font>
    <font>
      <b/>
      <sz val="12"/>
      <color rgb="FFFF0000"/>
      <name val="Segoe UI"/>
      <family val="2"/>
      <charset val="163"/>
    </font>
    <font>
      <sz val="12"/>
      <color theme="1"/>
      <name val="Segoe UI"/>
      <family val="2"/>
      <charset val="163"/>
    </font>
    <font>
      <b/>
      <sz val="12"/>
      <color theme="1"/>
      <name val="Segoe UI"/>
      <family val="2"/>
      <charset val="163"/>
    </font>
    <font>
      <sz val="13"/>
      <color theme="1"/>
      <name val="Segoe UI"/>
      <family val="2"/>
      <charset val="163"/>
    </font>
    <font>
      <sz val="10"/>
      <color rgb="FF0000FF"/>
      <name val="Segoe UI"/>
      <family val="2"/>
      <charset val="163"/>
    </font>
    <font>
      <sz val="10"/>
      <color rgb="FFFF0000"/>
      <name val="Segoe UI"/>
      <family val="2"/>
      <charset val="163"/>
    </font>
    <font>
      <sz val="8.25"/>
      <color theme="0"/>
      <name val="Microsoft Sans Serif"/>
      <family val="2"/>
    </font>
    <font>
      <sz val="13"/>
      <color theme="0"/>
      <name val="Microsoft Sans Serif"/>
      <family val="2"/>
    </font>
    <font>
      <sz val="13"/>
      <color theme="0"/>
      <name val="Times New Roman"/>
      <family val="1"/>
    </font>
    <font>
      <sz val="11"/>
      <color rgb="FFFF0000"/>
      <name val="Times New Roman"/>
      <family val="1"/>
    </font>
    <font>
      <sz val="13"/>
      <color rgb="FFFF0000"/>
      <name val="Times New Roman"/>
      <family val="1"/>
    </font>
    <font>
      <sz val="8.25"/>
      <color rgb="FFFF0000"/>
      <name val="Microsoft Sans Serif"/>
      <family val="2"/>
    </font>
    <font>
      <u/>
      <sz val="11"/>
      <name val="Calibri"/>
      <family val="2"/>
      <scheme val="minor"/>
    </font>
    <font>
      <sz val="11"/>
      <color rgb="FFFF0000"/>
      <name val="Calibri"/>
      <family val="2"/>
    </font>
    <font>
      <sz val="10"/>
      <color rgb="FF0070C0"/>
      <name val="Segoe UI"/>
      <family val="2"/>
      <charset val="163"/>
    </font>
    <font>
      <sz val="11"/>
      <color rgb="FF000000"/>
      <name val="Calibri"/>
      <family val="2"/>
    </font>
    <font>
      <b/>
      <sz val="10.5"/>
      <name val="Times New Roman"/>
      <family val="1"/>
    </font>
    <font>
      <sz val="13"/>
      <name val="Times New Roman"/>
      <family val="1"/>
      <charset val="163"/>
    </font>
    <font>
      <sz val="10"/>
      <name val="Times New Roman"/>
      <family val="1"/>
      <charset val="163"/>
    </font>
    <font>
      <sz val="11"/>
      <name val="TimesNewRomanPSMT"/>
    </font>
    <font>
      <sz val="12"/>
      <color rgb="FFFF0000"/>
      <name val="Times New Roman"/>
      <family val="1"/>
    </font>
    <font>
      <b/>
      <sz val="12"/>
      <color rgb="FFFF0000"/>
      <name val="Times New Roman"/>
      <family val="1"/>
    </font>
    <font>
      <u/>
      <sz val="10"/>
      <color indexed="12"/>
      <name val="Arial"/>
      <family val="2"/>
    </font>
    <font>
      <b/>
      <i/>
      <sz val="12"/>
      <name val="Times New Roman"/>
      <family val="1"/>
    </font>
    <font>
      <b/>
      <sz val="13"/>
      <name val="Times New Roman"/>
      <family val="1"/>
      <charset val="163"/>
    </font>
    <font>
      <sz val="7"/>
      <name val="Times New Roman"/>
      <family val="1"/>
      <charset val="163"/>
    </font>
    <font>
      <i/>
      <sz val="13"/>
      <name val="Times New Roman"/>
      <family val="1"/>
      <charset val="163"/>
    </font>
    <font>
      <b/>
      <sz val="13"/>
      <name val="Arial"/>
      <family val="2"/>
    </font>
    <font>
      <sz val="13"/>
      <name val="Arial"/>
      <family val="2"/>
    </font>
    <font>
      <sz val="13"/>
      <color theme="1"/>
      <name val="Calibri"/>
      <family val="2"/>
      <scheme val="minor"/>
    </font>
    <font>
      <b/>
      <sz val="11"/>
      <color theme="1"/>
      <name val="Calibri"/>
      <family val="2"/>
      <scheme val="minor"/>
    </font>
    <font>
      <sz val="11"/>
      <name val="Calibri"/>
      <family val="2"/>
      <scheme val="minor"/>
    </font>
    <font>
      <sz val="10"/>
      <color rgb="FF000000"/>
      <name val="Arial"/>
      <family val="2"/>
    </font>
    <font>
      <sz val="11"/>
      <name val="Times New Roman"/>
      <family val="1"/>
      <charset val="163"/>
    </font>
    <font>
      <sz val="12"/>
      <name val="Calibri"/>
      <family val="2"/>
      <charset val="163"/>
      <scheme val="minor"/>
    </font>
    <font>
      <b/>
      <sz val="12"/>
      <name val="Calibri"/>
      <family val="2"/>
      <charset val="163"/>
      <scheme val="minor"/>
    </font>
    <font>
      <sz val="7"/>
      <name val="Times New Roman"/>
      <family val="1"/>
    </font>
    <font>
      <i/>
      <sz val="13"/>
      <name val="Times New Roman"/>
      <family val="1"/>
    </font>
    <font>
      <sz val="13"/>
      <name val="Calibri"/>
      <family val="2"/>
      <scheme val="minor"/>
    </font>
    <font>
      <b/>
      <sz val="11"/>
      <name val="Calibri"/>
      <family val="2"/>
      <scheme val="minor"/>
    </font>
    <font>
      <sz val="12"/>
      <color theme="1"/>
      <name val="Times New Roman"/>
      <family val="2"/>
    </font>
    <font>
      <sz val="10"/>
      <name val="VNvogue"/>
      <family val="2"/>
    </font>
    <font>
      <b/>
      <sz val="11"/>
      <color theme="1"/>
      <name val="Times New Roman"/>
      <family val="1"/>
    </font>
    <font>
      <sz val="11"/>
      <color theme="1"/>
      <name val="Times New Roman"/>
      <family val="1"/>
    </font>
    <font>
      <b/>
      <sz val="11"/>
      <color indexed="10"/>
      <name val="Times New Roman"/>
      <family val="1"/>
    </font>
    <font>
      <sz val="11"/>
      <color indexed="8"/>
      <name val="Times New Roman"/>
      <family val="1"/>
    </font>
    <font>
      <b/>
      <sz val="16"/>
      <color theme="1"/>
      <name val="Times New Roman"/>
      <family val="1"/>
    </font>
    <font>
      <b/>
      <sz val="36"/>
      <name val="Times New Roman"/>
      <family val="1"/>
    </font>
    <font>
      <sz val="24"/>
      <name val="Times New Roman"/>
      <family val="1"/>
    </font>
    <font>
      <sz val="16"/>
      <name val="Times New Roman"/>
      <family val="1"/>
    </font>
    <font>
      <sz val="8"/>
      <name val="Times New Roman"/>
      <family val="1"/>
    </font>
    <font>
      <b/>
      <sz val="26"/>
      <name val="Times New Roman"/>
      <family val="1"/>
    </font>
    <font>
      <b/>
      <sz val="12"/>
      <color rgb="FF0000FF"/>
      <name val="Times New Roman"/>
      <family val="1"/>
    </font>
    <font>
      <b/>
      <i/>
      <u/>
      <sz val="12"/>
      <name val="Times New Roman"/>
      <family val="1"/>
    </font>
    <font>
      <i/>
      <u/>
      <sz val="12"/>
      <name val="Times New Roman"/>
      <family val="1"/>
    </font>
    <font>
      <b/>
      <sz val="15"/>
      <color theme="1"/>
      <name val="Times New Roman"/>
      <family val="1"/>
    </font>
    <font>
      <b/>
      <sz val="15"/>
      <color rgb="FF000000"/>
      <name val="Times New Roman"/>
      <family val="1"/>
    </font>
    <font>
      <b/>
      <sz val="12"/>
      <color rgb="FF000000"/>
      <name val="Times New Roman"/>
      <family val="1"/>
    </font>
    <font>
      <sz val="11"/>
      <color rgb="FF000000"/>
      <name val="Times New Roman"/>
      <family val="1"/>
    </font>
    <font>
      <i/>
      <sz val="11"/>
      <color rgb="FF000000"/>
      <name val="Times New Roman"/>
      <family val="1"/>
    </font>
    <font>
      <b/>
      <sz val="11"/>
      <color rgb="FF000000"/>
      <name val="Times New Roman"/>
      <family val="1"/>
    </font>
    <font>
      <b/>
      <i/>
      <sz val="11"/>
      <color rgb="FF000000"/>
      <name val="Times New Roman"/>
      <family val="1"/>
    </font>
    <font>
      <b/>
      <sz val="11"/>
      <color rgb="FF7030A0"/>
      <name val="Times New Roman"/>
      <family val="1"/>
    </font>
    <font>
      <b/>
      <vertAlign val="subscript"/>
      <sz val="11"/>
      <color rgb="FF000000"/>
      <name val="Times New Roman"/>
      <family val="1"/>
    </font>
    <font>
      <vertAlign val="subscript"/>
      <sz val="12"/>
      <name val="Times New Roman"/>
      <family val="1"/>
    </font>
    <font>
      <vertAlign val="subscript"/>
      <sz val="11"/>
      <color rgb="FF000000"/>
      <name val="Times New Roman"/>
      <family val="1"/>
    </font>
    <font>
      <b/>
      <sz val="11"/>
      <color rgb="FF0000FF"/>
      <name val="Times New Roman"/>
      <family val="1"/>
    </font>
    <font>
      <b/>
      <sz val="15"/>
      <color indexed="81"/>
      <name val="Tahoma"/>
      <family val="2"/>
    </font>
    <font>
      <sz val="15"/>
      <color indexed="81"/>
      <name val="Tahoma"/>
      <family val="2"/>
    </font>
    <font>
      <b/>
      <sz val="10"/>
      <color indexed="81"/>
      <name val="Tahoma"/>
      <family val="2"/>
    </font>
    <font>
      <sz val="10"/>
      <color indexed="8"/>
      <name val="Arial"/>
      <family val="2"/>
    </font>
    <font>
      <sz val="10"/>
      <color indexed="8"/>
      <name val="Times New Roman"/>
      <family val="1"/>
    </font>
    <font>
      <b/>
      <sz val="11"/>
      <color indexed="8"/>
      <name val="Times New Roman"/>
      <family val="1"/>
    </font>
    <font>
      <b/>
      <sz val="12"/>
      <color theme="1"/>
      <name val="Times New Roman"/>
      <family val="1"/>
    </font>
    <font>
      <sz val="12"/>
      <color theme="1"/>
      <name val="Times New Roman"/>
      <family val="1"/>
    </font>
    <font>
      <sz val="12"/>
      <color indexed="8"/>
      <name val="Times New Roman"/>
      <family val="1"/>
    </font>
    <font>
      <sz val="10"/>
      <name val="Arial"/>
      <family val="2"/>
      <charset val="1"/>
    </font>
    <font>
      <sz val="12"/>
      <color indexed="8"/>
      <name val="Times New Roman"/>
      <family val="2"/>
      <charset val="163"/>
    </font>
    <font>
      <b/>
      <u/>
      <sz val="11"/>
      <color indexed="8"/>
      <name val="Times New Roman"/>
      <family val="1"/>
    </font>
    <font>
      <b/>
      <u/>
      <sz val="11"/>
      <name val="Times New Roman"/>
      <family val="1"/>
    </font>
    <font>
      <b/>
      <sz val="10"/>
      <color rgb="FF000000"/>
      <name val="Times New Roman"/>
      <family val="1"/>
    </font>
    <font>
      <b/>
      <sz val="11"/>
      <color rgb="FFFF0000"/>
      <name val="Times New Roman"/>
      <family val="1"/>
    </font>
    <font>
      <b/>
      <i/>
      <sz val="11"/>
      <name val="Times New Roman"/>
      <family val="1"/>
    </font>
    <font>
      <b/>
      <i/>
      <sz val="11"/>
      <color theme="1"/>
      <name val="Times New Roman"/>
      <family val="1"/>
    </font>
    <font>
      <i/>
      <sz val="11"/>
      <name val="Times New Roman"/>
      <family val="1"/>
    </font>
    <font>
      <b/>
      <u/>
      <sz val="12"/>
      <name val="Times New Roman"/>
      <family val="1"/>
    </font>
    <font>
      <sz val="10"/>
      <color rgb="FFFF0000"/>
      <name val="Times New Roman"/>
      <family val="1"/>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8"/>
        <bgColor indexed="64"/>
      </patternFill>
    </fill>
    <fill>
      <patternFill patternType="solid">
        <fgColor indexed="44"/>
        <bgColor indexed="64"/>
      </patternFill>
    </fill>
    <fill>
      <patternFill patternType="solid">
        <fgColor indexed="11"/>
        <bgColor indexed="64"/>
      </patternFill>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
      <patternFill patternType="solid">
        <fgColor rgb="FFFFC0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0"/>
        <bgColor indexed="9"/>
      </patternFill>
    </fill>
    <fill>
      <patternFill patternType="solid">
        <fgColor theme="5" tint="0.79998168889431442"/>
        <bgColor indexed="64"/>
      </patternFill>
    </fill>
    <fill>
      <patternFill patternType="solid">
        <fgColor theme="0"/>
        <bgColor indexed="57"/>
      </patternFill>
    </fill>
    <fill>
      <patternFill patternType="solid">
        <fgColor theme="7" tint="0.79998168889431442"/>
        <bgColor indexed="64"/>
      </patternFill>
    </fill>
    <fill>
      <patternFill patternType="solid">
        <fgColor theme="8" tint="0.79998168889431442"/>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8"/>
      </left>
      <right style="hair">
        <color indexed="8"/>
      </right>
      <top style="medium">
        <color indexed="8"/>
      </top>
      <bottom style="thin">
        <color indexed="8"/>
      </bottom>
      <diagonal/>
    </border>
    <border>
      <left style="hair">
        <color indexed="8"/>
      </left>
      <right style="hair">
        <color indexed="8"/>
      </right>
      <top style="medium">
        <color indexed="8"/>
      </top>
      <bottom style="thin">
        <color indexed="8"/>
      </bottom>
      <diagonal/>
    </border>
    <border>
      <left style="hair">
        <color indexed="8"/>
      </left>
      <right/>
      <top style="medium">
        <color indexed="8"/>
      </top>
      <bottom style="thin">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top style="medium">
        <color indexed="64"/>
      </top>
      <bottom/>
      <diagonal/>
    </border>
  </borders>
  <cellStyleXfs count="164">
    <xf numFmtId="0" fontId="0" fillId="0" borderId="0"/>
    <xf numFmtId="0" fontId="49" fillId="0" borderId="0"/>
    <xf numFmtId="0" fontId="49" fillId="0" borderId="0"/>
    <xf numFmtId="0" fontId="49"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31" fillId="20" borderId="1" applyNumberFormat="0" applyAlignment="0" applyProtection="0"/>
    <xf numFmtId="0" fontId="32" fillId="21" borderId="2" applyNumberFormat="0" applyAlignment="0" applyProtection="0"/>
    <xf numFmtId="166" fontId="8" fillId="0" borderId="0" applyFont="0" applyFill="0" applyBorder="0" applyAlignment="0" applyProtection="0"/>
    <xf numFmtId="175" fontId="50" fillId="0" borderId="0" applyFont="0" applyFill="0" applyBorder="0" applyAlignment="0" applyProtection="0"/>
    <xf numFmtId="175" fontId="10" fillId="0" borderId="0" applyFont="0" applyFill="0" applyBorder="0" applyAlignment="0" applyProtection="0"/>
    <xf numFmtId="180" fontId="28" fillId="0" borderId="0" applyFill="0" applyBorder="0" applyAlignment="0" applyProtection="0"/>
    <xf numFmtId="166" fontId="51" fillId="0" borderId="0" applyFont="0" applyFill="0" applyBorder="0" applyAlignment="0" applyProtection="0"/>
    <xf numFmtId="166" fontId="124" fillId="0" borderId="0" applyFont="0" applyFill="0" applyBorder="0" applyAlignment="0" applyProtection="0"/>
    <xf numFmtId="166" fontId="28" fillId="0" borderId="0" applyFont="0" applyFill="0" applyBorder="0" applyAlignment="0" applyProtection="0"/>
    <xf numFmtId="166" fontId="57" fillId="0" borderId="0" applyFont="0" applyFill="0" applyBorder="0" applyAlignment="0" applyProtection="0"/>
    <xf numFmtId="167" fontId="10" fillId="0" borderId="0" applyFont="0" applyFill="0" applyBorder="0" applyAlignment="0" applyProtection="0"/>
    <xf numFmtId="166" fontId="8" fillId="0" borderId="0" applyFont="0" applyFill="0" applyBorder="0" applyAlignment="0" applyProtection="0"/>
    <xf numFmtId="3" fontId="33" fillId="0" borderId="0" applyFont="0" applyFill="0" applyBorder="0" applyAlignment="0" applyProtection="0"/>
    <xf numFmtId="3" fontId="10" fillId="0" borderId="0" applyFont="0" applyFill="0" applyBorder="0" applyAlignment="0" applyProtection="0"/>
    <xf numFmtId="165" fontId="126" fillId="0" borderId="0" applyFont="0" applyFill="0" applyBorder="0" applyAlignment="0" applyProtection="0"/>
    <xf numFmtId="174" fontId="33" fillId="0" borderId="0" applyFont="0" applyFill="0" applyBorder="0" applyAlignment="0" applyProtection="0"/>
    <xf numFmtId="174" fontId="10" fillId="0" borderId="0" applyFont="0" applyFill="0" applyBorder="0" applyAlignment="0" applyProtection="0"/>
    <xf numFmtId="0" fontId="33" fillId="0" borderId="0" applyFont="0" applyFill="0" applyBorder="0" applyAlignment="0" applyProtection="0"/>
    <xf numFmtId="0" fontId="10" fillId="0" borderId="0" applyFont="0" applyFill="0" applyBorder="0" applyAlignment="0" applyProtection="0"/>
    <xf numFmtId="0" fontId="52" fillId="0" borderId="0"/>
    <xf numFmtId="0" fontId="57" fillId="0" borderId="0">
      <alignment vertical="top"/>
    </xf>
    <xf numFmtId="0" fontId="34" fillId="0" borderId="0" applyNumberFormat="0" applyFill="0" applyBorder="0" applyAlignment="0" applyProtection="0"/>
    <xf numFmtId="2" fontId="33" fillId="0" borderId="0" applyFont="0" applyFill="0" applyBorder="0" applyAlignment="0" applyProtection="0"/>
    <xf numFmtId="2" fontId="10" fillId="0" borderId="0" applyFont="0" applyFill="0" applyBorder="0" applyAlignment="0" applyProtection="0"/>
    <xf numFmtId="0" fontId="35" fillId="4" borderId="0" applyNumberFormat="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3" applyNumberFormat="0" applyFill="0" applyAlignment="0" applyProtection="0"/>
    <xf numFmtId="0" fontId="38" fillId="0" borderId="0" applyNumberFormat="0" applyFill="0" applyBorder="0" applyAlignment="0" applyProtection="0"/>
    <xf numFmtId="0" fontId="18"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27" fillId="0" borderId="0" applyNumberFormat="0" applyFill="0" applyBorder="0" applyAlignment="0" applyProtection="0"/>
    <xf numFmtId="0" fontId="128" fillId="0" borderId="0" applyNumberFormat="0" applyFill="0" applyBorder="0" applyAlignment="0" applyProtection="0"/>
    <xf numFmtId="0" fontId="39" fillId="7" borderId="1" applyNumberFormat="0" applyAlignment="0" applyProtection="0"/>
    <xf numFmtId="0" fontId="27" fillId="0" borderId="0"/>
    <xf numFmtId="0" fontId="51" fillId="0" borderId="0"/>
    <xf numFmtId="0" fontId="10" fillId="0" borderId="0"/>
    <xf numFmtId="0" fontId="10" fillId="0" borderId="0"/>
    <xf numFmtId="0" fontId="40" fillId="0" borderId="4" applyNumberFormat="0" applyFill="0" applyAlignment="0" applyProtection="0"/>
    <xf numFmtId="0" fontId="41" fillId="22" borderId="0" applyNumberFormat="0" applyBorder="0" applyAlignment="0" applyProtection="0"/>
    <xf numFmtId="0" fontId="51" fillId="0" borderId="0"/>
    <xf numFmtId="0" fontId="53" fillId="0" borderId="0"/>
    <xf numFmtId="0" fontId="129" fillId="0" borderId="0"/>
    <xf numFmtId="0" fontId="57" fillId="0" borderId="0"/>
    <xf numFmtId="0" fontId="126" fillId="0" borderId="0"/>
    <xf numFmtId="0" fontId="97" fillId="0" borderId="0"/>
    <xf numFmtId="0" fontId="28" fillId="0" borderId="0"/>
    <xf numFmtId="0" fontId="120" fillId="0" borderId="0"/>
    <xf numFmtId="0" fontId="8" fillId="0" borderId="0"/>
    <xf numFmtId="0" fontId="10" fillId="0" borderId="0"/>
    <xf numFmtId="0" fontId="8" fillId="0" borderId="0"/>
    <xf numFmtId="0" fontId="52" fillId="0" borderId="0"/>
    <xf numFmtId="0" fontId="10" fillId="0" borderId="0"/>
    <xf numFmtId="0" fontId="10" fillId="0" borderId="0"/>
    <xf numFmtId="0" fontId="10" fillId="0" borderId="0"/>
    <xf numFmtId="0" fontId="123" fillId="0" borderId="0"/>
    <xf numFmtId="0" fontId="10" fillId="0" borderId="0"/>
    <xf numFmtId="0" fontId="26" fillId="0" borderId="0" applyNumberFormat="0"/>
    <xf numFmtId="0" fontId="10" fillId="23" borderId="5" applyNumberFormat="0" applyFont="0" applyAlignment="0" applyProtection="0"/>
    <xf numFmtId="0" fontId="42" fillId="20" borderId="6" applyNumberFormat="0" applyAlignment="0" applyProtection="0"/>
    <xf numFmtId="9" fontId="8" fillId="0" borderId="0" applyFont="0" applyFill="0" applyBorder="0" applyAlignment="0" applyProtection="0"/>
    <xf numFmtId="9" fontId="10" fillId="0" borderId="0" applyFont="0" applyFill="0" applyBorder="0" applyAlignment="0" applyProtection="0"/>
    <xf numFmtId="0" fontId="49" fillId="0" borderId="0"/>
    <xf numFmtId="0" fontId="98" fillId="0" borderId="0"/>
    <xf numFmtId="0" fontId="43" fillId="0" borderId="0" applyNumberFormat="0" applyFill="0" applyBorder="0" applyAlignment="0" applyProtection="0"/>
    <xf numFmtId="0" fontId="33" fillId="0" borderId="7" applyNumberFormat="0" applyFont="0" applyFill="0" applyAlignment="0" applyProtection="0"/>
    <xf numFmtId="0" fontId="10" fillId="0" borderId="7" applyNumberFormat="0" applyFont="0" applyFill="0" applyAlignment="0" applyProtection="0"/>
    <xf numFmtId="0" fontId="44" fillId="0" borderId="0" applyNumberFormat="0" applyFill="0" applyBorder="0" applyAlignment="0" applyProtection="0"/>
    <xf numFmtId="40" fontId="45" fillId="0" borderId="0" applyFont="0" applyFill="0" applyBorder="0" applyAlignment="0" applyProtection="0"/>
    <xf numFmtId="38" fontId="45"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10" fontId="33" fillId="0" borderId="0" applyFont="0" applyFill="0" applyBorder="0" applyAlignment="0" applyProtection="0"/>
    <xf numFmtId="0" fontId="46" fillId="0" borderId="0"/>
    <xf numFmtId="176" fontId="47" fillId="0" borderId="0" applyFont="0" applyFill="0" applyBorder="0" applyAlignment="0" applyProtection="0"/>
    <xf numFmtId="177" fontId="47" fillId="0" borderId="0" applyFont="0" applyFill="0" applyBorder="0" applyAlignment="0" applyProtection="0"/>
    <xf numFmtId="178" fontId="47" fillId="0" borderId="0" applyFont="0" applyFill="0" applyBorder="0" applyAlignment="0" applyProtection="0"/>
    <xf numFmtId="179" fontId="47" fillId="0" borderId="0" applyFont="0" applyFill="0" applyBorder="0" applyAlignment="0" applyProtection="0"/>
    <xf numFmtId="0" fontId="48" fillId="0" borderId="0"/>
    <xf numFmtId="0" fontId="54" fillId="0" borderId="0"/>
    <xf numFmtId="0" fontId="6" fillId="0" borderId="0"/>
    <xf numFmtId="167" fontId="6" fillId="0" borderId="0" applyFont="0" applyFill="0" applyBorder="0" applyAlignment="0" applyProtection="0"/>
    <xf numFmtId="0" fontId="6" fillId="0" borderId="0"/>
    <xf numFmtId="9" fontId="6" fillId="0" borderId="0" applyFont="0" applyFill="0" applyBorder="0" applyAlignment="0" applyProtection="0"/>
    <xf numFmtId="0" fontId="123" fillId="0" borderId="0"/>
    <xf numFmtId="0" fontId="7" fillId="0" borderId="0"/>
    <xf numFmtId="0" fontId="98" fillId="0" borderId="0">
      <protection locked="0"/>
    </xf>
    <xf numFmtId="0" fontId="98" fillId="0" borderId="0"/>
    <xf numFmtId="0" fontId="148" fillId="0" borderId="0">
      <protection locked="0"/>
    </xf>
    <xf numFmtId="0" fontId="98" fillId="0" borderId="0"/>
    <xf numFmtId="0" fontId="10" fillId="0" borderId="0"/>
    <xf numFmtId="164" fontId="52" fillId="0" borderId="0" applyFont="0" applyFill="0" applyBorder="0" applyAlignment="0" applyProtection="0"/>
    <xf numFmtId="0" fontId="10" fillId="0" borderId="0"/>
    <xf numFmtId="0" fontId="57" fillId="0" borderId="0"/>
    <xf numFmtId="0" fontId="155" fillId="0" borderId="0" applyNumberFormat="0" applyFill="0" applyBorder="0" applyAlignment="0" applyProtection="0">
      <alignment vertical="top"/>
      <protection locked="0"/>
    </xf>
    <xf numFmtId="0" fontId="129" fillId="0" borderId="0"/>
    <xf numFmtId="167" fontId="123" fillId="0" borderId="0" applyFont="0" applyFill="0" applyBorder="0" applyAlignment="0" applyProtection="0"/>
    <xf numFmtId="166" fontId="7" fillId="0" borderId="0">
      <protection locked="0"/>
    </xf>
    <xf numFmtId="0" fontId="129" fillId="0" borderId="0"/>
    <xf numFmtId="0" fontId="165" fillId="0" borderId="0"/>
    <xf numFmtId="167" fontId="5" fillId="0" borderId="0" applyFont="0" applyFill="0" applyBorder="0" applyAlignment="0" applyProtection="0"/>
    <xf numFmtId="0" fontId="5" fillId="0" borderId="0"/>
    <xf numFmtId="9" fontId="5" fillId="0" borderId="0" applyFont="0" applyFill="0" applyBorder="0" applyAlignment="0" applyProtection="0"/>
    <xf numFmtId="0" fontId="4" fillId="0" borderId="0"/>
    <xf numFmtId="167" fontId="129" fillId="0" borderId="0" applyFont="0" applyFill="0" applyBorder="0" applyAlignment="0" applyProtection="0"/>
    <xf numFmtId="0" fontId="173" fillId="0" borderId="0"/>
    <xf numFmtId="167" fontId="4"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166" fontId="173" fillId="0" borderId="0" applyFont="0" applyFill="0" applyBorder="0" applyAlignment="0" applyProtection="0"/>
    <xf numFmtId="9" fontId="173" fillId="0" borderId="0" applyFont="0" applyFill="0" applyBorder="0" applyAlignment="0" applyProtection="0"/>
    <xf numFmtId="166" fontId="8" fillId="0" borderId="0" applyFont="0" applyFill="0" applyBorder="0" applyAlignment="0" applyProtection="0"/>
    <xf numFmtId="0" fontId="3" fillId="0" borderId="0"/>
    <xf numFmtId="167" fontId="3" fillId="0" borderId="0" applyFont="0" applyFill="0" applyBorder="0" applyAlignment="0" applyProtection="0"/>
    <xf numFmtId="0" fontId="3" fillId="0" borderId="0"/>
    <xf numFmtId="9" fontId="3" fillId="0" borderId="0" applyFont="0" applyFill="0" applyBorder="0" applyAlignment="0" applyProtection="0"/>
    <xf numFmtId="0" fontId="174" fillId="0" borderId="0"/>
    <xf numFmtId="0" fontId="10" fillId="0" borderId="0"/>
    <xf numFmtId="0" fontId="10" fillId="0" borderId="0"/>
    <xf numFmtId="0" fontId="2" fillId="0" borderId="0"/>
    <xf numFmtId="166" fontId="2" fillId="0" borderId="0" applyFont="0" applyFill="0" applyBorder="0" applyAlignment="0" applyProtection="0"/>
    <xf numFmtId="0" fontId="2" fillId="0" borderId="0"/>
    <xf numFmtId="0" fontId="8" fillId="0" borderId="0"/>
    <xf numFmtId="0" fontId="120" fillId="0" borderId="0"/>
    <xf numFmtId="0" fontId="203" fillId="0" borderId="0">
      <alignment vertical="top"/>
    </xf>
    <xf numFmtId="0" fontId="209" fillId="0" borderId="0"/>
    <xf numFmtId="167" fontId="210" fillId="0" borderId="0" applyFont="0" applyFill="0" applyBorder="0" applyAlignment="0" applyProtection="0"/>
    <xf numFmtId="0" fontId="10" fillId="0" borderId="0"/>
    <xf numFmtId="166" fontId="203" fillId="0" borderId="0" applyFont="0" applyFill="0" applyBorder="0" applyAlignment="0" applyProtection="0">
      <alignment vertical="top"/>
    </xf>
    <xf numFmtId="0" fontId="10" fillId="0" borderId="0"/>
    <xf numFmtId="0" fontId="10" fillId="0" borderId="0"/>
    <xf numFmtId="0" fontId="1" fillId="0" borderId="0"/>
    <xf numFmtId="166" fontId="10" fillId="0" borderId="0" applyFont="0" applyFill="0" applyBorder="0" applyAlignment="0" applyProtection="0"/>
    <xf numFmtId="0" fontId="8" fillId="0" borderId="0"/>
  </cellStyleXfs>
  <cellXfs count="1742">
    <xf numFmtId="0" fontId="0" fillId="0" borderId="0" xfId="0"/>
    <xf numFmtId="0" fontId="13" fillId="24" borderId="0" xfId="0" applyFont="1" applyFill="1"/>
    <xf numFmtId="0" fontId="11" fillId="0" borderId="0" xfId="0" applyFont="1"/>
    <xf numFmtId="0" fontId="8" fillId="0" borderId="0" xfId="0" applyFont="1"/>
    <xf numFmtId="0" fontId="11" fillId="0" borderId="8" xfId="0" applyFont="1" applyBorder="1" applyAlignment="1">
      <alignment horizontal="center" wrapText="1"/>
    </xf>
    <xf numFmtId="0" fontId="8" fillId="0" borderId="8" xfId="0" applyFont="1" applyBorder="1"/>
    <xf numFmtId="0" fontId="11" fillId="0" borderId="0" xfId="0" applyFont="1" applyAlignment="1">
      <alignment horizontal="center" wrapText="1"/>
    </xf>
    <xf numFmtId="0" fontId="15" fillId="25" borderId="0" xfId="0" applyFont="1" applyFill="1" applyAlignment="1">
      <alignment horizontal="centerContinuous"/>
    </xf>
    <xf numFmtId="0" fontId="16" fillId="25" borderId="0" xfId="0" applyFont="1" applyFill="1" applyAlignment="1">
      <alignment horizontal="centerContinuous"/>
    </xf>
    <xf numFmtId="0" fontId="16" fillId="25" borderId="0" xfId="0" applyFont="1" applyFill="1"/>
    <xf numFmtId="0" fontId="15" fillId="25" borderId="0" xfId="0" applyFont="1" applyFill="1" applyAlignment="1">
      <alignment horizontal="center"/>
    </xf>
    <xf numFmtId="0" fontId="15" fillId="25" borderId="9" xfId="0" applyFont="1" applyFill="1" applyBorder="1" applyAlignment="1">
      <alignment horizontal="center" vertical="top" wrapText="1"/>
    </xf>
    <xf numFmtId="0" fontId="15" fillId="25" borderId="10" xfId="0" applyFont="1" applyFill="1" applyBorder="1" applyAlignment="1">
      <alignment horizontal="center" vertical="top" wrapText="1"/>
    </xf>
    <xf numFmtId="0" fontId="15" fillId="25" borderId="11" xfId="0" applyFont="1" applyFill="1" applyBorder="1" applyAlignment="1">
      <alignment horizontal="center" vertical="top" wrapText="1"/>
    </xf>
    <xf numFmtId="0" fontId="15" fillId="25" borderId="12" xfId="0" applyFont="1" applyFill="1" applyBorder="1" applyAlignment="1">
      <alignment horizontal="center" vertical="top" wrapText="1"/>
    </xf>
    <xf numFmtId="0" fontId="15" fillId="25" borderId="13" xfId="0" applyFont="1" applyFill="1" applyBorder="1" applyAlignment="1">
      <alignment horizontal="center" vertical="top" wrapText="1"/>
    </xf>
    <xf numFmtId="0" fontId="15" fillId="25" borderId="14" xfId="0" applyFont="1" applyFill="1" applyBorder="1" applyAlignment="1">
      <alignment horizontal="center" vertical="top" wrapText="1"/>
    </xf>
    <xf numFmtId="0" fontId="16" fillId="25" borderId="15" xfId="0" applyFont="1" applyFill="1" applyBorder="1" applyAlignment="1">
      <alignment vertical="top" wrapText="1"/>
    </xf>
    <xf numFmtId="0" fontId="16" fillId="25" borderId="16" xfId="0" applyFont="1" applyFill="1" applyBorder="1" applyAlignment="1">
      <alignment vertical="top" wrapText="1"/>
    </xf>
    <xf numFmtId="0" fontId="16" fillId="25" borderId="17" xfId="0" applyFont="1" applyFill="1" applyBorder="1" applyAlignment="1">
      <alignment vertical="top" wrapText="1"/>
    </xf>
    <xf numFmtId="0" fontId="15" fillId="25" borderId="15" xfId="0" applyFont="1" applyFill="1" applyBorder="1" applyAlignment="1">
      <alignment horizontal="center" vertical="top" wrapText="1"/>
    </xf>
    <xf numFmtId="0" fontId="15" fillId="25" borderId="18" xfId="0" applyFont="1" applyFill="1" applyBorder="1" applyAlignment="1">
      <alignment vertical="top" wrapText="1"/>
    </xf>
    <xf numFmtId="0" fontId="15" fillId="25" borderId="19" xfId="0" applyFont="1" applyFill="1" applyBorder="1" applyAlignment="1">
      <alignment vertical="top" wrapText="1"/>
    </xf>
    <xf numFmtId="0" fontId="16" fillId="25" borderId="9" xfId="0" applyFont="1" applyFill="1" applyBorder="1" applyAlignment="1">
      <alignment horizontal="center" wrapText="1"/>
    </xf>
    <xf numFmtId="0" fontId="15" fillId="25" borderId="9" xfId="0" applyFont="1" applyFill="1" applyBorder="1" applyAlignment="1">
      <alignment horizontal="justify" wrapText="1"/>
    </xf>
    <xf numFmtId="0" fontId="16" fillId="25" borderId="14" xfId="0" applyFont="1" applyFill="1" applyBorder="1" applyAlignment="1">
      <alignment wrapText="1"/>
    </xf>
    <xf numFmtId="0" fontId="16" fillId="25" borderId="12" xfId="0" applyFont="1" applyFill="1" applyBorder="1" applyAlignment="1">
      <alignment horizontal="center" wrapText="1"/>
    </xf>
    <xf numFmtId="0" fontId="15" fillId="25" borderId="12" xfId="0" applyFont="1" applyFill="1" applyBorder="1" applyAlignment="1">
      <alignment horizontal="justify" wrapText="1"/>
    </xf>
    <xf numFmtId="0" fontId="16" fillId="25" borderId="17" xfId="0" applyFont="1" applyFill="1" applyBorder="1" applyAlignment="1">
      <alignment wrapText="1"/>
    </xf>
    <xf numFmtId="0" fontId="16" fillId="25" borderId="15" xfId="0" applyFont="1" applyFill="1" applyBorder="1" applyAlignment="1">
      <alignment horizontal="center" wrapText="1"/>
    </xf>
    <xf numFmtId="0" fontId="15" fillId="25" borderId="15" xfId="0" applyFont="1" applyFill="1" applyBorder="1" applyAlignment="1">
      <alignment horizontal="justify" wrapText="1"/>
    </xf>
    <xf numFmtId="0" fontId="16" fillId="25" borderId="12" xfId="0" applyFont="1" applyFill="1" applyBorder="1" applyAlignment="1">
      <alignment horizontal="center" vertical="top" wrapText="1"/>
    </xf>
    <xf numFmtId="0" fontId="16" fillId="25" borderId="14" xfId="0" applyFont="1" applyFill="1" applyBorder="1" applyAlignment="1">
      <alignment horizontal="justify" wrapText="1"/>
    </xf>
    <xf numFmtId="0" fontId="16" fillId="25" borderId="12" xfId="0" applyFont="1" applyFill="1" applyBorder="1" applyAlignment="1">
      <alignment vertical="top" wrapText="1"/>
    </xf>
    <xf numFmtId="0" fontId="16" fillId="25" borderId="17" xfId="0" applyFont="1" applyFill="1" applyBorder="1" applyAlignment="1">
      <alignment horizontal="justify" wrapText="1"/>
    </xf>
    <xf numFmtId="0" fontId="15" fillId="25" borderId="9" xfId="0" applyFont="1" applyFill="1" applyBorder="1" applyAlignment="1">
      <alignment wrapText="1"/>
    </xf>
    <xf numFmtId="0" fontId="16" fillId="25" borderId="9" xfId="0" applyFont="1" applyFill="1" applyBorder="1" applyAlignment="1">
      <alignment horizontal="justify" wrapText="1"/>
    </xf>
    <xf numFmtId="0" fontId="15" fillId="25" borderId="12" xfId="0" applyFont="1" applyFill="1" applyBorder="1" applyAlignment="1">
      <alignment wrapText="1"/>
    </xf>
    <xf numFmtId="0" fontId="16" fillId="25" borderId="12" xfId="0" applyFont="1" applyFill="1" applyBorder="1" applyAlignment="1">
      <alignment horizontal="justify" wrapText="1"/>
    </xf>
    <xf numFmtId="0" fontId="16" fillId="25" borderId="15" xfId="0" applyFont="1" applyFill="1" applyBorder="1" applyAlignment="1">
      <alignment horizontal="justify" wrapText="1"/>
    </xf>
    <xf numFmtId="0" fontId="16" fillId="25" borderId="9" xfId="0" applyFont="1" applyFill="1" applyBorder="1" applyAlignment="1">
      <alignment wrapText="1"/>
    </xf>
    <xf numFmtId="0" fontId="16" fillId="25" borderId="12" xfId="0" applyFont="1" applyFill="1" applyBorder="1" applyAlignment="1">
      <alignment wrapText="1"/>
    </xf>
    <xf numFmtId="0" fontId="16" fillId="25" borderId="15" xfId="0" applyFont="1" applyFill="1" applyBorder="1" applyAlignment="1">
      <alignment wrapText="1"/>
    </xf>
    <xf numFmtId="0" fontId="15" fillId="25" borderId="15" xfId="0" applyFont="1" applyFill="1" applyBorder="1" applyAlignment="1">
      <alignment wrapText="1"/>
    </xf>
    <xf numFmtId="0" fontId="15" fillId="25" borderId="15" xfId="0" applyFont="1" applyFill="1" applyBorder="1" applyAlignment="1">
      <alignment horizontal="center" wrapText="1"/>
    </xf>
    <xf numFmtId="0" fontId="15" fillId="25" borderId="14" xfId="0" applyFont="1" applyFill="1" applyBorder="1" applyAlignment="1">
      <alignment wrapText="1"/>
    </xf>
    <xf numFmtId="0" fontId="15" fillId="25" borderId="17" xfId="0" applyFont="1" applyFill="1" applyBorder="1" applyAlignment="1">
      <alignment wrapText="1"/>
    </xf>
    <xf numFmtId="0" fontId="16" fillId="25" borderId="15" xfId="0" applyFont="1" applyFill="1" applyBorder="1" applyAlignment="1">
      <alignment horizontal="center" vertical="top" wrapText="1"/>
    </xf>
    <xf numFmtId="0" fontId="15" fillId="25" borderId="18" xfId="0" applyFont="1" applyFill="1" applyBorder="1" applyAlignment="1">
      <alignment horizontal="justify" vertical="top" wrapText="1"/>
    </xf>
    <xf numFmtId="0" fontId="15" fillId="25" borderId="19" xfId="0" applyFont="1" applyFill="1" applyBorder="1" applyAlignment="1">
      <alignment horizontal="justify" vertical="top" wrapText="1"/>
    </xf>
    <xf numFmtId="0" fontId="15" fillId="25" borderId="18" xfId="0" applyFont="1" applyFill="1" applyBorder="1" applyAlignment="1">
      <alignment wrapText="1"/>
    </xf>
    <xf numFmtId="0" fontId="15" fillId="25" borderId="19" xfId="0" applyFont="1" applyFill="1" applyBorder="1" applyAlignment="1">
      <alignment wrapText="1"/>
    </xf>
    <xf numFmtId="0" fontId="15" fillId="25" borderId="18" xfId="0" applyFont="1" applyFill="1" applyBorder="1" applyAlignment="1">
      <alignment horizontal="center" vertical="top" wrapText="1"/>
    </xf>
    <xf numFmtId="0" fontId="15" fillId="25" borderId="19" xfId="0" applyFont="1" applyFill="1" applyBorder="1" applyAlignment="1">
      <alignment horizontal="center" vertical="top" wrapText="1"/>
    </xf>
    <xf numFmtId="0" fontId="15" fillId="25" borderId="20" xfId="0" applyFont="1" applyFill="1" applyBorder="1" applyAlignment="1">
      <alignment horizontal="center" vertical="top" wrapText="1"/>
    </xf>
    <xf numFmtId="0" fontId="15" fillId="25" borderId="17" xfId="0" applyFont="1" applyFill="1" applyBorder="1" applyAlignment="1">
      <alignment horizontal="center" vertical="top" wrapText="1"/>
    </xf>
    <xf numFmtId="0" fontId="15" fillId="25" borderId="20" xfId="0" applyFont="1" applyFill="1" applyBorder="1" applyAlignment="1">
      <alignment vertical="top" wrapText="1"/>
    </xf>
    <xf numFmtId="0" fontId="16" fillId="25" borderId="14" xfId="0" applyFont="1" applyFill="1" applyBorder="1" applyAlignment="1">
      <alignment horizontal="center" wrapText="1"/>
    </xf>
    <xf numFmtId="0" fontId="21" fillId="25" borderId="14" xfId="0" applyFont="1" applyFill="1" applyBorder="1" applyAlignment="1">
      <alignment horizontal="center" wrapText="1"/>
    </xf>
    <xf numFmtId="0" fontId="16" fillId="25" borderId="17" xfId="0" applyFont="1" applyFill="1" applyBorder="1" applyAlignment="1">
      <alignment horizontal="center" wrapText="1"/>
    </xf>
    <xf numFmtId="0" fontId="21" fillId="25" borderId="17" xfId="0" applyFont="1" applyFill="1" applyBorder="1" applyAlignment="1">
      <alignment horizontal="center" wrapText="1"/>
    </xf>
    <xf numFmtId="0" fontId="16" fillId="25" borderId="9" xfId="0" applyFont="1" applyFill="1" applyBorder="1" applyAlignment="1">
      <alignment horizontal="center" vertical="top" wrapText="1"/>
    </xf>
    <xf numFmtId="0" fontId="16" fillId="25" borderId="14" xfId="0" applyFont="1" applyFill="1" applyBorder="1" applyAlignment="1">
      <alignment horizontal="center" vertical="top" wrapText="1"/>
    </xf>
    <xf numFmtId="0" fontId="16" fillId="25" borderId="17" xfId="0" applyFont="1" applyFill="1" applyBorder="1" applyAlignment="1">
      <alignment horizontal="center" vertical="top" wrapText="1"/>
    </xf>
    <xf numFmtId="0" fontId="15" fillId="25" borderId="20" xfId="0" applyFont="1" applyFill="1" applyBorder="1" applyAlignment="1">
      <alignment horizontal="justify" vertical="top" wrapText="1"/>
    </xf>
    <xf numFmtId="0" fontId="15" fillId="25" borderId="20" xfId="0" applyFont="1" applyFill="1" applyBorder="1" applyAlignment="1">
      <alignment wrapText="1"/>
    </xf>
    <xf numFmtId="169" fontId="8" fillId="0" borderId="0" xfId="31" applyNumberFormat="1" applyFont="1" applyBorder="1"/>
    <xf numFmtId="168" fontId="8" fillId="0" borderId="0" xfId="31" applyNumberFormat="1" applyFont="1" applyBorder="1"/>
    <xf numFmtId="0" fontId="8" fillId="0" borderId="8" xfId="0" applyFont="1" applyBorder="1" applyAlignment="1">
      <alignment horizontal="center"/>
    </xf>
    <xf numFmtId="0" fontId="8" fillId="0" borderId="8" xfId="0" applyFont="1" applyBorder="1" applyAlignment="1">
      <alignment horizontal="center" wrapText="1"/>
    </xf>
    <xf numFmtId="0" fontId="8" fillId="0" borderId="21" xfId="0" applyFont="1" applyBorder="1"/>
    <xf numFmtId="169" fontId="8" fillId="0" borderId="21" xfId="31" applyNumberFormat="1" applyFont="1" applyBorder="1"/>
    <xf numFmtId="0" fontId="8" fillId="0" borderId="21" xfId="31" applyNumberFormat="1" applyFont="1" applyBorder="1" applyAlignment="1">
      <alignment horizontal="centerContinuous"/>
    </xf>
    <xf numFmtId="0" fontId="8" fillId="0" borderId="22" xfId="31" applyNumberFormat="1" applyFont="1" applyBorder="1" applyAlignment="1">
      <alignment horizontal="centerContinuous"/>
    </xf>
    <xf numFmtId="0" fontId="8" fillId="0" borderId="23" xfId="31" applyNumberFormat="1" applyFont="1" applyBorder="1" applyAlignment="1">
      <alignment horizontal="centerContinuous"/>
    </xf>
    <xf numFmtId="0" fontId="8" fillId="0" borderId="0" xfId="0" applyFont="1" applyAlignment="1">
      <alignment horizontal="centerContinuous"/>
    </xf>
    <xf numFmtId="0" fontId="11" fillId="0" borderId="0" xfId="0" applyFont="1" applyAlignment="1">
      <alignment horizontal="centerContinuous"/>
    </xf>
    <xf numFmtId="0" fontId="11" fillId="0" borderId="24" xfId="0" applyFont="1" applyBorder="1" applyAlignment="1">
      <alignment horizontal="center" vertical="top" wrapText="1"/>
    </xf>
    <xf numFmtId="0" fontId="17" fillId="0" borderId="0" xfId="0" applyFont="1"/>
    <xf numFmtId="0" fontId="11" fillId="0" borderId="15" xfId="0" applyFont="1" applyBorder="1" applyAlignment="1">
      <alignment horizontal="center" vertical="top" wrapText="1"/>
    </xf>
    <xf numFmtId="0" fontId="11" fillId="0" borderId="17" xfId="0" applyFont="1" applyBorder="1" applyAlignment="1">
      <alignment horizontal="center" vertical="top" wrapText="1"/>
    </xf>
    <xf numFmtId="3" fontId="11" fillId="0" borderId="17" xfId="0" applyNumberFormat="1" applyFont="1" applyBorder="1" applyAlignment="1">
      <alignment horizontal="center" vertical="top" wrapText="1"/>
    </xf>
    <xf numFmtId="168" fontId="8" fillId="0" borderId="22" xfId="31" applyNumberFormat="1" applyFont="1" applyBorder="1" applyAlignment="1">
      <alignment horizontal="centerContinuous"/>
    </xf>
    <xf numFmtId="0" fontId="8" fillId="0" borderId="23" xfId="0" applyFont="1" applyBorder="1" applyAlignment="1">
      <alignment horizontal="centerContinuous"/>
    </xf>
    <xf numFmtId="0" fontId="12" fillId="0" borderId="8" xfId="0" applyFont="1" applyBorder="1" applyAlignment="1">
      <alignment horizontal="center"/>
    </xf>
    <xf numFmtId="0" fontId="9" fillId="0" borderId="15" xfId="0" applyFont="1" applyBorder="1" applyAlignment="1">
      <alignment horizontal="center" vertical="top" wrapText="1"/>
    </xf>
    <xf numFmtId="0" fontId="12" fillId="0" borderId="0" xfId="0" applyFont="1" applyAlignment="1">
      <alignment horizontal="center"/>
    </xf>
    <xf numFmtId="0" fontId="11" fillId="0" borderId="15" xfId="0" applyFont="1" applyBorder="1" applyAlignment="1">
      <alignment horizontal="center" wrapText="1"/>
    </xf>
    <xf numFmtId="0" fontId="14" fillId="0" borderId="0" xfId="0" applyFont="1" applyAlignment="1">
      <alignment horizontal="centerContinuous"/>
    </xf>
    <xf numFmtId="168" fontId="16" fillId="25" borderId="0" xfId="31" applyNumberFormat="1" applyFont="1" applyFill="1" applyAlignment="1"/>
    <xf numFmtId="0" fontId="11" fillId="0" borderId="21" xfId="0" applyFont="1" applyBorder="1" applyAlignment="1">
      <alignment horizontal="center" wrapText="1"/>
    </xf>
    <xf numFmtId="0" fontId="11" fillId="0" borderId="18" xfId="0" applyFont="1" applyBorder="1" applyAlignment="1">
      <alignment horizontal="center" vertical="top" wrapText="1"/>
    </xf>
    <xf numFmtId="169" fontId="8" fillId="0" borderId="8" xfId="31" applyNumberFormat="1" applyFont="1" applyBorder="1"/>
    <xf numFmtId="0" fontId="9" fillId="0" borderId="8" xfId="0" applyFont="1" applyBorder="1" applyAlignment="1">
      <alignment horizontal="center" vertical="top" wrapText="1"/>
    </xf>
    <xf numFmtId="0" fontId="11" fillId="0" borderId="8" xfId="0" applyFont="1" applyBorder="1" applyAlignment="1">
      <alignment horizontal="center" vertical="top" wrapText="1"/>
    </xf>
    <xf numFmtId="0" fontId="8" fillId="0" borderId="8" xfId="31" applyNumberFormat="1" applyFont="1" applyBorder="1" applyAlignment="1">
      <alignment horizontal="centerContinuous"/>
    </xf>
    <xf numFmtId="168" fontId="8" fillId="0" borderId="8" xfId="31" applyNumberFormat="1" applyFont="1" applyBorder="1" applyAlignment="1">
      <alignment horizontal="centerContinuous"/>
    </xf>
    <xf numFmtId="0" fontId="8" fillId="0" borderId="8" xfId="0" applyFont="1" applyBorder="1" applyAlignment="1">
      <alignment horizontal="centerContinuous"/>
    </xf>
    <xf numFmtId="0" fontId="24" fillId="24" borderId="8" xfId="0" applyFont="1" applyFill="1" applyBorder="1" applyAlignment="1">
      <alignment horizontal="center" vertical="top" wrapText="1"/>
    </xf>
    <xf numFmtId="3" fontId="24" fillId="24" borderId="8" xfId="0" applyNumberFormat="1" applyFont="1" applyFill="1" applyBorder="1" applyAlignment="1">
      <alignment horizontal="center" vertical="top" wrapText="1"/>
    </xf>
    <xf numFmtId="0" fontId="25" fillId="24" borderId="8" xfId="0" applyFont="1" applyFill="1" applyBorder="1" applyAlignment="1">
      <alignment horizontal="center" wrapText="1"/>
    </xf>
    <xf numFmtId="3" fontId="11" fillId="0" borderId="8" xfId="0" applyNumberFormat="1" applyFont="1" applyBorder="1" applyAlignment="1">
      <alignment horizontal="center" vertical="top" wrapText="1"/>
    </xf>
    <xf numFmtId="0" fontId="9" fillId="0" borderId="8" xfId="0" applyFont="1" applyBorder="1" applyAlignment="1">
      <alignment horizontal="center" wrapText="1"/>
    </xf>
    <xf numFmtId="0" fontId="13" fillId="0" borderId="8" xfId="0" applyFont="1" applyBorder="1" applyAlignment="1">
      <alignment horizontal="center" wrapText="1"/>
    </xf>
    <xf numFmtId="0" fontId="11" fillId="0" borderId="25" xfId="0" applyFont="1" applyBorder="1" applyAlignment="1">
      <alignment horizontal="center" vertical="top" wrapText="1"/>
    </xf>
    <xf numFmtId="0" fontId="11" fillId="24" borderId="8" xfId="0" applyFont="1" applyFill="1" applyBorder="1" applyAlignment="1">
      <alignment horizontal="center" wrapText="1"/>
    </xf>
    <xf numFmtId="169" fontId="8" fillId="24" borderId="8" xfId="31" applyNumberFormat="1" applyFont="1" applyFill="1" applyBorder="1"/>
    <xf numFmtId="0" fontId="8" fillId="24" borderId="8" xfId="31" applyNumberFormat="1" applyFont="1" applyFill="1" applyBorder="1" applyAlignment="1">
      <alignment horizontal="centerContinuous"/>
    </xf>
    <xf numFmtId="168" fontId="8" fillId="24" borderId="8" xfId="31" applyNumberFormat="1" applyFont="1" applyFill="1" applyBorder="1" applyAlignment="1">
      <alignment horizontal="centerContinuous"/>
    </xf>
    <xf numFmtId="0" fontId="8" fillId="24" borderId="8" xfId="0" applyFont="1" applyFill="1" applyBorder="1" applyAlignment="1">
      <alignment horizontal="centerContinuous"/>
    </xf>
    <xf numFmtId="0" fontId="11" fillId="24" borderId="8" xfId="0" applyFont="1" applyFill="1" applyBorder="1" applyAlignment="1">
      <alignment horizontal="center" vertical="top" wrapText="1"/>
    </xf>
    <xf numFmtId="3" fontId="11" fillId="24" borderId="8" xfId="0" applyNumberFormat="1" applyFont="1" applyFill="1" applyBorder="1" applyAlignment="1">
      <alignment horizontal="center" vertical="top" wrapText="1"/>
    </xf>
    <xf numFmtId="0" fontId="13" fillId="24" borderId="8" xfId="0" applyFont="1" applyFill="1" applyBorder="1" applyAlignment="1">
      <alignment horizontal="center" wrapText="1"/>
    </xf>
    <xf numFmtId="0" fontId="8" fillId="24" borderId="22" xfId="31" applyNumberFormat="1" applyFont="1" applyFill="1" applyBorder="1" applyAlignment="1">
      <alignment horizontal="centerContinuous"/>
    </xf>
    <xf numFmtId="0" fontId="14" fillId="24" borderId="8" xfId="0" applyFont="1" applyFill="1" applyBorder="1" applyAlignment="1">
      <alignment horizontal="center" vertical="top" wrapText="1"/>
    </xf>
    <xf numFmtId="3" fontId="14" fillId="24" borderId="8" xfId="0" applyNumberFormat="1" applyFont="1" applyFill="1" applyBorder="1" applyAlignment="1">
      <alignment horizontal="center" vertical="top" wrapText="1"/>
    </xf>
    <xf numFmtId="0" fontId="11" fillId="0" borderId="8" xfId="0" applyFont="1" applyBorder="1"/>
    <xf numFmtId="0" fontId="9" fillId="24" borderId="8" xfId="0" applyFont="1" applyFill="1" applyBorder="1" applyAlignment="1">
      <alignment horizontal="center" vertical="top" wrapText="1"/>
    </xf>
    <xf numFmtId="0" fontId="12" fillId="24" borderId="8" xfId="0" applyFont="1" applyFill="1" applyBorder="1" applyAlignment="1">
      <alignment horizontal="center"/>
    </xf>
    <xf numFmtId="0" fontId="8" fillId="24" borderId="8" xfId="0" applyFont="1" applyFill="1" applyBorder="1" applyAlignment="1">
      <alignment horizontal="center" vertical="top" wrapText="1"/>
    </xf>
    <xf numFmtId="0" fontId="11" fillId="24" borderId="8" xfId="0" applyFont="1" applyFill="1" applyBorder="1"/>
    <xf numFmtId="0" fontId="8" fillId="24" borderId="8" xfId="0" applyFont="1" applyFill="1" applyBorder="1"/>
    <xf numFmtId="0" fontId="11" fillId="24" borderId="26" xfId="0" applyFont="1" applyFill="1" applyBorder="1" applyAlignment="1">
      <alignment horizontal="center" wrapText="1"/>
    </xf>
    <xf numFmtId="0" fontId="11" fillId="24" borderId="21" xfId="0" applyFont="1" applyFill="1" applyBorder="1" applyAlignment="1">
      <alignment horizontal="center" vertical="top" wrapText="1"/>
    </xf>
    <xf numFmtId="0" fontId="11" fillId="24" borderId="0" xfId="0" applyFont="1" applyFill="1" applyAlignment="1">
      <alignment horizontal="center" wrapText="1"/>
    </xf>
    <xf numFmtId="168" fontId="8" fillId="24" borderId="8" xfId="31" applyNumberFormat="1" applyFont="1" applyFill="1" applyBorder="1"/>
    <xf numFmtId="169" fontId="8" fillId="24" borderId="8" xfId="31" applyNumberFormat="1" applyFont="1" applyFill="1" applyBorder="1" applyAlignment="1">
      <alignment horizontal="center"/>
    </xf>
    <xf numFmtId="0" fontId="11" fillId="24" borderId="8" xfId="0" applyFont="1" applyFill="1" applyBorder="1" applyAlignment="1">
      <alignment horizontal="centerContinuous"/>
    </xf>
    <xf numFmtId="0" fontId="11" fillId="0" borderId="8" xfId="0" applyFont="1" applyBorder="1" applyAlignment="1">
      <alignment horizontal="centerContinuous"/>
    </xf>
    <xf numFmtId="0" fontId="26" fillId="0" borderId="0" xfId="81" applyFont="1"/>
    <xf numFmtId="168" fontId="26" fillId="0" borderId="0" xfId="31" applyNumberFormat="1" applyFont="1" applyFill="1"/>
    <xf numFmtId="0" fontId="13" fillId="0" borderId="0" xfId="0" applyFont="1" applyAlignment="1">
      <alignment horizontal="centerContinuous"/>
    </xf>
    <xf numFmtId="0" fontId="14" fillId="24" borderId="0" xfId="0" applyFont="1" applyFill="1" applyAlignment="1">
      <alignment horizontal="centerContinuous"/>
    </xf>
    <xf numFmtId="0" fontId="11" fillId="26" borderId="8" xfId="0" applyFont="1" applyFill="1" applyBorder="1" applyAlignment="1">
      <alignment horizontal="center" wrapText="1"/>
    </xf>
    <xf numFmtId="169" fontId="8" fillId="26" borderId="8" xfId="31" applyNumberFormat="1" applyFont="1" applyFill="1" applyBorder="1"/>
    <xf numFmtId="0" fontId="9" fillId="26" borderId="8" xfId="0" applyFont="1" applyFill="1" applyBorder="1" applyAlignment="1">
      <alignment horizontal="center" vertical="top" wrapText="1"/>
    </xf>
    <xf numFmtId="0" fontId="11" fillId="26" borderId="8" xfId="0" applyFont="1" applyFill="1" applyBorder="1" applyAlignment="1">
      <alignment horizontal="center" vertical="top" wrapText="1"/>
    </xf>
    <xf numFmtId="0" fontId="8" fillId="26" borderId="8" xfId="31" applyNumberFormat="1" applyFont="1" applyFill="1" applyBorder="1" applyAlignment="1">
      <alignment horizontal="centerContinuous"/>
    </xf>
    <xf numFmtId="168" fontId="8" fillId="26" borderId="8" xfId="31" applyNumberFormat="1" applyFont="1" applyFill="1" applyBorder="1" applyAlignment="1">
      <alignment horizontal="centerContinuous"/>
    </xf>
    <xf numFmtId="0" fontId="8" fillId="26" borderId="8" xfId="0" applyFont="1" applyFill="1" applyBorder="1" applyAlignment="1">
      <alignment horizontal="centerContinuous"/>
    </xf>
    <xf numFmtId="0" fontId="8" fillId="26" borderId="0" xfId="0" applyFont="1" applyFill="1"/>
    <xf numFmtId="3" fontId="11" fillId="26" borderId="8" xfId="0" applyNumberFormat="1" applyFont="1" applyFill="1" applyBorder="1" applyAlignment="1">
      <alignment horizontal="center" vertical="top" wrapText="1"/>
    </xf>
    <xf numFmtId="0" fontId="17" fillId="26" borderId="0" xfId="0" applyFont="1" applyFill="1"/>
    <xf numFmtId="0" fontId="12" fillId="26" borderId="8" xfId="0" applyFont="1" applyFill="1" applyBorder="1" applyAlignment="1">
      <alignment horizontal="center"/>
    </xf>
    <xf numFmtId="0" fontId="11" fillId="24" borderId="0" xfId="0" applyFont="1" applyFill="1" applyAlignment="1">
      <alignment horizontal="centerContinuous"/>
    </xf>
    <xf numFmtId="0" fontId="8" fillId="24" borderId="0" xfId="0" applyFont="1" applyFill="1" applyAlignment="1">
      <alignment horizontal="centerContinuous"/>
    </xf>
    <xf numFmtId="0" fontId="11" fillId="24" borderId="0" xfId="0" applyFont="1" applyFill="1"/>
    <xf numFmtId="0" fontId="8" fillId="24" borderId="0" xfId="0" applyFont="1" applyFill="1"/>
    <xf numFmtId="0" fontId="11" fillId="0" borderId="27" xfId="0" applyFont="1" applyBorder="1" applyAlignment="1">
      <alignment horizontal="center" wrapText="1"/>
    </xf>
    <xf numFmtId="169" fontId="8" fillId="0" borderId="26" xfId="31" applyNumberFormat="1" applyFont="1" applyBorder="1"/>
    <xf numFmtId="0" fontId="9" fillId="0" borderId="12" xfId="0" applyFont="1" applyBorder="1" applyAlignment="1">
      <alignment horizontal="center" vertical="top" wrapText="1"/>
    </xf>
    <xf numFmtId="0" fontId="11" fillId="0" borderId="12" xfId="0" applyFont="1" applyBorder="1" applyAlignment="1">
      <alignment horizontal="center" vertical="top" wrapText="1"/>
    </xf>
    <xf numFmtId="0" fontId="8" fillId="0" borderId="26" xfId="31" applyNumberFormat="1" applyFont="1" applyBorder="1" applyAlignment="1">
      <alignment horizontal="centerContinuous"/>
    </xf>
    <xf numFmtId="0" fontId="8" fillId="0" borderId="28" xfId="31" applyNumberFormat="1" applyFont="1" applyBorder="1" applyAlignment="1">
      <alignment horizontal="centerContinuous"/>
    </xf>
    <xf numFmtId="168" fontId="8" fillId="0" borderId="28" xfId="31" applyNumberFormat="1" applyFont="1" applyBorder="1" applyAlignment="1">
      <alignment horizontal="centerContinuous"/>
    </xf>
    <xf numFmtId="0" fontId="8" fillId="0" borderId="29" xfId="0" applyFont="1" applyBorder="1" applyAlignment="1">
      <alignment horizontal="centerContinuous"/>
    </xf>
    <xf numFmtId="0" fontId="0" fillId="0" borderId="8" xfId="0" applyBorder="1" applyAlignment="1">
      <alignment horizontal="center" wrapText="1"/>
    </xf>
    <xf numFmtId="0" fontId="0" fillId="0" borderId="26" xfId="31" applyNumberFormat="1" applyFont="1" applyBorder="1" applyAlignment="1">
      <alignment horizontal="centerContinuous"/>
    </xf>
    <xf numFmtId="0" fontId="12" fillId="29" borderId="8" xfId="0" applyFont="1" applyFill="1" applyBorder="1" applyAlignment="1">
      <alignment horizontal="center"/>
    </xf>
    <xf numFmtId="0" fontId="13" fillId="29" borderId="8" xfId="0" applyFont="1" applyFill="1" applyBorder="1" applyAlignment="1">
      <alignment horizontal="center" wrapText="1"/>
    </xf>
    <xf numFmtId="0" fontId="17" fillId="29" borderId="0" xfId="0" applyFont="1" applyFill="1"/>
    <xf numFmtId="0" fontId="11" fillId="29" borderId="0" xfId="0" applyFont="1" applyFill="1" applyAlignment="1">
      <alignment horizontal="centerContinuous"/>
    </xf>
    <xf numFmtId="0" fontId="8" fillId="29" borderId="0" xfId="0" applyFont="1" applyFill="1" applyAlignment="1">
      <alignment horizontal="centerContinuous"/>
    </xf>
    <xf numFmtId="0" fontId="8" fillId="29" borderId="0" xfId="0" applyFont="1" applyFill="1"/>
    <xf numFmtId="0" fontId="13" fillId="29" borderId="0" xfId="0" applyFont="1" applyFill="1"/>
    <xf numFmtId="0" fontId="11" fillId="29" borderId="0" xfId="0" applyFont="1" applyFill="1"/>
    <xf numFmtId="0" fontId="11" fillId="29" borderId="27" xfId="0" applyFont="1" applyFill="1" applyBorder="1" applyAlignment="1">
      <alignment horizontal="center" wrapText="1"/>
    </xf>
    <xf numFmtId="169" fontId="8" fillId="29" borderId="26" xfId="31" applyNumberFormat="1" applyFont="1" applyFill="1" applyBorder="1"/>
    <xf numFmtId="0" fontId="9" fillId="29" borderId="12" xfId="0" applyFont="1" applyFill="1" applyBorder="1" applyAlignment="1">
      <alignment horizontal="center" vertical="top" wrapText="1"/>
    </xf>
    <xf numFmtId="0" fontId="11" fillId="29" borderId="12" xfId="0" applyFont="1" applyFill="1" applyBorder="1" applyAlignment="1">
      <alignment horizontal="center" vertical="top" wrapText="1"/>
    </xf>
    <xf numFmtId="0" fontId="8" fillId="29" borderId="26" xfId="31" applyNumberFormat="1" applyFont="1" applyFill="1" applyBorder="1" applyAlignment="1">
      <alignment horizontal="centerContinuous"/>
    </xf>
    <xf numFmtId="0" fontId="8" fillId="29" borderId="28" xfId="31" applyNumberFormat="1" applyFont="1" applyFill="1" applyBorder="1" applyAlignment="1">
      <alignment horizontal="centerContinuous"/>
    </xf>
    <xf numFmtId="168" fontId="8" fillId="29" borderId="28" xfId="31" applyNumberFormat="1" applyFont="1" applyFill="1" applyBorder="1" applyAlignment="1">
      <alignment horizontal="centerContinuous"/>
    </xf>
    <xf numFmtId="0" fontId="8" fillId="29" borderId="29" xfId="0" applyFont="1" applyFill="1" applyBorder="1" applyAlignment="1">
      <alignment horizontal="centerContinuous"/>
    </xf>
    <xf numFmtId="0" fontId="11" fillId="29" borderId="8" xfId="0" applyFont="1" applyFill="1" applyBorder="1" applyAlignment="1">
      <alignment horizontal="center" vertical="top" wrapText="1"/>
    </xf>
    <xf numFmtId="0" fontId="11" fillId="29" borderId="8" xfId="0" applyFont="1" applyFill="1" applyBorder="1" applyAlignment="1">
      <alignment horizontal="center" wrapText="1"/>
    </xf>
    <xf numFmtId="3" fontId="11" fillId="29" borderId="8" xfId="0" applyNumberFormat="1" applyFont="1" applyFill="1" applyBorder="1" applyAlignment="1">
      <alignment horizontal="center" vertical="top" wrapText="1"/>
    </xf>
    <xf numFmtId="0" fontId="0" fillId="29" borderId="8" xfId="0" applyFill="1" applyBorder="1" applyAlignment="1">
      <alignment horizontal="center" wrapText="1"/>
    </xf>
    <xf numFmtId="0" fontId="12" fillId="29" borderId="0" xfId="0" applyFont="1" applyFill="1" applyAlignment="1">
      <alignment horizontal="center"/>
    </xf>
    <xf numFmtId="0" fontId="58" fillId="0" borderId="0" xfId="0" applyFont="1" applyAlignment="1">
      <alignment horizontal="center"/>
    </xf>
    <xf numFmtId="0" fontId="56" fillId="0" borderId="0" xfId="0" applyFont="1" applyAlignment="1">
      <alignment horizontal="centerContinuous"/>
    </xf>
    <xf numFmtId="0" fontId="58" fillId="0" borderId="0" xfId="0" applyFont="1" applyAlignment="1">
      <alignment horizontal="centerContinuous"/>
    </xf>
    <xf numFmtId="0" fontId="0" fillId="0" borderId="15" xfId="0" applyBorder="1" applyAlignment="1">
      <alignment horizontal="center" wrapText="1"/>
    </xf>
    <xf numFmtId="0" fontId="13" fillId="30" borderId="8" xfId="0" applyFont="1" applyFill="1" applyBorder="1" applyAlignment="1">
      <alignment horizontal="center" wrapText="1"/>
    </xf>
    <xf numFmtId="0" fontId="17" fillId="30" borderId="0" xfId="0" applyFont="1" applyFill="1"/>
    <xf numFmtId="0" fontId="61" fillId="0" borderId="0" xfId="81" applyFont="1"/>
    <xf numFmtId="0" fontId="61" fillId="0" borderId="0" xfId="0" applyFont="1"/>
    <xf numFmtId="0" fontId="61" fillId="0" borderId="0" xfId="81" applyFont="1" applyAlignment="1">
      <alignment horizontal="centerContinuous"/>
    </xf>
    <xf numFmtId="49" fontId="64" fillId="0" borderId="0" xfId="82" applyNumberFormat="1" applyFont="1" applyAlignment="1">
      <alignment horizontal="centerContinuous"/>
    </xf>
    <xf numFmtId="49" fontId="65" fillId="0" borderId="0" xfId="82" applyNumberFormat="1" applyFont="1" applyAlignment="1">
      <alignment horizontal="centerContinuous"/>
    </xf>
    <xf numFmtId="168" fontId="62" fillId="0" borderId="0" xfId="31" applyNumberFormat="1" applyFont="1" applyFill="1" applyAlignment="1">
      <alignment horizontal="centerContinuous"/>
    </xf>
    <xf numFmtId="0" fontId="65" fillId="0" borderId="0" xfId="0" applyFont="1"/>
    <xf numFmtId="0" fontId="70" fillId="0" borderId="0" xfId="77" applyFont="1" applyAlignment="1">
      <alignment horizontal="centerContinuous"/>
    </xf>
    <xf numFmtId="0" fontId="61" fillId="0" borderId="0" xfId="77" applyFont="1"/>
    <xf numFmtId="0" fontId="61" fillId="0" borderId="0" xfId="77" applyFont="1" applyAlignment="1">
      <alignment horizontal="center"/>
    </xf>
    <xf numFmtId="0" fontId="71" fillId="0" borderId="0" xfId="77" applyFont="1"/>
    <xf numFmtId="0" fontId="68" fillId="0" borderId="0" xfId="77" applyFont="1" applyAlignment="1">
      <alignment horizontal="center"/>
    </xf>
    <xf numFmtId="0" fontId="68" fillId="0" borderId="0" xfId="77" applyFont="1"/>
    <xf numFmtId="0" fontId="61" fillId="0" borderId="0" xfId="77" applyFont="1" applyAlignment="1">
      <alignment horizontal="right"/>
    </xf>
    <xf numFmtId="49" fontId="61" fillId="0" borderId="0" xfId="77" applyNumberFormat="1" applyFont="1"/>
    <xf numFmtId="0" fontId="61" fillId="28" borderId="0" xfId="77" applyFont="1" applyFill="1"/>
    <xf numFmtId="0" fontId="61" fillId="28" borderId="0" xfId="77" applyFont="1" applyFill="1" applyAlignment="1">
      <alignment horizontal="right"/>
    </xf>
    <xf numFmtId="49" fontId="63" fillId="0" borderId="0" xfId="0" applyNumberFormat="1" applyFont="1" applyAlignment="1">
      <alignment horizontal="centerContinuous" vertical="center"/>
    </xf>
    <xf numFmtId="0" fontId="61" fillId="0" borderId="0" xfId="0" applyFont="1" applyAlignment="1">
      <alignment horizontal="centerContinuous" vertical="center"/>
    </xf>
    <xf numFmtId="49" fontId="61" fillId="0" borderId="0" xfId="0" applyNumberFormat="1" applyFont="1" applyAlignment="1">
      <alignment horizontal="centerContinuous" vertical="center"/>
    </xf>
    <xf numFmtId="49" fontId="68" fillId="0" borderId="0" xfId="82" applyNumberFormat="1" applyFont="1" applyAlignment="1">
      <alignment horizontal="centerContinuous" vertical="center"/>
    </xf>
    <xf numFmtId="0" fontId="61" fillId="0" borderId="8" xfId="0" applyFont="1" applyBorder="1"/>
    <xf numFmtId="0" fontId="61" fillId="0" borderId="8" xfId="0" applyFont="1" applyBorder="1" applyAlignment="1">
      <alignment horizontal="centerContinuous"/>
    </xf>
    <xf numFmtId="0" fontId="75" fillId="0" borderId="0" xfId="0" applyFont="1"/>
    <xf numFmtId="0" fontId="61" fillId="0" borderId="27" xfId="0" applyFont="1" applyBorder="1"/>
    <xf numFmtId="166" fontId="61" fillId="30" borderId="8" xfId="31" applyFont="1" applyFill="1" applyBorder="1" applyAlignment="1"/>
    <xf numFmtId="166" fontId="61" fillId="29" borderId="8" xfId="31" applyFont="1" applyFill="1" applyBorder="1" applyAlignment="1"/>
    <xf numFmtId="166" fontId="61" fillId="29" borderId="8" xfId="0" applyNumberFormat="1" applyFont="1" applyFill="1" applyBorder="1"/>
    <xf numFmtId="2" fontId="61" fillId="0" borderId="8" xfId="0" applyNumberFormat="1" applyFont="1" applyBorder="1"/>
    <xf numFmtId="0" fontId="76" fillId="0" borderId="8" xfId="0" applyFont="1" applyBorder="1"/>
    <xf numFmtId="0" fontId="61" fillId="0" borderId="8" xfId="31" applyNumberFormat="1" applyFont="1" applyFill="1" applyBorder="1" applyAlignment="1">
      <alignment horizontal="centerContinuous"/>
    </xf>
    <xf numFmtId="0" fontId="61" fillId="0" borderId="0" xfId="82" applyFont="1" applyAlignment="1">
      <alignment horizontal="centerContinuous"/>
    </xf>
    <xf numFmtId="2" fontId="61" fillId="0" borderId="0" xfId="0" applyNumberFormat="1" applyFont="1" applyAlignment="1">
      <alignment horizontal="centerContinuous"/>
    </xf>
    <xf numFmtId="0" fontId="61" fillId="0" borderId="0" xfId="0" applyFont="1" applyAlignment="1">
      <alignment horizontal="centerContinuous"/>
    </xf>
    <xf numFmtId="3" fontId="61" fillId="0" borderId="8" xfId="0" applyNumberFormat="1" applyFont="1" applyBorder="1"/>
    <xf numFmtId="168" fontId="61" fillId="0" borderId="8" xfId="31" applyNumberFormat="1" applyFont="1" applyFill="1" applyBorder="1" applyAlignment="1"/>
    <xf numFmtId="10" fontId="61" fillId="0" borderId="8" xfId="89" applyNumberFormat="1" applyFont="1" applyFill="1" applyBorder="1" applyAlignment="1"/>
    <xf numFmtId="10" fontId="61" fillId="0" borderId="0" xfId="0" applyNumberFormat="1" applyFont="1"/>
    <xf numFmtId="0" fontId="61" fillId="0" borderId="21" xfId="0" applyFont="1" applyBorder="1"/>
    <xf numFmtId="0" fontId="61" fillId="0" borderId="22" xfId="0" applyFont="1" applyBorder="1"/>
    <xf numFmtId="0" fontId="68" fillId="0" borderId="22" xfId="81" applyFont="1" applyBorder="1" applyAlignment="1">
      <alignment horizontal="center"/>
    </xf>
    <xf numFmtId="0" fontId="68" fillId="0" borderId="22" xfId="0" applyFont="1" applyBorder="1"/>
    <xf numFmtId="168" fontId="68" fillId="0" borderId="23" xfId="0" applyNumberFormat="1" applyFont="1" applyBorder="1"/>
    <xf numFmtId="168" fontId="80" fillId="0" borderId="0" xfId="0" applyNumberFormat="1" applyFont="1"/>
    <xf numFmtId="168" fontId="61" fillId="0" borderId="0" xfId="0" applyNumberFormat="1" applyFont="1"/>
    <xf numFmtId="0" fontId="64" fillId="0" borderId="0" xfId="0" applyFont="1" applyAlignment="1">
      <alignment horizontal="centerContinuous" vertical="center"/>
    </xf>
    <xf numFmtId="166" fontId="64" fillId="0" borderId="0" xfId="31" applyFont="1" applyFill="1" applyAlignment="1">
      <alignment horizontal="centerContinuous"/>
    </xf>
    <xf numFmtId="169" fontId="64" fillId="0" borderId="0" xfId="31" applyNumberFormat="1" applyFont="1" applyFill="1" applyAlignment="1">
      <alignment horizontal="centerContinuous"/>
    </xf>
    <xf numFmtId="168" fontId="64" fillId="0" borderId="0" xfId="31" applyNumberFormat="1" applyFont="1" applyFill="1" applyAlignment="1">
      <alignment horizontal="centerContinuous"/>
    </xf>
    <xf numFmtId="171" fontId="64" fillId="0" borderId="0" xfId="31" applyNumberFormat="1" applyFont="1" applyFill="1" applyAlignment="1">
      <alignment horizontal="centerContinuous"/>
    </xf>
    <xf numFmtId="0" fontId="64" fillId="0" borderId="0" xfId="0" applyFont="1" applyAlignment="1">
      <alignment horizontal="centerContinuous"/>
    </xf>
    <xf numFmtId="0" fontId="81" fillId="0" borderId="0" xfId="0" applyFont="1"/>
    <xf numFmtId="0" fontId="65" fillId="0" borderId="0" xfId="0" applyFont="1" applyAlignment="1">
      <alignment horizontal="centerContinuous" vertical="center"/>
    </xf>
    <xf numFmtId="166" fontId="65" fillId="0" borderId="0" xfId="31" applyFont="1" applyFill="1" applyAlignment="1">
      <alignment horizontal="centerContinuous" vertical="center"/>
    </xf>
    <xf numFmtId="169" fontId="65" fillId="0" borderId="0" xfId="31" applyNumberFormat="1" applyFont="1" applyFill="1" applyAlignment="1">
      <alignment horizontal="centerContinuous" vertical="center"/>
    </xf>
    <xf numFmtId="168" fontId="65" fillId="0" borderId="0" xfId="31" applyNumberFormat="1" applyFont="1" applyFill="1" applyAlignment="1">
      <alignment horizontal="centerContinuous" vertical="center"/>
    </xf>
    <xf numFmtId="171" fontId="65" fillId="0" borderId="0" xfId="31" applyNumberFormat="1" applyFont="1" applyFill="1" applyAlignment="1">
      <alignment horizontal="centerContinuous" vertical="center"/>
    </xf>
    <xf numFmtId="0" fontId="64" fillId="0" borderId="8" xfId="0" applyFont="1" applyBorder="1"/>
    <xf numFmtId="0" fontId="64" fillId="0" borderId="21" xfId="0" applyFont="1" applyBorder="1" applyAlignment="1">
      <alignment horizontal="center"/>
    </xf>
    <xf numFmtId="166" fontId="64" fillId="0" borderId="21" xfId="31" applyFont="1" applyFill="1" applyBorder="1"/>
    <xf numFmtId="169" fontId="64" fillId="0" borderId="21" xfId="31" applyNumberFormat="1" applyFont="1" applyFill="1" applyBorder="1"/>
    <xf numFmtId="168" fontId="64" fillId="0" borderId="21" xfId="31" applyNumberFormat="1" applyFont="1" applyFill="1" applyBorder="1"/>
    <xf numFmtId="166" fontId="64" fillId="0" borderId="8" xfId="31" applyFont="1" applyFill="1" applyBorder="1"/>
    <xf numFmtId="171" fontId="64" fillId="0" borderId="21" xfId="31" applyNumberFormat="1" applyFont="1" applyFill="1" applyBorder="1"/>
    <xf numFmtId="0" fontId="64" fillId="0" borderId="0" xfId="0" applyFont="1"/>
    <xf numFmtId="0" fontId="82" fillId="0" borderId="0" xfId="0" applyFont="1"/>
    <xf numFmtId="0" fontId="64" fillId="0" borderId="35" xfId="0" applyFont="1" applyBorder="1"/>
    <xf numFmtId="0" fontId="64" fillId="0" borderId="0" xfId="0" applyFont="1" applyAlignment="1">
      <alignment horizontal="center"/>
    </xf>
    <xf numFmtId="166" fontId="64" fillId="0" borderId="30" xfId="31" applyFont="1" applyFill="1" applyBorder="1"/>
    <xf numFmtId="169" fontId="64" fillId="0" borderId="30" xfId="31" applyNumberFormat="1" applyFont="1" applyFill="1" applyBorder="1"/>
    <xf numFmtId="168" fontId="64" fillId="0" borderId="30" xfId="31" applyNumberFormat="1" applyFont="1" applyFill="1" applyBorder="1"/>
    <xf numFmtId="171" fontId="64" fillId="0" borderId="30" xfId="31" applyNumberFormat="1" applyFont="1" applyFill="1" applyBorder="1"/>
    <xf numFmtId="0" fontId="64" fillId="0" borderId="27" xfId="0" applyFont="1" applyBorder="1"/>
    <xf numFmtId="0" fontId="82" fillId="0" borderId="36" xfId="0" applyFont="1" applyBorder="1"/>
    <xf numFmtId="0" fontId="82" fillId="0" borderId="37" xfId="0" applyFont="1" applyBorder="1" applyAlignment="1">
      <alignment horizontal="left"/>
    </xf>
    <xf numFmtId="166" fontId="64" fillId="0" borderId="38" xfId="31" applyFont="1" applyFill="1" applyBorder="1"/>
    <xf numFmtId="169" fontId="64" fillId="0" borderId="38" xfId="31" applyNumberFormat="1" applyFont="1" applyFill="1" applyBorder="1"/>
    <xf numFmtId="168" fontId="64" fillId="0" borderId="38" xfId="31" applyNumberFormat="1" applyFont="1" applyFill="1" applyBorder="1"/>
    <xf numFmtId="171" fontId="64" fillId="0" borderId="38" xfId="31" applyNumberFormat="1" applyFont="1" applyFill="1" applyBorder="1"/>
    <xf numFmtId="0" fontId="64" fillId="0" borderId="36" xfId="0" applyFont="1" applyBorder="1"/>
    <xf numFmtId="170" fontId="83" fillId="0" borderId="39" xfId="31" applyNumberFormat="1" applyFont="1" applyFill="1" applyBorder="1"/>
    <xf numFmtId="168" fontId="61" fillId="0" borderId="39" xfId="31" applyNumberFormat="1" applyFont="1" applyFill="1" applyBorder="1"/>
    <xf numFmtId="166" fontId="68" fillId="0" borderId="39" xfId="31" applyFont="1" applyFill="1" applyBorder="1"/>
    <xf numFmtId="171" fontId="61" fillId="0" borderId="39" xfId="31" applyNumberFormat="1" applyFont="1" applyFill="1" applyBorder="1"/>
    <xf numFmtId="171" fontId="68" fillId="0" borderId="40" xfId="0" applyNumberFormat="1" applyFont="1" applyBorder="1"/>
    <xf numFmtId="171" fontId="68" fillId="0" borderId="35" xfId="0" applyNumberFormat="1" applyFont="1" applyBorder="1"/>
    <xf numFmtId="0" fontId="74" fillId="0" borderId="8" xfId="0" applyFont="1" applyBorder="1"/>
    <xf numFmtId="0" fontId="64" fillId="0" borderId="37" xfId="0" applyFont="1" applyBorder="1" applyAlignment="1">
      <alignment horizontal="left"/>
    </xf>
    <xf numFmtId="0" fontId="67" fillId="0" borderId="37" xfId="0" applyFont="1" applyBorder="1" applyAlignment="1">
      <alignment horizontal="left"/>
    </xf>
    <xf numFmtId="0" fontId="64" fillId="24" borderId="37" xfId="0" applyFont="1" applyFill="1" applyBorder="1" applyAlignment="1">
      <alignment horizontal="left"/>
    </xf>
    <xf numFmtId="0" fontId="64" fillId="0" borderId="41" xfId="0" applyFont="1" applyBorder="1" applyAlignment="1">
      <alignment horizontal="left"/>
    </xf>
    <xf numFmtId="170" fontId="84" fillId="0" borderId="39" xfId="31" applyNumberFormat="1" applyFont="1" applyFill="1" applyBorder="1"/>
    <xf numFmtId="168" fontId="65" fillId="0" borderId="39" xfId="31" applyNumberFormat="1" applyFont="1" applyFill="1" applyBorder="1"/>
    <xf numFmtId="166" fontId="64" fillId="0" borderId="39" xfId="31" applyFont="1" applyFill="1" applyBorder="1"/>
    <xf numFmtId="171" fontId="65" fillId="0" borderId="39" xfId="31" applyNumberFormat="1" applyFont="1" applyFill="1" applyBorder="1"/>
    <xf numFmtId="171" fontId="64" fillId="0" borderId="40" xfId="0" applyNumberFormat="1" applyFont="1" applyBorder="1"/>
    <xf numFmtId="171" fontId="64" fillId="0" borderId="35" xfId="0" applyNumberFormat="1" applyFont="1" applyBorder="1"/>
    <xf numFmtId="0" fontId="81" fillId="0" borderId="8" xfId="0" applyFont="1" applyBorder="1"/>
    <xf numFmtId="0" fontId="65" fillId="0" borderId="8" xfId="0" applyFont="1" applyBorder="1"/>
    <xf numFmtId="170" fontId="84" fillId="24" borderId="39" xfId="31" applyNumberFormat="1" applyFont="1" applyFill="1" applyBorder="1"/>
    <xf numFmtId="0" fontId="65" fillId="24" borderId="0" xfId="0" applyFont="1" applyFill="1"/>
    <xf numFmtId="0" fontId="64" fillId="30" borderId="36" xfId="0" applyFont="1" applyFill="1" applyBorder="1"/>
    <xf numFmtId="0" fontId="64" fillId="30" borderId="37" xfId="0" applyFont="1" applyFill="1" applyBorder="1" applyAlignment="1">
      <alignment horizontal="left"/>
    </xf>
    <xf numFmtId="170" fontId="84" fillId="30" borderId="39" xfId="31" applyNumberFormat="1" applyFont="1" applyFill="1" applyBorder="1"/>
    <xf numFmtId="168" fontId="65" fillId="30" borderId="39" xfId="31" applyNumberFormat="1" applyFont="1" applyFill="1" applyBorder="1"/>
    <xf numFmtId="166" fontId="64" fillId="30" borderId="39" xfId="31" applyFont="1" applyFill="1" applyBorder="1"/>
    <xf numFmtId="171" fontId="65" fillId="30" borderId="39" xfId="31" applyNumberFormat="1" applyFont="1" applyFill="1" applyBorder="1"/>
    <xf numFmtId="171" fontId="64" fillId="30" borderId="40" xfId="0" applyNumberFormat="1" applyFont="1" applyFill="1" applyBorder="1"/>
    <xf numFmtId="0" fontId="81" fillId="30" borderId="8" xfId="0" applyFont="1" applyFill="1" applyBorder="1"/>
    <xf numFmtId="0" fontId="65" fillId="30" borderId="8" xfId="0" applyFont="1" applyFill="1" applyBorder="1"/>
    <xf numFmtId="0" fontId="65" fillId="30" borderId="0" xfId="0" applyFont="1" applyFill="1"/>
    <xf numFmtId="170" fontId="84" fillId="30" borderId="30" xfId="31" applyNumberFormat="1" applyFont="1" applyFill="1" applyBorder="1"/>
    <xf numFmtId="166" fontId="64" fillId="30" borderId="30" xfId="31" applyFont="1" applyFill="1" applyBorder="1"/>
    <xf numFmtId="171" fontId="64" fillId="30" borderId="0" xfId="0" applyNumberFormat="1" applyFont="1" applyFill="1"/>
    <xf numFmtId="0" fontId="81" fillId="30" borderId="0" xfId="0" applyFont="1" applyFill="1"/>
    <xf numFmtId="168" fontId="65" fillId="0" borderId="30" xfId="31" applyNumberFormat="1" applyFont="1" applyFill="1" applyBorder="1"/>
    <xf numFmtId="171" fontId="64" fillId="0" borderId="0" xfId="0" applyNumberFormat="1" applyFont="1"/>
    <xf numFmtId="170" fontId="84" fillId="0" borderId="30" xfId="31" applyNumberFormat="1" applyFont="1" applyFill="1" applyBorder="1"/>
    <xf numFmtId="171" fontId="84" fillId="0" borderId="39" xfId="31" applyNumberFormat="1" applyFont="1" applyFill="1" applyBorder="1"/>
    <xf numFmtId="166" fontId="65" fillId="0" borderId="39" xfId="31" applyFont="1" applyFill="1" applyBorder="1"/>
    <xf numFmtId="166" fontId="84" fillId="0" borderId="39" xfId="31" applyFont="1" applyFill="1" applyBorder="1"/>
    <xf numFmtId="0" fontId="64" fillId="0" borderId="41" xfId="0" applyFont="1" applyBorder="1" applyAlignment="1">
      <alignment horizontal="right"/>
    </xf>
    <xf numFmtId="0" fontId="64" fillId="0" borderId="0" xfId="0" applyFont="1" applyAlignment="1">
      <alignment horizontal="right"/>
    </xf>
    <xf numFmtId="171" fontId="84" fillId="0" borderId="30" xfId="31" applyNumberFormat="1" applyFont="1" applyFill="1" applyBorder="1"/>
    <xf numFmtId="171" fontId="65" fillId="0" borderId="30" xfId="31" applyNumberFormat="1" applyFont="1" applyFill="1" applyBorder="1"/>
    <xf numFmtId="172" fontId="84" fillId="0" borderId="39" xfId="31" applyNumberFormat="1" applyFont="1" applyFill="1" applyBorder="1"/>
    <xf numFmtId="166" fontId="65" fillId="0" borderId="0" xfId="31" applyFont="1" applyFill="1"/>
    <xf numFmtId="169" fontId="65" fillId="0" borderId="0" xfId="31" applyNumberFormat="1" applyFont="1" applyFill="1"/>
    <xf numFmtId="168" fontId="65" fillId="0" borderId="0" xfId="31" applyNumberFormat="1" applyFont="1" applyFill="1"/>
    <xf numFmtId="171" fontId="65" fillId="0" borderId="0" xfId="31" applyNumberFormat="1" applyFont="1" applyFill="1"/>
    <xf numFmtId="10" fontId="61" fillId="0" borderId="0" xfId="89" applyNumberFormat="1" applyFont="1"/>
    <xf numFmtId="0" fontId="26" fillId="0" borderId="36" xfId="81" applyFont="1" applyBorder="1" applyAlignment="1">
      <alignment horizontal="center" vertical="center"/>
    </xf>
    <xf numFmtId="0" fontId="61" fillId="30" borderId="0" xfId="77" applyFont="1" applyFill="1" applyAlignment="1">
      <alignment horizontal="right"/>
    </xf>
    <xf numFmtId="0" fontId="61" fillId="30" borderId="0" xfId="77" applyFont="1" applyFill="1"/>
    <xf numFmtId="168" fontId="62" fillId="0" borderId="0" xfId="31" applyNumberFormat="1" applyFont="1" applyFill="1"/>
    <xf numFmtId="168" fontId="61" fillId="0" borderId="0" xfId="81" applyNumberFormat="1" applyFont="1"/>
    <xf numFmtId="3" fontId="61" fillId="0" borderId="42" xfId="31" applyNumberFormat="1" applyFont="1" applyFill="1" applyBorder="1" applyAlignment="1">
      <alignment horizontal="right" vertical="center"/>
    </xf>
    <xf numFmtId="3" fontId="61" fillId="0" borderId="36" xfId="31" applyNumberFormat="1" applyFont="1" applyFill="1" applyBorder="1" applyAlignment="1">
      <alignment horizontal="right" vertical="center"/>
    </xf>
    <xf numFmtId="0" fontId="72" fillId="0" borderId="0" xfId="81" applyFont="1" applyAlignment="1">
      <alignment horizontal="centerContinuous" wrapText="1"/>
    </xf>
    <xf numFmtId="0" fontId="61" fillId="0" borderId="0" xfId="81" applyFont="1" applyAlignment="1">
      <alignment horizontal="centerContinuous" wrapText="1"/>
    </xf>
    <xf numFmtId="0" fontId="66" fillId="0" borderId="0" xfId="82" applyFont="1" applyAlignment="1">
      <alignment horizontal="centerContinuous"/>
    </xf>
    <xf numFmtId="0" fontId="65" fillId="0" borderId="0" xfId="82" applyFont="1" applyAlignment="1">
      <alignment horizontal="centerContinuous"/>
    </xf>
    <xf numFmtId="0" fontId="64" fillId="0" borderId="0" xfId="82" applyFont="1" applyAlignment="1">
      <alignment horizontal="centerContinuous"/>
    </xf>
    <xf numFmtId="0" fontId="61" fillId="0" borderId="0" xfId="0" applyFont="1" applyAlignment="1">
      <alignment horizontal="right"/>
    </xf>
    <xf numFmtId="0" fontId="68" fillId="0" borderId="27" xfId="0" applyFont="1" applyBorder="1" applyAlignment="1">
      <alignment horizontal="center"/>
    </xf>
    <xf numFmtId="0" fontId="68" fillId="0" borderId="43" xfId="0" applyFont="1" applyBorder="1"/>
    <xf numFmtId="0" fontId="68" fillId="0" borderId="43" xfId="0" applyFont="1" applyBorder="1" applyAlignment="1">
      <alignment horizontal="center"/>
    </xf>
    <xf numFmtId="49" fontId="68" fillId="0" borderId="8" xfId="0" applyNumberFormat="1" applyFont="1" applyBorder="1" applyAlignment="1">
      <alignment horizontal="center"/>
    </xf>
    <xf numFmtId="0" fontId="73" fillId="0" borderId="36" xfId="81" applyFont="1" applyBorder="1" applyAlignment="1">
      <alignment horizontal="center"/>
    </xf>
    <xf numFmtId="3" fontId="73" fillId="0" borderId="42" xfId="31" applyNumberFormat="1" applyFont="1" applyFill="1" applyBorder="1" applyAlignment="1">
      <alignment horizontal="left"/>
    </xf>
    <xf numFmtId="3" fontId="73" fillId="0" borderId="42" xfId="31" applyNumberFormat="1" applyFont="1" applyFill="1" applyBorder="1" applyAlignment="1">
      <alignment horizontal="right"/>
    </xf>
    <xf numFmtId="0" fontId="73" fillId="0" borderId="0" xfId="81" applyFont="1"/>
    <xf numFmtId="0" fontId="61" fillId="0" borderId="36" xfId="81" applyFont="1" applyBorder="1" applyAlignment="1">
      <alignment horizontal="center" vertical="center"/>
    </xf>
    <xf numFmtId="3" fontId="61" fillId="0" borderId="42" xfId="31" applyNumberFormat="1" applyFont="1" applyFill="1" applyBorder="1" applyAlignment="1">
      <alignment horizontal="left" vertical="center" wrapText="1"/>
    </xf>
    <xf numFmtId="3" fontId="61" fillId="0" borderId="42" xfId="31" applyNumberFormat="1" applyFont="1" applyFill="1" applyBorder="1" applyAlignment="1">
      <alignment horizontal="center" vertical="center"/>
    </xf>
    <xf numFmtId="0" fontId="61" fillId="0" borderId="44" xfId="81" applyFont="1" applyBorder="1" applyAlignment="1">
      <alignment horizontal="center"/>
    </xf>
    <xf numFmtId="0" fontId="61" fillId="0" borderId="45" xfId="81" applyFont="1" applyBorder="1" applyAlignment="1">
      <alignment horizontal="right"/>
    </xf>
    <xf numFmtId="3" fontId="61" fillId="0" borderId="45" xfId="31" applyNumberFormat="1" applyFont="1" applyFill="1" applyBorder="1" applyAlignment="1">
      <alignment horizontal="right"/>
    </xf>
    <xf numFmtId="0" fontId="61" fillId="0" borderId="8" xfId="81" applyFont="1" applyBorder="1" applyAlignment="1">
      <alignment horizontal="center"/>
    </xf>
    <xf numFmtId="0" fontId="73" fillId="0" borderId="8" xfId="81" applyFont="1" applyBorder="1" applyAlignment="1">
      <alignment horizontal="right"/>
    </xf>
    <xf numFmtId="0" fontId="73" fillId="0" borderId="23" xfId="81" applyFont="1" applyBorder="1" applyAlignment="1">
      <alignment horizontal="right"/>
    </xf>
    <xf numFmtId="3" fontId="73" fillId="0" borderId="23" xfId="31" applyNumberFormat="1" applyFont="1" applyFill="1" applyBorder="1" applyAlignment="1">
      <alignment horizontal="right"/>
    </xf>
    <xf numFmtId="0" fontId="72" fillId="0" borderId="0" xfId="81" applyFont="1" applyAlignment="1">
      <alignment horizontal="centerContinuous"/>
    </xf>
    <xf numFmtId="0" fontId="85" fillId="0" borderId="0" xfId="81" applyFont="1" applyAlignment="1">
      <alignment horizontal="centerContinuous"/>
    </xf>
    <xf numFmtId="168" fontId="85" fillId="0" borderId="0" xfId="31" applyNumberFormat="1" applyFont="1" applyFill="1" applyAlignment="1">
      <alignment horizontal="centerContinuous"/>
    </xf>
    <xf numFmtId="0" fontId="85" fillId="0" borderId="0" xfId="81" applyFont="1"/>
    <xf numFmtId="168" fontId="85" fillId="0" borderId="0" xfId="31" applyNumberFormat="1" applyFont="1" applyFill="1"/>
    <xf numFmtId="0" fontId="69" fillId="0" borderId="0" xfId="82" applyFont="1" applyAlignment="1">
      <alignment horizontal="left"/>
    </xf>
    <xf numFmtId="168" fontId="69" fillId="0" borderId="0" xfId="31" applyNumberFormat="1" applyFont="1" applyFill="1" applyAlignment="1">
      <alignment horizontal="right"/>
    </xf>
    <xf numFmtId="49" fontId="66" fillId="0" borderId="0" xfId="31" applyNumberFormat="1" applyFont="1" applyFill="1" applyAlignment="1">
      <alignment horizontal="centerContinuous"/>
    </xf>
    <xf numFmtId="168" fontId="65" fillId="0" borderId="0" xfId="31" applyNumberFormat="1" applyFont="1" applyFill="1" applyAlignment="1">
      <alignment horizontal="centerContinuous"/>
    </xf>
    <xf numFmtId="49" fontId="65" fillId="0" borderId="0" xfId="31" applyNumberFormat="1" applyFont="1" applyFill="1" applyAlignment="1">
      <alignment horizontal="centerContinuous"/>
    </xf>
    <xf numFmtId="49" fontId="62" fillId="0" borderId="0" xfId="31" applyNumberFormat="1" applyFont="1" applyFill="1" applyAlignment="1">
      <alignment horizontal="centerContinuous"/>
    </xf>
    <xf numFmtId="168" fontId="61" fillId="0" borderId="0" xfId="31" applyNumberFormat="1" applyFont="1" applyFill="1" applyAlignment="1">
      <alignment horizontal="centerContinuous"/>
    </xf>
    <xf numFmtId="168" fontId="61" fillId="0" borderId="0" xfId="31" applyNumberFormat="1" applyFont="1" applyFill="1"/>
    <xf numFmtId="0" fontId="61" fillId="0" borderId="27" xfId="81" applyFont="1" applyBorder="1"/>
    <xf numFmtId="0" fontId="61" fillId="0" borderId="26" xfId="81" applyFont="1" applyBorder="1" applyAlignment="1">
      <alignment horizontal="centerContinuous"/>
    </xf>
    <xf numFmtId="0" fontId="61" fillId="0" borderId="29" xfId="81" applyFont="1" applyBorder="1" applyAlignment="1">
      <alignment horizontal="centerContinuous"/>
    </xf>
    <xf numFmtId="168" fontId="61" fillId="0" borderId="27" xfId="31" applyNumberFormat="1" applyFont="1" applyFill="1" applyBorder="1"/>
    <xf numFmtId="0" fontId="68" fillId="0" borderId="35" xfId="81" applyFont="1" applyBorder="1" applyAlignment="1">
      <alignment horizontal="center"/>
    </xf>
    <xf numFmtId="0" fontId="68" fillId="0" borderId="35" xfId="81" applyFont="1" applyBorder="1" applyAlignment="1">
      <alignment horizontal="centerContinuous"/>
    </xf>
    <xf numFmtId="168" fontId="68" fillId="0" borderId="35" xfId="31" applyNumberFormat="1" applyFont="1" applyFill="1" applyBorder="1" applyAlignment="1">
      <alignment horizontal="center"/>
    </xf>
    <xf numFmtId="0" fontId="86" fillId="0" borderId="35" xfId="81" applyFont="1" applyBorder="1" applyAlignment="1">
      <alignment horizontal="centerContinuous"/>
    </xf>
    <xf numFmtId="168" fontId="86" fillId="0" borderId="35" xfId="31" applyNumberFormat="1" applyFont="1" applyFill="1" applyBorder="1" applyAlignment="1">
      <alignment horizontal="center"/>
    </xf>
    <xf numFmtId="0" fontId="68" fillId="0" borderId="43" xfId="81" applyFont="1" applyBorder="1" applyAlignment="1">
      <alignment horizontal="center"/>
    </xf>
    <xf numFmtId="0" fontId="68" fillId="0" borderId="32" xfId="81" applyFont="1" applyBorder="1" applyAlignment="1">
      <alignment horizontal="center"/>
    </xf>
    <xf numFmtId="0" fontId="68" fillId="0" borderId="34" xfId="81" applyFont="1" applyBorder="1" applyAlignment="1">
      <alignment horizontal="center"/>
    </xf>
    <xf numFmtId="168" fontId="68" fillId="0" borderId="43" xfId="31" applyNumberFormat="1" applyFont="1" applyFill="1" applyBorder="1" applyAlignment="1">
      <alignment horizontal="center"/>
    </xf>
    <xf numFmtId="0" fontId="61" fillId="0" borderId="35" xfId="81" applyFont="1" applyBorder="1" applyAlignment="1">
      <alignment horizontal="center"/>
    </xf>
    <xf numFmtId="0" fontId="61" fillId="0" borderId="35" xfId="81" applyFont="1" applyBorder="1"/>
    <xf numFmtId="0" fontId="68" fillId="0" borderId="46" xfId="81" applyFont="1" applyBorder="1"/>
    <xf numFmtId="0" fontId="68" fillId="0" borderId="47" xfId="81" applyFont="1" applyBorder="1"/>
    <xf numFmtId="168" fontId="68" fillId="0" borderId="35" xfId="31" applyNumberFormat="1" applyFont="1" applyFill="1" applyBorder="1"/>
    <xf numFmtId="0" fontId="68" fillId="0" borderId="35" xfId="81" applyFont="1" applyBorder="1"/>
    <xf numFmtId="168" fontId="61" fillId="0" borderId="35" xfId="31" applyNumberFormat="1" applyFont="1" applyFill="1" applyBorder="1"/>
    <xf numFmtId="0" fontId="87" fillId="0" borderId="36" xfId="81" applyFont="1" applyBorder="1" applyAlignment="1">
      <alignment horizontal="center"/>
    </xf>
    <xf numFmtId="0" fontId="87" fillId="0" borderId="36" xfId="81" applyFont="1" applyBorder="1" applyAlignment="1">
      <alignment horizontal="left"/>
    </xf>
    <xf numFmtId="0" fontId="73" fillId="0" borderId="36" xfId="81" applyFont="1" applyBorder="1" applyAlignment="1">
      <alignment horizontal="centerContinuous"/>
    </xf>
    <xf numFmtId="168" fontId="73" fillId="0" borderId="36" xfId="31" applyNumberFormat="1" applyFont="1" applyFill="1" applyBorder="1" applyAlignment="1">
      <alignment horizontal="center"/>
    </xf>
    <xf numFmtId="3" fontId="73" fillId="0" borderId="36" xfId="31" applyNumberFormat="1" applyFont="1" applyFill="1" applyBorder="1"/>
    <xf numFmtId="168" fontId="73" fillId="0" borderId="36" xfId="31" applyNumberFormat="1" applyFont="1" applyFill="1" applyBorder="1"/>
    <xf numFmtId="168" fontId="68" fillId="0" borderId="0" xfId="31" applyNumberFormat="1" applyFont="1" applyFill="1"/>
    <xf numFmtId="0" fontId="89" fillId="0" borderId="36" xfId="81" applyFont="1" applyBorder="1" applyAlignment="1">
      <alignment horizontal="center"/>
    </xf>
    <xf numFmtId="0" fontId="69" fillId="0" borderId="36" xfId="81" applyFont="1" applyBorder="1" applyAlignment="1">
      <alignment horizontal="right" vertical="center" wrapText="1"/>
    </xf>
    <xf numFmtId="0" fontId="69" fillId="0" borderId="36" xfId="81" applyFont="1" applyBorder="1" applyAlignment="1">
      <alignment horizontal="centerContinuous" vertical="center"/>
    </xf>
    <xf numFmtId="168" fontId="61" fillId="0" borderId="36" xfId="31" applyNumberFormat="1" applyFont="1" applyFill="1" applyBorder="1" applyAlignment="1">
      <alignment horizontal="center" vertical="center"/>
    </xf>
    <xf numFmtId="3" fontId="69" fillId="0" borderId="36" xfId="31" applyNumberFormat="1" applyFont="1" applyFill="1" applyBorder="1" applyAlignment="1">
      <alignment vertical="center"/>
    </xf>
    <xf numFmtId="168" fontId="61" fillId="0" borderId="36" xfId="31" applyNumberFormat="1" applyFont="1" applyFill="1" applyBorder="1" applyAlignment="1">
      <alignment vertical="center"/>
    </xf>
    <xf numFmtId="0" fontId="69" fillId="0" borderId="36" xfId="81" applyFont="1" applyBorder="1" applyAlignment="1">
      <alignment horizontal="right"/>
    </xf>
    <xf numFmtId="0" fontId="61" fillId="0" borderId="36" xfId="81" applyFont="1" applyBorder="1" applyAlignment="1">
      <alignment horizontal="center"/>
    </xf>
    <xf numFmtId="0" fontId="69" fillId="0" borderId="36" xfId="81" applyFont="1" applyBorder="1" applyAlignment="1">
      <alignment horizontal="centerContinuous"/>
    </xf>
    <xf numFmtId="168" fontId="61" fillId="0" borderId="36" xfId="31" applyNumberFormat="1" applyFont="1" applyFill="1" applyBorder="1" applyAlignment="1">
      <alignment horizontal="center"/>
    </xf>
    <xf numFmtId="3" fontId="69" fillId="0" borderId="36" xfId="31" applyNumberFormat="1" applyFont="1" applyFill="1" applyBorder="1"/>
    <xf numFmtId="0" fontId="90" fillId="0" borderId="36" xfId="81" applyFont="1" applyBorder="1" applyAlignment="1">
      <alignment horizontal="center"/>
    </xf>
    <xf numFmtId="0" fontId="61" fillId="0" borderId="36" xfId="81" applyFont="1" applyBorder="1" applyAlignment="1">
      <alignment horizontal="centerContinuous"/>
    </xf>
    <xf numFmtId="168" fontId="69" fillId="0" borderId="36" xfId="31" applyNumberFormat="1" applyFont="1" applyFill="1" applyBorder="1" applyAlignment="1">
      <alignment horizontal="center"/>
    </xf>
    <xf numFmtId="0" fontId="69" fillId="0" borderId="36" xfId="81" applyFont="1" applyBorder="1" applyAlignment="1">
      <alignment horizontal="center"/>
    </xf>
    <xf numFmtId="168" fontId="68" fillId="0" borderId="36" xfId="31" applyNumberFormat="1" applyFont="1" applyFill="1" applyBorder="1"/>
    <xf numFmtId="0" fontId="69" fillId="0" borderId="0" xfId="81" applyFont="1"/>
    <xf numFmtId="168" fontId="69" fillId="0" borderId="0" xfId="31" applyNumberFormat="1" applyFont="1" applyFill="1"/>
    <xf numFmtId="0" fontId="71" fillId="0" borderId="36" xfId="81" applyFont="1" applyBorder="1" applyAlignment="1">
      <alignment horizontal="center"/>
    </xf>
    <xf numFmtId="0" fontId="71" fillId="0" borderId="36" xfId="81" applyFont="1" applyBorder="1" applyAlignment="1">
      <alignment horizontal="left"/>
    </xf>
    <xf numFmtId="0" fontId="68" fillId="0" borderId="36" xfId="81" applyFont="1" applyBorder="1" applyAlignment="1">
      <alignment horizontal="center"/>
    </xf>
    <xf numFmtId="0" fontId="68" fillId="0" borderId="36" xfId="81" applyFont="1" applyBorder="1" applyAlignment="1">
      <alignment horizontal="centerContinuous"/>
    </xf>
    <xf numFmtId="168" fontId="68" fillId="0" borderId="36" xfId="31" applyNumberFormat="1" applyFont="1" applyFill="1" applyBorder="1" applyAlignment="1">
      <alignment horizontal="center"/>
    </xf>
    <xf numFmtId="3" fontId="68" fillId="0" borderId="36" xfId="31" applyNumberFormat="1" applyFont="1" applyFill="1" applyBorder="1"/>
    <xf numFmtId="3" fontId="91" fillId="0" borderId="36" xfId="31" applyNumberFormat="1" applyFont="1" applyFill="1" applyBorder="1"/>
    <xf numFmtId="0" fontId="87" fillId="0" borderId="36" xfId="81" applyFont="1" applyBorder="1" applyAlignment="1">
      <alignment horizontal="left" vertical="center" wrapText="1"/>
    </xf>
    <xf numFmtId="0" fontId="73" fillId="0" borderId="36" xfId="81" applyFont="1" applyBorder="1" applyAlignment="1">
      <alignment horizontal="center" vertical="center"/>
    </xf>
    <xf numFmtId="0" fontId="61" fillId="0" borderId="38" xfId="81" applyFont="1" applyBorder="1" applyAlignment="1">
      <alignment horizontal="right" vertical="center"/>
    </xf>
    <xf numFmtId="171" fontId="74" fillId="0" borderId="42" xfId="81" applyNumberFormat="1" applyFont="1" applyBorder="1" applyAlignment="1">
      <alignment horizontal="left" vertical="center"/>
    </xf>
    <xf numFmtId="170" fontId="74" fillId="0" borderId="36" xfId="31" applyNumberFormat="1" applyFont="1" applyFill="1" applyBorder="1" applyAlignment="1">
      <alignment horizontal="center" vertical="center"/>
    </xf>
    <xf numFmtId="171" fontId="74" fillId="0" borderId="36" xfId="31" applyNumberFormat="1" applyFont="1" applyFill="1" applyBorder="1" applyAlignment="1">
      <alignment horizontal="center" vertical="center"/>
    </xf>
    <xf numFmtId="170" fontId="73" fillId="0" borderId="36" xfId="31" applyNumberFormat="1" applyFont="1" applyFill="1" applyBorder="1" applyAlignment="1">
      <alignment horizontal="center" vertical="center"/>
    </xf>
    <xf numFmtId="9" fontId="73" fillId="0" borderId="36" xfId="89" applyFont="1" applyFill="1" applyBorder="1" applyAlignment="1">
      <alignment horizontal="center" vertical="center"/>
    </xf>
    <xf numFmtId="3" fontId="73" fillId="0" borderId="36" xfId="31" applyNumberFormat="1" applyFont="1" applyFill="1" applyBorder="1" applyAlignment="1">
      <alignment horizontal="right" vertical="center"/>
    </xf>
    <xf numFmtId="168" fontId="73" fillId="0" borderId="36" xfId="31" applyNumberFormat="1" applyFont="1" applyFill="1" applyBorder="1" applyAlignment="1">
      <alignment vertical="center"/>
    </xf>
    <xf numFmtId="0" fontId="73" fillId="0" borderId="38" xfId="81" applyFont="1" applyBorder="1" applyAlignment="1">
      <alignment horizontal="centerContinuous"/>
    </xf>
    <xf numFmtId="171" fontId="74" fillId="0" borderId="42" xfId="81" applyNumberFormat="1" applyFont="1" applyBorder="1" applyAlignment="1">
      <alignment horizontal="centerContinuous"/>
    </xf>
    <xf numFmtId="170" fontId="74" fillId="0" borderId="36" xfId="31" applyNumberFormat="1" applyFont="1" applyFill="1" applyBorder="1" applyAlignment="1">
      <alignment horizontal="center"/>
    </xf>
    <xf numFmtId="171" fontId="74" fillId="0" borderId="36" xfId="31" applyNumberFormat="1" applyFont="1" applyFill="1" applyBorder="1" applyAlignment="1">
      <alignment horizontal="center"/>
    </xf>
    <xf numFmtId="170" fontId="73" fillId="0" borderId="36" xfId="31" applyNumberFormat="1" applyFont="1" applyFill="1" applyBorder="1" applyAlignment="1">
      <alignment horizontal="center"/>
    </xf>
    <xf numFmtId="9" fontId="73" fillId="0" borderId="36" xfId="89" applyFont="1" applyFill="1" applyBorder="1" applyAlignment="1">
      <alignment horizontal="center"/>
    </xf>
    <xf numFmtId="3" fontId="73" fillId="0" borderId="36" xfId="31" applyNumberFormat="1" applyFont="1" applyFill="1" applyBorder="1" applyAlignment="1">
      <alignment horizontal="right"/>
    </xf>
    <xf numFmtId="0" fontId="69" fillId="0" borderId="38" xfId="81" applyFont="1" applyBorder="1" applyAlignment="1">
      <alignment horizontal="centerContinuous" vertical="center" wrapText="1"/>
    </xf>
    <xf numFmtId="171" fontId="61" fillId="0" borderId="42" xfId="81" applyNumberFormat="1" applyFont="1" applyBorder="1" applyAlignment="1">
      <alignment horizontal="centerContinuous" vertical="center" wrapText="1"/>
    </xf>
    <xf numFmtId="170" fontId="61" fillId="0" borderId="36" xfId="31" applyNumberFormat="1" applyFont="1" applyFill="1" applyBorder="1" applyAlignment="1">
      <alignment horizontal="center"/>
    </xf>
    <xf numFmtId="171" fontId="61" fillId="0" borderId="36" xfId="31" applyNumberFormat="1" applyFont="1" applyFill="1" applyBorder="1" applyAlignment="1">
      <alignment horizontal="center"/>
    </xf>
    <xf numFmtId="170" fontId="68" fillId="0" borderId="36" xfId="31" applyNumberFormat="1" applyFont="1" applyFill="1" applyBorder="1" applyAlignment="1">
      <alignment horizontal="center"/>
    </xf>
    <xf numFmtId="9" fontId="68" fillId="0" borderId="36" xfId="89" applyFont="1" applyFill="1" applyBorder="1" applyAlignment="1">
      <alignment horizontal="center"/>
    </xf>
    <xf numFmtId="3" fontId="61" fillId="0" borderId="36" xfId="31" applyNumberFormat="1" applyFont="1" applyFill="1" applyBorder="1" applyAlignment="1">
      <alignment vertical="center"/>
    </xf>
    <xf numFmtId="0" fontId="69" fillId="0" borderId="38" xfId="81" applyFont="1" applyBorder="1" applyAlignment="1">
      <alignment horizontal="centerContinuous"/>
    </xf>
    <xf numFmtId="171" fontId="61" fillId="0" borderId="42" xfId="81" applyNumberFormat="1" applyFont="1" applyBorder="1" applyAlignment="1">
      <alignment horizontal="centerContinuous"/>
    </xf>
    <xf numFmtId="3" fontId="61" fillId="0" borderId="36" xfId="31" applyNumberFormat="1" applyFont="1" applyFill="1" applyBorder="1"/>
    <xf numFmtId="170" fontId="61" fillId="0" borderId="36" xfId="31" applyNumberFormat="1" applyFont="1" applyFill="1" applyBorder="1" applyAlignment="1">
      <alignment horizontal="center" vertical="center"/>
    </xf>
    <xf numFmtId="3" fontId="61" fillId="0" borderId="36" xfId="31" applyNumberFormat="1" applyFont="1" applyFill="1" applyBorder="1" applyAlignment="1">
      <alignment horizontal="center" vertical="center"/>
    </xf>
    <xf numFmtId="170" fontId="68" fillId="0" borderId="36" xfId="31" applyNumberFormat="1" applyFont="1" applyFill="1" applyBorder="1" applyAlignment="1">
      <alignment horizontal="center" vertical="center"/>
    </xf>
    <xf numFmtId="9" fontId="68" fillId="0" borderId="36" xfId="89" applyFont="1" applyFill="1" applyBorder="1" applyAlignment="1">
      <alignment horizontal="center" vertical="center"/>
    </xf>
    <xf numFmtId="3" fontId="68" fillId="0" borderId="36" xfId="81" applyNumberFormat="1" applyFont="1" applyBorder="1" applyAlignment="1">
      <alignment horizontal="center" vertical="center"/>
    </xf>
    <xf numFmtId="171" fontId="61" fillId="0" borderId="42" xfId="81" applyNumberFormat="1" applyFont="1" applyBorder="1" applyAlignment="1">
      <alignment horizontal="left" vertical="center"/>
    </xf>
    <xf numFmtId="3" fontId="61" fillId="0" borderId="36" xfId="31" applyNumberFormat="1" applyFont="1" applyFill="1" applyBorder="1" applyAlignment="1">
      <alignment horizontal="center"/>
    </xf>
    <xf numFmtId="3" fontId="68" fillId="0" borderId="36" xfId="81" applyNumberFormat="1" applyFont="1" applyBorder="1" applyAlignment="1">
      <alignment horizontal="center"/>
    </xf>
    <xf numFmtId="173" fontId="61" fillId="0" borderId="0" xfId="81" applyNumberFormat="1" applyFont="1"/>
    <xf numFmtId="0" fontId="69" fillId="0" borderId="38" xfId="81" applyFont="1" applyBorder="1" applyAlignment="1">
      <alignment horizontal="centerContinuous" vertical="center"/>
    </xf>
    <xf numFmtId="171" fontId="61" fillId="0" borderId="42" xfId="81" applyNumberFormat="1" applyFont="1" applyBorder="1" applyAlignment="1">
      <alignment horizontal="centerContinuous" vertical="center"/>
    </xf>
    <xf numFmtId="3" fontId="68" fillId="0" borderId="36" xfId="31" applyNumberFormat="1" applyFont="1" applyFill="1" applyBorder="1" applyAlignment="1">
      <alignment vertical="center"/>
    </xf>
    <xf numFmtId="171" fontId="61" fillId="0" borderId="36" xfId="31" applyNumberFormat="1" applyFont="1" applyFill="1" applyBorder="1" applyAlignment="1">
      <alignment horizontal="center" vertical="center"/>
    </xf>
    <xf numFmtId="171" fontId="68" fillId="0" borderId="36" xfId="31" applyNumberFormat="1" applyFont="1" applyFill="1" applyBorder="1" applyAlignment="1">
      <alignment horizontal="center" vertical="center"/>
    </xf>
    <xf numFmtId="0" fontId="68" fillId="0" borderId="36" xfId="81" applyFont="1" applyBorder="1" applyAlignment="1">
      <alignment horizontal="center" vertical="center"/>
    </xf>
    <xf numFmtId="181" fontId="61" fillId="0" borderId="42" xfId="89" applyNumberFormat="1" applyFont="1" applyFill="1" applyBorder="1" applyAlignment="1">
      <alignment horizontal="left" vertical="center"/>
    </xf>
    <xf numFmtId="171" fontId="68" fillId="0" borderId="36" xfId="31" applyNumberFormat="1" applyFont="1" applyFill="1" applyBorder="1" applyAlignment="1">
      <alignment horizontal="center"/>
    </xf>
    <xf numFmtId="0" fontId="61" fillId="0" borderId="42" xfId="81" applyFont="1" applyBorder="1" applyAlignment="1">
      <alignment horizontal="centerContinuous" vertical="center"/>
    </xf>
    <xf numFmtId="171" fontId="73" fillId="0" borderId="36" xfId="31" applyNumberFormat="1" applyFont="1" applyFill="1" applyBorder="1" applyAlignment="1">
      <alignment horizontal="center"/>
    </xf>
    <xf numFmtId="0" fontId="61" fillId="0" borderId="38" xfId="81" applyFont="1" applyBorder="1" applyAlignment="1">
      <alignment horizontal="right"/>
    </xf>
    <xf numFmtId="171" fontId="61" fillId="0" borderId="42" xfId="81" applyNumberFormat="1" applyFont="1" applyBorder="1" applyAlignment="1">
      <alignment horizontal="left"/>
    </xf>
    <xf numFmtId="10" fontId="61" fillId="0" borderId="42" xfId="89" applyNumberFormat="1" applyFont="1" applyFill="1" applyBorder="1" applyAlignment="1">
      <alignment horizontal="left" vertical="center"/>
    </xf>
    <xf numFmtId="4" fontId="69" fillId="0" borderId="38" xfId="81" applyNumberFormat="1" applyFont="1" applyBorder="1" applyAlignment="1">
      <alignment horizontal="centerContinuous" vertical="center"/>
    </xf>
    <xf numFmtId="4" fontId="61" fillId="0" borderId="42" xfId="81" applyNumberFormat="1" applyFont="1" applyBorder="1" applyAlignment="1">
      <alignment horizontal="centerContinuous" vertical="center"/>
    </xf>
    <xf numFmtId="4" fontId="61" fillId="0" borderId="36" xfId="31" applyNumberFormat="1" applyFont="1" applyFill="1" applyBorder="1" applyAlignment="1">
      <alignment horizontal="center" vertical="center"/>
    </xf>
    <xf numFmtId="4" fontId="68" fillId="0" borderId="36" xfId="31" applyNumberFormat="1" applyFont="1" applyFill="1" applyBorder="1" applyAlignment="1">
      <alignment horizontal="center" vertical="center"/>
    </xf>
    <xf numFmtId="4" fontId="68" fillId="0" borderId="36" xfId="89" applyNumberFormat="1" applyFont="1" applyFill="1" applyBorder="1" applyAlignment="1">
      <alignment horizontal="center" vertical="center"/>
    </xf>
    <xf numFmtId="4" fontId="68" fillId="0" borderId="36" xfId="81" applyNumberFormat="1" applyFont="1" applyBorder="1" applyAlignment="1">
      <alignment horizontal="center" vertical="center"/>
    </xf>
    <xf numFmtId="4" fontId="61" fillId="0" borderId="36" xfId="31" applyNumberFormat="1" applyFont="1" applyFill="1" applyBorder="1" applyAlignment="1">
      <alignment vertical="center"/>
    </xf>
    <xf numFmtId="0" fontId="69" fillId="0" borderId="42" xfId="81" applyFont="1" applyBorder="1" applyAlignment="1">
      <alignment horizontal="centerContinuous"/>
    </xf>
    <xf numFmtId="171" fontId="69" fillId="0" borderId="36" xfId="31" applyNumberFormat="1" applyFont="1" applyFill="1" applyBorder="1" applyAlignment="1">
      <alignment horizontal="center"/>
    </xf>
    <xf numFmtId="0" fontId="74" fillId="0" borderId="42" xfId="81" applyFont="1" applyBorder="1" applyAlignment="1">
      <alignment horizontal="left"/>
    </xf>
    <xf numFmtId="0" fontId="23" fillId="0" borderId="36" xfId="81" applyFont="1" applyBorder="1" applyAlignment="1">
      <alignment horizontal="centerContinuous" vertical="center"/>
    </xf>
    <xf numFmtId="168" fontId="26" fillId="0" borderId="36" xfId="31" applyNumberFormat="1" applyFont="1" applyFill="1" applyBorder="1" applyAlignment="1">
      <alignment horizontal="center"/>
    </xf>
    <xf numFmtId="0" fontId="26" fillId="0" borderId="36" xfId="81" applyFont="1" applyBorder="1" applyAlignment="1">
      <alignment horizontal="center"/>
    </xf>
    <xf numFmtId="3" fontId="23" fillId="0" borderId="36" xfId="31" applyNumberFormat="1" applyFont="1" applyFill="1" applyBorder="1" applyAlignment="1">
      <alignment vertical="center"/>
    </xf>
    <xf numFmtId="168" fontId="26" fillId="0" borderId="36" xfId="31" applyNumberFormat="1" applyFont="1" applyFill="1" applyBorder="1" applyAlignment="1">
      <alignment vertical="center"/>
    </xf>
    <xf numFmtId="0" fontId="68" fillId="0" borderId="38" xfId="81" applyFont="1" applyBorder="1" applyAlignment="1">
      <alignment horizontal="centerContinuous"/>
    </xf>
    <xf numFmtId="168" fontId="69" fillId="0" borderId="36" xfId="31" applyNumberFormat="1" applyFont="1" applyFill="1" applyBorder="1"/>
    <xf numFmtId="168" fontId="61" fillId="0" borderId="36" xfId="31" applyNumberFormat="1" applyFont="1" applyFill="1" applyBorder="1"/>
    <xf numFmtId="0" fontId="91" fillId="0" borderId="38" xfId="81" applyFont="1" applyBorder="1" applyAlignment="1">
      <alignment horizontal="centerContinuous"/>
    </xf>
    <xf numFmtId="0" fontId="61" fillId="0" borderId="48" xfId="81" applyFont="1" applyBorder="1" applyAlignment="1">
      <alignment horizontal="center"/>
    </xf>
    <xf numFmtId="0" fontId="71" fillId="0" borderId="48" xfId="81" applyFont="1" applyBorder="1" applyAlignment="1">
      <alignment horizontal="right"/>
    </xf>
    <xf numFmtId="0" fontId="89" fillId="0" borderId="48" xfId="81" applyFont="1" applyBorder="1"/>
    <xf numFmtId="0" fontId="89" fillId="0" borderId="49" xfId="81" applyFont="1" applyBorder="1"/>
    <xf numFmtId="0" fontId="89" fillId="0" borderId="50" xfId="81" applyFont="1" applyBorder="1"/>
    <xf numFmtId="168" fontId="89" fillId="0" borderId="48" xfId="31" applyNumberFormat="1" applyFont="1" applyFill="1" applyBorder="1"/>
    <xf numFmtId="168" fontId="71" fillId="0" borderId="48" xfId="31" applyNumberFormat="1" applyFont="1" applyFill="1" applyBorder="1"/>
    <xf numFmtId="168" fontId="83" fillId="0" borderId="0" xfId="81" applyNumberFormat="1" applyFont="1"/>
    <xf numFmtId="0" fontId="68" fillId="0" borderId="8" xfId="81" applyFont="1" applyBorder="1"/>
    <xf numFmtId="0" fontId="68" fillId="0" borderId="0" xfId="58" applyFont="1" applyFill="1" applyAlignment="1" applyProtection="1"/>
    <xf numFmtId="0" fontId="68" fillId="0" borderId="0" xfId="81" applyFont="1"/>
    <xf numFmtId="0" fontId="61" fillId="0" borderId="0" xfId="81" applyFont="1" applyAlignment="1">
      <alignment horizontal="right"/>
    </xf>
    <xf numFmtId="3" fontId="73" fillId="0" borderId="36" xfId="31" applyNumberFormat="1" applyFont="1" applyFill="1" applyBorder="1" applyAlignment="1">
      <alignment vertical="center"/>
    </xf>
    <xf numFmtId="0" fontId="87" fillId="0" borderId="36" xfId="81" applyFont="1" applyBorder="1" applyAlignment="1">
      <alignment horizontal="center" vertical="center"/>
    </xf>
    <xf numFmtId="0" fontId="87" fillId="0" borderId="36" xfId="81" applyFont="1" applyBorder="1" applyAlignment="1">
      <alignment horizontal="left" vertical="center"/>
    </xf>
    <xf numFmtId="0" fontId="95" fillId="0" borderId="0" xfId="81" applyFont="1" applyAlignment="1">
      <alignment horizontal="centerContinuous" vertical="center" wrapText="1"/>
    </xf>
    <xf numFmtId="49" fontId="68" fillId="0" borderId="35" xfId="0" applyNumberFormat="1" applyFont="1" applyBorder="1" applyAlignment="1">
      <alignment horizontal="center"/>
    </xf>
    <xf numFmtId="49" fontId="68" fillId="0" borderId="31" xfId="0" applyNumberFormat="1" applyFont="1" applyBorder="1" applyAlignment="1">
      <alignment horizontal="center"/>
    </xf>
    <xf numFmtId="3" fontId="61" fillId="0" borderId="36" xfId="31" applyNumberFormat="1" applyFont="1" applyFill="1" applyBorder="1" applyAlignment="1">
      <alignment horizontal="right"/>
    </xf>
    <xf numFmtId="3" fontId="61" fillId="0" borderId="42" xfId="31" applyNumberFormat="1" applyFont="1" applyFill="1" applyBorder="1" applyAlignment="1">
      <alignment horizontal="right"/>
    </xf>
    <xf numFmtId="3" fontId="61" fillId="0" borderId="42" xfId="31" applyNumberFormat="1" applyFont="1" applyFill="1" applyBorder="1" applyAlignment="1">
      <alignment horizontal="right" vertical="center" wrapText="1"/>
    </xf>
    <xf numFmtId="3" fontId="130" fillId="0" borderId="42" xfId="31" applyNumberFormat="1" applyFont="1" applyFill="1" applyBorder="1" applyAlignment="1">
      <alignment horizontal="right"/>
    </xf>
    <xf numFmtId="0" fontId="61" fillId="0" borderId="44" xfId="81" applyFont="1" applyBorder="1" applyAlignment="1">
      <alignment horizontal="center" vertical="center"/>
    </xf>
    <xf numFmtId="3" fontId="61" fillId="0" borderId="45" xfId="31" applyNumberFormat="1" applyFont="1" applyFill="1" applyBorder="1" applyAlignment="1">
      <alignment horizontal="right" vertical="center"/>
    </xf>
    <xf numFmtId="0" fontId="61" fillId="0" borderId="0" xfId="81" applyFont="1" applyAlignment="1">
      <alignment vertical="center"/>
    </xf>
    <xf numFmtId="3" fontId="61" fillId="0" borderId="45" xfId="31" applyNumberFormat="1" applyFont="1" applyFill="1" applyBorder="1" applyAlignment="1">
      <alignment horizontal="right" vertical="center" wrapText="1"/>
    </xf>
    <xf numFmtId="3" fontId="61" fillId="0" borderId="44" xfId="31" applyNumberFormat="1" applyFont="1" applyFill="1" applyBorder="1" applyAlignment="1">
      <alignment horizontal="right" vertical="center"/>
    </xf>
    <xf numFmtId="3" fontId="61" fillId="0" borderId="44" xfId="31" applyNumberFormat="1" applyFont="1" applyFill="1" applyBorder="1" applyAlignment="1">
      <alignment horizontal="right"/>
    </xf>
    <xf numFmtId="3" fontId="61" fillId="0" borderId="0" xfId="81" applyNumberFormat="1" applyFont="1"/>
    <xf numFmtId="0" fontId="69" fillId="0" borderId="36" xfId="81" applyFont="1" applyBorder="1" applyAlignment="1">
      <alignment horizontal="right" vertical="center"/>
    </xf>
    <xf numFmtId="0" fontId="96" fillId="0" borderId="0" xfId="81" applyFont="1"/>
    <xf numFmtId="4" fontId="61" fillId="0" borderId="0" xfId="81" applyNumberFormat="1" applyFont="1"/>
    <xf numFmtId="0" fontId="65" fillId="31" borderId="0" xfId="74" applyFont="1" applyFill="1"/>
    <xf numFmtId="0" fontId="65" fillId="0" borderId="0" xfId="74" applyFont="1"/>
    <xf numFmtId="0" fontId="64" fillId="0" borderId="0" xfId="74" applyFont="1" applyAlignment="1">
      <alignment vertical="center"/>
    </xf>
    <xf numFmtId="0" fontId="131" fillId="31" borderId="0" xfId="74" applyFont="1" applyFill="1" applyAlignment="1">
      <alignment horizontal="center" vertical="center"/>
    </xf>
    <xf numFmtId="0" fontId="64" fillId="32" borderId="8" xfId="78" applyFont="1" applyFill="1" applyBorder="1" applyAlignment="1">
      <alignment horizontal="center" vertical="center" wrapText="1"/>
    </xf>
    <xf numFmtId="168" fontId="64" fillId="32" borderId="8" xfId="39" applyNumberFormat="1" applyFont="1" applyFill="1" applyBorder="1" applyAlignment="1">
      <alignment horizontal="center" vertical="center" wrapText="1"/>
    </xf>
    <xf numFmtId="3" fontId="64" fillId="32" borderId="8" xfId="78" applyNumberFormat="1" applyFont="1" applyFill="1" applyBorder="1" applyAlignment="1">
      <alignment horizontal="center" vertical="center" wrapText="1"/>
    </xf>
    <xf numFmtId="0" fontId="64" fillId="30" borderId="8" xfId="78" applyFont="1" applyFill="1" applyBorder="1" applyAlignment="1">
      <alignment horizontal="center" vertical="center" wrapText="1"/>
    </xf>
    <xf numFmtId="0" fontId="64" fillId="30" borderId="8" xfId="78" applyFont="1" applyFill="1" applyBorder="1" applyAlignment="1">
      <alignment horizontal="left" vertical="center" wrapText="1"/>
    </xf>
    <xf numFmtId="168" fontId="65" fillId="30" borderId="8" xfId="39" applyNumberFormat="1" applyFont="1" applyFill="1" applyBorder="1" applyAlignment="1">
      <alignment horizontal="center" vertical="center" wrapText="1"/>
    </xf>
    <xf numFmtId="3" fontId="64" fillId="30" borderId="8" xfId="78" applyNumberFormat="1" applyFont="1" applyFill="1" applyBorder="1" applyAlignment="1">
      <alignment horizontal="center" vertical="center" wrapText="1"/>
    </xf>
    <xf numFmtId="0" fontId="64" fillId="33" borderId="8" xfId="74" applyFont="1" applyFill="1" applyBorder="1" applyAlignment="1">
      <alignment horizontal="center" vertical="center"/>
    </xf>
    <xf numFmtId="0" fontId="64" fillId="33" borderId="8" xfId="74" applyFont="1" applyFill="1" applyBorder="1" applyAlignment="1">
      <alignment vertical="center"/>
    </xf>
    <xf numFmtId="0" fontId="65" fillId="33" borderId="8" xfId="74" applyFont="1" applyFill="1" applyBorder="1" applyAlignment="1">
      <alignment vertical="center"/>
    </xf>
    <xf numFmtId="0" fontId="65" fillId="33" borderId="8" xfId="74" applyFont="1" applyFill="1" applyBorder="1" applyAlignment="1">
      <alignment horizontal="center" vertical="center"/>
    </xf>
    <xf numFmtId="168" fontId="65" fillId="33" borderId="8" xfId="39" applyNumberFormat="1" applyFont="1" applyFill="1" applyBorder="1" applyAlignment="1">
      <alignment horizontal="center" vertical="center"/>
    </xf>
    <xf numFmtId="0" fontId="65" fillId="0" borderId="8" xfId="78" applyFont="1" applyBorder="1" applyAlignment="1">
      <alignment horizontal="center" vertical="center" wrapText="1"/>
    </xf>
    <xf numFmtId="0" fontId="65" fillId="0" borderId="8" xfId="78" applyFont="1" applyBorder="1" applyAlignment="1">
      <alignment horizontal="left" vertical="center" wrapText="1"/>
    </xf>
    <xf numFmtId="0" fontId="65" fillId="0" borderId="8" xfId="78" applyFont="1" applyBorder="1" applyAlignment="1">
      <alignment vertical="center" wrapText="1"/>
    </xf>
    <xf numFmtId="168" fontId="65" fillId="0" borderId="8" xfId="39" applyNumberFormat="1" applyFont="1" applyFill="1" applyBorder="1" applyAlignment="1">
      <alignment horizontal="center" vertical="center" wrapText="1"/>
    </xf>
    <xf numFmtId="168" fontId="65" fillId="0" borderId="8" xfId="78" applyNumberFormat="1" applyFont="1" applyBorder="1" applyAlignment="1">
      <alignment horizontal="center" vertical="center" wrapText="1"/>
    </xf>
    <xf numFmtId="0" fontId="65" fillId="0" borderId="8" xfId="66" applyFont="1" applyBorder="1" applyAlignment="1">
      <alignment vertical="center" wrapText="1"/>
    </xf>
    <xf numFmtId="0" fontId="65" fillId="0" borderId="8" xfId="66" applyFont="1" applyBorder="1" applyAlignment="1">
      <alignment horizontal="left" vertical="center" wrapText="1"/>
    </xf>
    <xf numFmtId="3" fontId="65" fillId="0" borderId="8" xfId="66" applyNumberFormat="1" applyFont="1" applyBorder="1" applyAlignment="1">
      <alignment horizontal="left" vertical="center" wrapText="1"/>
    </xf>
    <xf numFmtId="168" fontId="65" fillId="31" borderId="8" xfId="39" applyNumberFormat="1" applyFont="1" applyFill="1" applyBorder="1" applyAlignment="1">
      <alignment horizontal="center" vertical="center" wrapText="1"/>
    </xf>
    <xf numFmtId="3" fontId="65" fillId="31" borderId="8" xfId="66" applyNumberFormat="1" applyFont="1" applyFill="1" applyBorder="1" applyAlignment="1">
      <alignment horizontal="left" vertical="center" wrapText="1"/>
    </xf>
    <xf numFmtId="3" fontId="65" fillId="0" borderId="8" xfId="78" applyNumberFormat="1" applyFont="1" applyBorder="1" applyAlignment="1">
      <alignment vertical="center" wrapText="1"/>
    </xf>
    <xf numFmtId="3" fontId="65" fillId="0" borderId="8" xfId="78" applyNumberFormat="1" applyFont="1" applyBorder="1" applyAlignment="1">
      <alignment horizontal="center" vertical="center" wrapText="1"/>
    </xf>
    <xf numFmtId="168" fontId="65" fillId="31" borderId="8" xfId="39" applyNumberFormat="1" applyFont="1" applyFill="1" applyBorder="1" applyAlignment="1">
      <alignment horizontal="center" vertical="center"/>
    </xf>
    <xf numFmtId="0" fontId="65" fillId="31" borderId="8" xfId="78" applyFont="1" applyFill="1" applyBorder="1" applyAlignment="1">
      <alignment horizontal="left" vertical="center" wrapText="1"/>
    </xf>
    <xf numFmtId="0" fontId="65" fillId="31" borderId="8" xfId="74" quotePrefix="1" applyFont="1" applyFill="1" applyBorder="1" applyAlignment="1">
      <alignment vertical="center" wrapText="1"/>
    </xf>
    <xf numFmtId="0" fontId="132" fillId="31" borderId="0" xfId="74" applyFont="1" applyFill="1"/>
    <xf numFmtId="0" fontId="132" fillId="0" borderId="0" xfId="74" applyFont="1"/>
    <xf numFmtId="3" fontId="65" fillId="31" borderId="8" xfId="78" applyNumberFormat="1" applyFont="1" applyFill="1" applyBorder="1" applyAlignment="1">
      <alignment vertical="center"/>
    </xf>
    <xf numFmtId="3" fontId="65" fillId="31" borderId="8" xfId="78" applyNumberFormat="1" applyFont="1" applyFill="1" applyBorder="1" applyAlignment="1">
      <alignment horizontal="center" vertical="center" wrapText="1"/>
    </xf>
    <xf numFmtId="0" fontId="65" fillId="31" borderId="8" xfId="78" applyFont="1" applyFill="1" applyBorder="1" applyAlignment="1">
      <alignment horizontal="center" vertical="center" wrapText="1"/>
    </xf>
    <xf numFmtId="3" fontId="65" fillId="31" borderId="8" xfId="78" applyNumberFormat="1" applyFont="1" applyFill="1" applyBorder="1" applyAlignment="1">
      <alignment vertical="center" wrapText="1"/>
    </xf>
    <xf numFmtId="0" fontId="65" fillId="31" borderId="8" xfId="78" applyFont="1" applyFill="1" applyBorder="1" applyAlignment="1">
      <alignment vertical="center" wrapText="1"/>
    </xf>
    <xf numFmtId="0" fontId="65" fillId="31" borderId="8" xfId="66" applyFont="1" applyFill="1" applyBorder="1" applyAlignment="1">
      <alignment horizontal="left" vertical="center" wrapText="1"/>
    </xf>
    <xf numFmtId="168" fontId="65" fillId="31" borderId="8" xfId="78" applyNumberFormat="1" applyFont="1" applyFill="1" applyBorder="1" applyAlignment="1">
      <alignment horizontal="center" vertical="center" wrapText="1"/>
    </xf>
    <xf numFmtId="0" fontId="65" fillId="31" borderId="8" xfId="74" applyFont="1" applyFill="1" applyBorder="1" applyAlignment="1">
      <alignment vertical="center" wrapText="1"/>
    </xf>
    <xf numFmtId="0" fontId="65" fillId="31" borderId="8" xfId="74" applyFont="1" applyFill="1" applyBorder="1" applyAlignment="1">
      <alignment vertical="center"/>
    </xf>
    <xf numFmtId="0" fontId="65" fillId="31" borderId="8" xfId="74" applyFont="1" applyFill="1" applyBorder="1" applyAlignment="1">
      <alignment horizontal="center" vertical="center"/>
    </xf>
    <xf numFmtId="0" fontId="65" fillId="31" borderId="8" xfId="66" applyFont="1" applyFill="1" applyBorder="1" applyAlignment="1">
      <alignment horizontal="left" vertical="center"/>
    </xf>
    <xf numFmtId="0" fontId="65" fillId="31" borderId="8" xfId="74" applyFont="1" applyFill="1" applyBorder="1" applyAlignment="1">
      <alignment horizontal="center" vertical="center" wrapText="1"/>
    </xf>
    <xf numFmtId="0" fontId="65" fillId="31" borderId="8" xfId="74" applyFont="1" applyFill="1" applyBorder="1" applyAlignment="1">
      <alignment horizontal="left" vertical="center" wrapText="1"/>
    </xf>
    <xf numFmtId="0" fontId="133" fillId="33" borderId="8" xfId="74" applyFont="1" applyFill="1" applyBorder="1" applyAlignment="1">
      <alignment horizontal="center" vertical="center"/>
    </xf>
    <xf numFmtId="0" fontId="133" fillId="33" borderId="8" xfId="74" applyFont="1" applyFill="1" applyBorder="1" applyAlignment="1">
      <alignment vertical="center"/>
    </xf>
    <xf numFmtId="0" fontId="132" fillId="33" borderId="8" xfId="74" applyFont="1" applyFill="1" applyBorder="1" applyAlignment="1">
      <alignment vertical="center"/>
    </xf>
    <xf numFmtId="0" fontId="132" fillId="33" borderId="8" xfId="74" applyFont="1" applyFill="1" applyBorder="1" applyAlignment="1">
      <alignment horizontal="center" vertical="center"/>
    </xf>
    <xf numFmtId="168" fontId="132" fillId="33" borderId="8" xfId="39" applyNumberFormat="1" applyFont="1" applyFill="1" applyBorder="1" applyAlignment="1">
      <alignment horizontal="center" vertical="center"/>
    </xf>
    <xf numFmtId="0" fontId="132" fillId="0" borderId="8" xfId="78" applyFont="1" applyBorder="1" applyAlignment="1">
      <alignment horizontal="center" vertical="center" wrapText="1"/>
    </xf>
    <xf numFmtId="0" fontId="132" fillId="31" borderId="8" xfId="74" applyFont="1" applyFill="1" applyBorder="1" applyAlignment="1">
      <alignment vertical="center" wrapText="1"/>
    </xf>
    <xf numFmtId="0" fontId="132" fillId="31" borderId="8" xfId="74" applyFont="1" applyFill="1" applyBorder="1" applyAlignment="1">
      <alignment horizontal="center" vertical="center"/>
    </xf>
    <xf numFmtId="168" fontId="132" fillId="31" borderId="8" xfId="39" applyNumberFormat="1" applyFont="1" applyFill="1" applyBorder="1" applyAlignment="1">
      <alignment horizontal="center" vertical="center"/>
    </xf>
    <xf numFmtId="168" fontId="132" fillId="0" borderId="8" xfId="78" applyNumberFormat="1" applyFont="1" applyBorder="1" applyAlignment="1">
      <alignment horizontal="center" vertical="center" wrapText="1"/>
    </xf>
    <xf numFmtId="0" fontId="132" fillId="31" borderId="8" xfId="78" applyFont="1" applyFill="1" applyBorder="1" applyAlignment="1">
      <alignment horizontal="left" vertical="center" wrapText="1"/>
    </xf>
    <xf numFmtId="0" fontId="132" fillId="31" borderId="8" xfId="78" applyFont="1" applyFill="1" applyBorder="1" applyAlignment="1">
      <alignment horizontal="center" vertical="center" wrapText="1"/>
    </xf>
    <xf numFmtId="168" fontId="132" fillId="31" borderId="8" xfId="39" applyNumberFormat="1" applyFont="1" applyFill="1" applyBorder="1" applyAlignment="1">
      <alignment horizontal="center" vertical="center" wrapText="1"/>
    </xf>
    <xf numFmtId="0" fontId="132" fillId="31" borderId="8" xfId="74" quotePrefix="1" applyFont="1" applyFill="1" applyBorder="1" applyAlignment="1">
      <alignment vertical="center" wrapText="1"/>
    </xf>
    <xf numFmtId="0" fontId="132" fillId="31" borderId="8" xfId="78" applyFont="1" applyFill="1" applyBorder="1" applyAlignment="1">
      <alignment vertical="center" wrapText="1"/>
    </xf>
    <xf numFmtId="1" fontId="65" fillId="31" borderId="8" xfId="83" applyNumberFormat="1" applyFont="1" applyFill="1" applyBorder="1" applyAlignment="1">
      <alignment horizontal="left" vertical="center" wrapText="1"/>
    </xf>
    <xf numFmtId="0" fontId="65" fillId="31" borderId="8" xfId="66" quotePrefix="1" applyFont="1" applyFill="1" applyBorder="1" applyAlignment="1">
      <alignment vertical="center" wrapText="1"/>
    </xf>
    <xf numFmtId="0" fontId="65" fillId="31" borderId="8" xfId="66" applyFont="1" applyFill="1" applyBorder="1" applyAlignment="1">
      <alignment vertical="center" wrapText="1"/>
    </xf>
    <xf numFmtId="0" fontId="65" fillId="0" borderId="8" xfId="74" applyFont="1" applyBorder="1" applyAlignment="1">
      <alignment vertical="center" wrapText="1"/>
    </xf>
    <xf numFmtId="1" fontId="65" fillId="31" borderId="8" xfId="74" applyNumberFormat="1" applyFont="1" applyFill="1" applyBorder="1" applyAlignment="1">
      <alignment horizontal="left" vertical="center"/>
    </xf>
    <xf numFmtId="1" fontId="65" fillId="31" borderId="8" xfId="74" applyNumberFormat="1" applyFont="1" applyFill="1" applyBorder="1" applyAlignment="1">
      <alignment horizontal="left" vertical="center" wrapText="1"/>
    </xf>
    <xf numFmtId="0" fontId="65" fillId="31" borderId="8" xfId="39" applyNumberFormat="1" applyFont="1" applyFill="1" applyBorder="1" applyAlignment="1">
      <alignment horizontal="center" vertical="center"/>
    </xf>
    <xf numFmtId="0" fontId="65" fillId="0" borderId="8" xfId="74" applyFont="1" applyBorder="1" applyAlignment="1">
      <alignment vertical="center"/>
    </xf>
    <xf numFmtId="0" fontId="65" fillId="0" borderId="8" xfId="74" applyFont="1" applyBorder="1" applyAlignment="1">
      <alignment horizontal="center" vertical="center"/>
    </xf>
    <xf numFmtId="168" fontId="65" fillId="0" borderId="8" xfId="39" applyNumberFormat="1" applyFont="1" applyBorder="1" applyAlignment="1">
      <alignment horizontal="center" vertical="center"/>
    </xf>
    <xf numFmtId="0" fontId="65" fillId="31" borderId="8" xfId="74" applyFont="1" applyFill="1" applyBorder="1" applyAlignment="1">
      <alignment horizontal="left" vertical="center"/>
    </xf>
    <xf numFmtId="0" fontId="65" fillId="0" borderId="8" xfId="74" applyFont="1" applyBorder="1" applyAlignment="1">
      <alignment horizontal="left" vertical="center" wrapText="1"/>
    </xf>
    <xf numFmtId="0" fontId="65" fillId="0" borderId="8" xfId="74" applyFont="1" applyBorder="1" applyAlignment="1">
      <alignment horizontal="left" vertical="center"/>
    </xf>
    <xf numFmtId="168" fontId="65" fillId="31" borderId="8" xfId="39" applyNumberFormat="1" applyFont="1" applyFill="1" applyBorder="1" applyAlignment="1">
      <alignment horizontal="left" vertical="center"/>
    </xf>
    <xf numFmtId="0" fontId="134" fillId="31" borderId="8" xfId="78" applyFont="1" applyFill="1" applyBorder="1" applyAlignment="1">
      <alignment horizontal="left" vertical="center" wrapText="1"/>
    </xf>
    <xf numFmtId="0" fontId="134" fillId="0" borderId="8" xfId="78" applyFont="1" applyBorder="1" applyAlignment="1">
      <alignment horizontal="center" vertical="center" wrapText="1"/>
    </xf>
    <xf numFmtId="168" fontId="134" fillId="0" borderId="8" xfId="39" applyNumberFormat="1" applyFont="1" applyFill="1" applyBorder="1" applyAlignment="1">
      <alignment horizontal="center" vertical="center" wrapText="1"/>
    </xf>
    <xf numFmtId="168" fontId="134" fillId="31" borderId="8" xfId="39" applyNumberFormat="1" applyFont="1" applyFill="1" applyBorder="1" applyAlignment="1">
      <alignment horizontal="center" vertical="center" wrapText="1"/>
    </xf>
    <xf numFmtId="0" fontId="65" fillId="31" borderId="8" xfId="66" quotePrefix="1" applyFont="1" applyFill="1" applyBorder="1" applyAlignment="1">
      <alignment horizontal="left" vertical="center" wrapText="1"/>
    </xf>
    <xf numFmtId="0" fontId="65" fillId="30" borderId="0" xfId="74" applyFont="1" applyFill="1"/>
    <xf numFmtId="0" fontId="134" fillId="0" borderId="8" xfId="74" applyFont="1" applyBorder="1" applyAlignment="1">
      <alignment wrapText="1"/>
    </xf>
    <xf numFmtId="0" fontId="65" fillId="0" borderId="23" xfId="74" applyFont="1" applyBorder="1" applyAlignment="1">
      <alignment horizontal="center" vertical="center"/>
    </xf>
    <xf numFmtId="0" fontId="134" fillId="31" borderId="8" xfId="74" quotePrefix="1" applyFont="1" applyFill="1" applyBorder="1" applyAlignment="1">
      <alignment vertical="center" wrapText="1"/>
    </xf>
    <xf numFmtId="0" fontId="134" fillId="31" borderId="8" xfId="66" applyFont="1" applyFill="1" applyBorder="1" applyAlignment="1">
      <alignment horizontal="left" vertical="center" wrapText="1"/>
    </xf>
    <xf numFmtId="0" fontId="134" fillId="0" borderId="8" xfId="74" applyFont="1" applyBorder="1" applyAlignment="1">
      <alignment vertical="center" wrapText="1"/>
    </xf>
    <xf numFmtId="0" fontId="65" fillId="0" borderId="8" xfId="78" quotePrefix="1" applyFont="1" applyBorder="1" applyAlignment="1">
      <alignment horizontal="left" vertical="center" wrapText="1"/>
    </xf>
    <xf numFmtId="0" fontId="134" fillId="0" borderId="8" xfId="74" applyFont="1" applyBorder="1" applyAlignment="1">
      <alignment vertical="center"/>
    </xf>
    <xf numFmtId="3" fontId="134" fillId="31" borderId="8" xfId="78" applyNumberFormat="1" applyFont="1" applyFill="1" applyBorder="1" applyAlignment="1">
      <alignment vertical="center" wrapText="1"/>
    </xf>
    <xf numFmtId="0" fontId="65" fillId="0" borderId="35" xfId="74" applyFont="1" applyBorder="1" applyAlignment="1">
      <alignment wrapText="1"/>
    </xf>
    <xf numFmtId="168" fontId="65" fillId="0" borderId="8" xfId="39" applyNumberFormat="1" applyFont="1" applyBorder="1" applyAlignment="1">
      <alignment vertical="center"/>
    </xf>
    <xf numFmtId="0" fontId="65" fillId="0" borderId="8" xfId="74" applyFont="1" applyBorder="1" applyAlignment="1">
      <alignment wrapText="1"/>
    </xf>
    <xf numFmtId="0" fontId="64" fillId="0" borderId="8" xfId="74" applyFont="1" applyBorder="1" applyAlignment="1">
      <alignment horizontal="center" vertical="center"/>
    </xf>
    <xf numFmtId="0" fontId="135" fillId="0" borderId="8" xfId="74" applyFont="1" applyBorder="1" applyAlignment="1">
      <alignment vertical="center"/>
    </xf>
    <xf numFmtId="0" fontId="65" fillId="0" borderId="8" xfId="74" applyFont="1" applyBorder="1"/>
    <xf numFmtId="0" fontId="135" fillId="33" borderId="8" xfId="74" applyFont="1" applyFill="1" applyBorder="1" applyAlignment="1">
      <alignment horizontal="left"/>
    </xf>
    <xf numFmtId="0" fontId="64" fillId="33" borderId="8" xfId="74" applyFont="1" applyFill="1" applyBorder="1"/>
    <xf numFmtId="3" fontId="65" fillId="30" borderId="8" xfId="66" applyNumberFormat="1" applyFont="1" applyFill="1" applyBorder="1" applyAlignment="1">
      <alignment horizontal="left" vertical="center" wrapText="1"/>
    </xf>
    <xf numFmtId="0" fontId="136" fillId="31" borderId="8" xfId="92" applyFont="1" applyFill="1" applyBorder="1" applyAlignment="1">
      <alignment horizontal="left" vertical="center" wrapText="1"/>
    </xf>
    <xf numFmtId="0" fontId="99" fillId="34" borderId="8" xfId="74" applyFont="1" applyFill="1" applyBorder="1" applyAlignment="1">
      <alignment horizontal="center" vertical="center" wrapText="1"/>
    </xf>
    <xf numFmtId="168" fontId="99" fillId="34" borderId="8" xfId="39" applyNumberFormat="1" applyFont="1" applyFill="1" applyBorder="1" applyAlignment="1">
      <alignment horizontal="center" vertical="center" wrapText="1"/>
    </xf>
    <xf numFmtId="0" fontId="134" fillId="0" borderId="8" xfId="66" applyFont="1" applyBorder="1" applyAlignment="1">
      <alignment horizontal="left" vertical="center" wrapText="1"/>
    </xf>
    <xf numFmtId="0" fontId="65" fillId="0" borderId="8" xfId="66" applyFont="1" applyBorder="1" applyAlignment="1">
      <alignment horizontal="left" vertical="center" wrapText="1" indent="2"/>
    </xf>
    <xf numFmtId="0" fontId="65" fillId="0" borderId="8" xfId="66" applyFont="1" applyBorder="1" applyAlignment="1">
      <alignment horizontal="center" vertical="center"/>
    </xf>
    <xf numFmtId="0" fontId="65" fillId="28" borderId="8" xfId="108" applyFont="1" applyFill="1" applyBorder="1" applyAlignment="1">
      <alignment horizontal="center" vertical="center"/>
    </xf>
    <xf numFmtId="0" fontId="134" fillId="0" borderId="8" xfId="66" applyFont="1" applyBorder="1" applyAlignment="1">
      <alignment vertical="center" wrapText="1"/>
    </xf>
    <xf numFmtId="0" fontId="65" fillId="31" borderId="8" xfId="108" applyFont="1" applyFill="1" applyBorder="1" applyAlignment="1">
      <alignment horizontal="center" vertical="center"/>
    </xf>
    <xf numFmtId="168" fontId="65" fillId="31" borderId="8" xfId="74" applyNumberFormat="1" applyFont="1" applyFill="1" applyBorder="1" applyAlignment="1">
      <alignment vertical="center"/>
    </xf>
    <xf numFmtId="0" fontId="64" fillId="31" borderId="8" xfId="78" applyFont="1" applyFill="1" applyBorder="1" applyAlignment="1">
      <alignment horizontal="center" vertical="center"/>
    </xf>
    <xf numFmtId="0" fontId="64" fillId="31" borderId="8" xfId="78" applyFont="1" applyFill="1" applyBorder="1" applyAlignment="1">
      <alignment horizontal="left" vertical="center"/>
    </xf>
    <xf numFmtId="3" fontId="64" fillId="31" borderId="8" xfId="78" applyNumberFormat="1" applyFont="1" applyFill="1" applyBorder="1" applyAlignment="1">
      <alignment horizontal="center" vertical="center"/>
    </xf>
    <xf numFmtId="168" fontId="64" fillId="0" borderId="8" xfId="78" applyNumberFormat="1" applyFont="1" applyBorder="1" applyAlignment="1">
      <alignment horizontal="center" vertical="center" wrapText="1"/>
    </xf>
    <xf numFmtId="0" fontId="64" fillId="0" borderId="8" xfId="74" applyFont="1" applyBorder="1" applyAlignment="1">
      <alignment vertical="center"/>
    </xf>
    <xf numFmtId="0" fontId="65" fillId="0" borderId="0" xfId="74" applyFont="1" applyAlignment="1">
      <alignment horizontal="center" vertical="center"/>
    </xf>
    <xf numFmtId="0" fontId="65" fillId="0" borderId="0" xfId="74" applyFont="1" applyAlignment="1">
      <alignment vertical="center"/>
    </xf>
    <xf numFmtId="0" fontId="134" fillId="0" borderId="0" xfId="74" applyFont="1" applyAlignment="1">
      <alignment vertical="center"/>
    </xf>
    <xf numFmtId="168" fontId="65" fillId="0" borderId="0" xfId="39" applyNumberFormat="1" applyFont="1" applyAlignment="1">
      <alignment horizontal="center" vertical="center"/>
    </xf>
    <xf numFmtId="0" fontId="64" fillId="0" borderId="0" xfId="74" applyFont="1" applyAlignment="1">
      <alignment horizontal="center" vertical="center"/>
    </xf>
    <xf numFmtId="0" fontId="65" fillId="31" borderId="0" xfId="74" applyFont="1" applyFill="1" applyAlignment="1">
      <alignment horizontal="centerContinuous" vertical="center"/>
    </xf>
    <xf numFmtId="0" fontId="100" fillId="31" borderId="0" xfId="74" applyFont="1" applyFill="1" applyAlignment="1">
      <alignment horizontal="centerContinuous" vertical="center" wrapText="1"/>
    </xf>
    <xf numFmtId="3" fontId="73" fillId="0" borderId="0" xfId="81" applyNumberFormat="1" applyFont="1"/>
    <xf numFmtId="168" fontId="130" fillId="0" borderId="0" xfId="31" applyNumberFormat="1" applyFont="1" applyFill="1"/>
    <xf numFmtId="0" fontId="69" fillId="35" borderId="36" xfId="81" applyFont="1" applyFill="1" applyBorder="1" applyAlignment="1">
      <alignment horizontal="right" vertical="center" wrapText="1"/>
    </xf>
    <xf numFmtId="0" fontId="61" fillId="35" borderId="36" xfId="81" applyFont="1" applyFill="1" applyBorder="1" applyAlignment="1">
      <alignment horizontal="center" vertical="center"/>
    </xf>
    <xf numFmtId="0" fontId="69" fillId="35" borderId="38" xfId="81" applyFont="1" applyFill="1" applyBorder="1" applyAlignment="1">
      <alignment horizontal="centerContinuous" vertical="center" wrapText="1"/>
    </xf>
    <xf numFmtId="171" fontId="61" fillId="35" borderId="42" xfId="81" applyNumberFormat="1" applyFont="1" applyFill="1" applyBorder="1" applyAlignment="1">
      <alignment horizontal="centerContinuous"/>
    </xf>
    <xf numFmtId="170" fontId="61" fillId="35" borderId="36" xfId="31" applyNumberFormat="1" applyFont="1" applyFill="1" applyBorder="1" applyAlignment="1">
      <alignment horizontal="center" vertical="center"/>
    </xf>
    <xf numFmtId="3" fontId="61" fillId="35" borderId="36" xfId="31" applyNumberFormat="1" applyFont="1" applyFill="1" applyBorder="1" applyAlignment="1">
      <alignment horizontal="center" vertical="center"/>
    </xf>
    <xf numFmtId="170" fontId="68" fillId="35" borderId="36" xfId="31" applyNumberFormat="1" applyFont="1" applyFill="1" applyBorder="1" applyAlignment="1">
      <alignment horizontal="center" vertical="center"/>
    </xf>
    <xf numFmtId="9" fontId="68" fillId="35" borderId="36" xfId="89" applyFont="1" applyFill="1" applyBorder="1" applyAlignment="1">
      <alignment horizontal="center" vertical="center"/>
    </xf>
    <xf numFmtId="3" fontId="68" fillId="35" borderId="36" xfId="81" applyNumberFormat="1" applyFont="1" applyFill="1" applyBorder="1" applyAlignment="1">
      <alignment horizontal="center" vertical="center"/>
    </xf>
    <xf numFmtId="3" fontId="61" fillId="35" borderId="36" xfId="31" applyNumberFormat="1" applyFont="1" applyFill="1" applyBorder="1" applyAlignment="1">
      <alignment horizontal="right" vertical="center"/>
    </xf>
    <xf numFmtId="3" fontId="61" fillId="35" borderId="36" xfId="31" applyNumberFormat="1" applyFont="1" applyFill="1" applyBorder="1" applyAlignment="1">
      <alignment vertical="center"/>
    </xf>
    <xf numFmtId="168" fontId="61" fillId="35" borderId="36" xfId="31" applyNumberFormat="1" applyFont="1" applyFill="1" applyBorder="1" applyAlignment="1">
      <alignment vertical="center"/>
    </xf>
    <xf numFmtId="170" fontId="61" fillId="35" borderId="36" xfId="31" applyNumberFormat="1" applyFont="1" applyFill="1" applyBorder="1" applyAlignment="1">
      <alignment horizontal="center"/>
    </xf>
    <xf numFmtId="171" fontId="61" fillId="35" borderId="36" xfId="31" applyNumberFormat="1" applyFont="1" applyFill="1" applyBorder="1" applyAlignment="1">
      <alignment horizontal="center"/>
    </xf>
    <xf numFmtId="170" fontId="68" fillId="35" borderId="36" xfId="31" applyNumberFormat="1" applyFont="1" applyFill="1" applyBorder="1" applyAlignment="1">
      <alignment horizontal="center"/>
    </xf>
    <xf numFmtId="9" fontId="68" fillId="35" borderId="36" xfId="89" applyFont="1" applyFill="1" applyBorder="1" applyAlignment="1">
      <alignment horizontal="center"/>
    </xf>
    <xf numFmtId="0" fontId="68" fillId="35" borderId="36" xfId="81" applyFont="1" applyFill="1" applyBorder="1" applyAlignment="1">
      <alignment horizontal="center"/>
    </xf>
    <xf numFmtId="0" fontId="61" fillId="35" borderId="36" xfId="81" applyFont="1" applyFill="1" applyBorder="1" applyAlignment="1">
      <alignment horizontal="center"/>
    </xf>
    <xf numFmtId="0" fontId="61" fillId="35" borderId="38" xfId="81" applyFont="1" applyFill="1" applyBorder="1" applyAlignment="1">
      <alignment horizontal="right" vertical="center"/>
    </xf>
    <xf numFmtId="171" fontId="61" fillId="35" borderId="42" xfId="81" applyNumberFormat="1" applyFont="1" applyFill="1" applyBorder="1" applyAlignment="1">
      <alignment horizontal="left" vertical="center"/>
    </xf>
    <xf numFmtId="3" fontId="61" fillId="35" borderId="36" xfId="31" applyNumberFormat="1" applyFont="1" applyFill="1" applyBorder="1" applyAlignment="1">
      <alignment horizontal="center"/>
    </xf>
    <xf numFmtId="3" fontId="68" fillId="35" borderId="36" xfId="81" applyNumberFormat="1" applyFont="1" applyFill="1" applyBorder="1" applyAlignment="1">
      <alignment horizontal="center"/>
    </xf>
    <xf numFmtId="3" fontId="137" fillId="35" borderId="36" xfId="31" applyNumberFormat="1" applyFont="1" applyFill="1" applyBorder="1" applyAlignment="1">
      <alignment vertical="center"/>
    </xf>
    <xf numFmtId="0" fontId="61" fillId="35" borderId="0" xfId="81" applyFont="1" applyFill="1"/>
    <xf numFmtId="168" fontId="61" fillId="35" borderId="0" xfId="31" applyNumberFormat="1" applyFont="1" applyFill="1"/>
    <xf numFmtId="171" fontId="61" fillId="35" borderId="42" xfId="81" applyNumberFormat="1" applyFont="1" applyFill="1" applyBorder="1" applyAlignment="1">
      <alignment horizontal="left" vertical="center" wrapText="1"/>
    </xf>
    <xf numFmtId="181" fontId="61" fillId="35" borderId="42" xfId="89" applyNumberFormat="1" applyFont="1" applyFill="1" applyBorder="1" applyAlignment="1">
      <alignment horizontal="left" vertical="center"/>
    </xf>
    <xf numFmtId="168" fontId="73" fillId="0" borderId="0" xfId="31" applyNumberFormat="1" applyFont="1" applyFill="1"/>
    <xf numFmtId="168" fontId="61" fillId="0" borderId="0" xfId="31" applyNumberFormat="1" applyFont="1" applyFill="1" applyAlignment="1">
      <alignment vertical="center"/>
    </xf>
    <xf numFmtId="3" fontId="138" fillId="0" borderId="42" xfId="31" applyNumberFormat="1" applyFont="1" applyFill="1" applyBorder="1" applyAlignment="1">
      <alignment horizontal="right" vertical="center"/>
    </xf>
    <xf numFmtId="3" fontId="138" fillId="0" borderId="42" xfId="31" applyNumberFormat="1" applyFont="1" applyFill="1" applyBorder="1" applyAlignment="1">
      <alignment horizontal="right" vertical="center" wrapText="1"/>
    </xf>
    <xf numFmtId="3" fontId="101" fillId="0" borderId="42" xfId="31" applyNumberFormat="1" applyFont="1" applyFill="1" applyBorder="1" applyAlignment="1">
      <alignment horizontal="center" vertical="center"/>
    </xf>
    <xf numFmtId="0" fontId="102" fillId="0" borderId="0" xfId="0" applyFont="1"/>
    <xf numFmtId="168" fontId="73" fillId="0" borderId="0" xfId="31" applyNumberFormat="1" applyFont="1" applyFill="1" applyBorder="1"/>
    <xf numFmtId="168" fontId="61" fillId="0" borderId="0" xfId="31" applyNumberFormat="1" applyFont="1" applyFill="1" applyBorder="1"/>
    <xf numFmtId="168" fontId="61" fillId="0" borderId="0" xfId="31" applyNumberFormat="1" applyFont="1" applyFill="1" applyBorder="1" applyAlignment="1">
      <alignment vertical="center"/>
    </xf>
    <xf numFmtId="3" fontId="61" fillId="0" borderId="0" xfId="31" applyNumberFormat="1" applyFont="1" applyFill="1" applyBorder="1" applyAlignment="1">
      <alignment horizontal="right" vertical="center"/>
    </xf>
    <xf numFmtId="3" fontId="101" fillId="0" borderId="0" xfId="31" applyNumberFormat="1" applyFont="1" applyFill="1" applyBorder="1" applyAlignment="1">
      <alignment horizontal="center" vertical="center"/>
    </xf>
    <xf numFmtId="3" fontId="73" fillId="0" borderId="0" xfId="31" applyNumberFormat="1" applyFont="1" applyFill="1" applyBorder="1" applyAlignment="1">
      <alignment horizontal="right"/>
    </xf>
    <xf numFmtId="3" fontId="130" fillId="0" borderId="0" xfId="31" applyNumberFormat="1" applyFont="1" applyFill="1" applyBorder="1" applyAlignment="1">
      <alignment horizontal="right"/>
    </xf>
    <xf numFmtId="0" fontId="102" fillId="0" borderId="8" xfId="0" applyFont="1" applyBorder="1" applyAlignment="1">
      <alignment horizontal="center"/>
    </xf>
    <xf numFmtId="0" fontId="102" fillId="0" borderId="8" xfId="0" applyFont="1" applyBorder="1"/>
    <xf numFmtId="0" fontId="103" fillId="36" borderId="8" xfId="0" applyFont="1" applyFill="1" applyBorder="1" applyAlignment="1">
      <alignment horizontal="center" vertical="center"/>
    </xf>
    <xf numFmtId="0" fontId="103" fillId="36" borderId="8" xfId="0" applyFont="1" applyFill="1" applyBorder="1" applyAlignment="1">
      <alignment vertical="center"/>
    </xf>
    <xf numFmtId="0" fontId="103" fillId="36" borderId="0" xfId="0" applyFont="1" applyFill="1" applyAlignment="1">
      <alignment vertical="center"/>
    </xf>
    <xf numFmtId="0" fontId="103" fillId="0" borderId="8" xfId="0" applyFont="1" applyBorder="1" applyAlignment="1">
      <alignment horizontal="center" vertical="center"/>
    </xf>
    <xf numFmtId="0" fontId="102" fillId="0" borderId="0" xfId="0" applyFont="1" applyAlignment="1">
      <alignment vertical="center"/>
    </xf>
    <xf numFmtId="168" fontId="102" fillId="0" borderId="8" xfId="31" applyNumberFormat="1" applyFont="1" applyBorder="1"/>
    <xf numFmtId="0" fontId="139" fillId="31" borderId="0" xfId="0" applyFont="1" applyFill="1" applyAlignment="1" applyProtection="1">
      <alignment vertical="top"/>
      <protection locked="0"/>
    </xf>
    <xf numFmtId="0" fontId="106" fillId="31" borderId="0" xfId="0" applyFont="1" applyFill="1" applyAlignment="1" applyProtection="1">
      <alignment vertical="top"/>
      <protection locked="0"/>
    </xf>
    <xf numFmtId="0" fontId="106" fillId="0" borderId="0" xfId="0" applyFont="1" applyAlignment="1" applyProtection="1">
      <alignment vertical="top"/>
      <protection locked="0"/>
    </xf>
    <xf numFmtId="0" fontId="107" fillId="31" borderId="0" xfId="0" applyFont="1" applyFill="1" applyAlignment="1" applyProtection="1">
      <alignment vertical="top"/>
      <protection locked="0"/>
    </xf>
    <xf numFmtId="0" fontId="108" fillId="31" borderId="0" xfId="0" applyFont="1" applyFill="1" applyAlignment="1" applyProtection="1">
      <alignment vertical="top" wrapText="1"/>
      <protection locked="0"/>
    </xf>
    <xf numFmtId="0" fontId="109" fillId="0" borderId="51" xfId="0" applyFont="1" applyBorder="1" applyAlignment="1" applyProtection="1">
      <alignment horizontal="center" vertical="center" wrapText="1"/>
      <protection locked="0"/>
    </xf>
    <xf numFmtId="0" fontId="109" fillId="31" borderId="52" xfId="0" applyFont="1" applyFill="1" applyBorder="1" applyAlignment="1" applyProtection="1">
      <alignment horizontal="center" vertical="center" wrapText="1"/>
      <protection locked="0"/>
    </xf>
    <xf numFmtId="0" fontId="109" fillId="31" borderId="53" xfId="0" applyFont="1" applyFill="1" applyBorder="1" applyAlignment="1" applyProtection="1">
      <alignment horizontal="center" vertical="center" wrapText="1"/>
      <protection locked="0"/>
    </xf>
    <xf numFmtId="0" fontId="109" fillId="31" borderId="54" xfId="0" applyFont="1" applyFill="1" applyBorder="1" applyAlignment="1" applyProtection="1">
      <alignment horizontal="center" vertical="center" wrapText="1"/>
      <protection locked="0"/>
    </xf>
    <xf numFmtId="0" fontId="140" fillId="31" borderId="0" xfId="0" applyFont="1" applyFill="1" applyAlignment="1" applyProtection="1">
      <alignment vertical="top"/>
      <protection locked="0"/>
    </xf>
    <xf numFmtId="0" fontId="110" fillId="31" borderId="0" xfId="0" applyFont="1" applyFill="1" applyAlignment="1" applyProtection="1">
      <alignment vertical="top"/>
      <protection locked="0"/>
    </xf>
    <xf numFmtId="0" fontId="110" fillId="0" borderId="0" xfId="0" applyFont="1" applyAlignment="1" applyProtection="1">
      <alignment vertical="top"/>
      <protection locked="0"/>
    </xf>
    <xf numFmtId="0" fontId="111" fillId="0" borderId="55" xfId="0" applyFont="1" applyBorder="1" applyAlignment="1" applyProtection="1">
      <alignment horizontal="center" vertical="center"/>
      <protection locked="0"/>
    </xf>
    <xf numFmtId="0" fontId="111" fillId="31" borderId="56" xfId="0" applyFont="1" applyFill="1" applyBorder="1" applyAlignment="1" applyProtection="1">
      <alignment vertical="center" wrapText="1"/>
      <protection locked="0"/>
    </xf>
    <xf numFmtId="0" fontId="111" fillId="31" borderId="56" xfId="0" applyFont="1" applyFill="1" applyBorder="1" applyAlignment="1" applyProtection="1">
      <alignment horizontal="center" vertical="center" wrapText="1"/>
      <protection locked="0"/>
    </xf>
    <xf numFmtId="3" fontId="111" fillId="31" borderId="56" xfId="0" applyNumberFormat="1" applyFont="1" applyFill="1" applyBorder="1" applyAlignment="1" applyProtection="1">
      <alignment vertical="center" wrapText="1"/>
      <protection locked="0"/>
    </xf>
    <xf numFmtId="49" fontId="111" fillId="31" borderId="57" xfId="0" applyNumberFormat="1" applyFont="1" applyFill="1" applyBorder="1" applyAlignment="1" applyProtection="1">
      <alignment vertical="center" wrapText="1"/>
      <protection locked="0"/>
    </xf>
    <xf numFmtId="0" fontId="111" fillId="31" borderId="58" xfId="0" applyFont="1" applyFill="1" applyBorder="1" applyAlignment="1" applyProtection="1">
      <alignment vertical="center" wrapText="1"/>
      <protection locked="0"/>
    </xf>
    <xf numFmtId="0" fontId="141" fillId="31" borderId="0" xfId="0" applyFont="1" applyFill="1" applyAlignment="1" applyProtection="1">
      <alignment vertical="center"/>
      <protection locked="0"/>
    </xf>
    <xf numFmtId="0" fontId="112" fillId="31" borderId="0" xfId="0" applyFont="1" applyFill="1" applyAlignment="1" applyProtection="1">
      <alignment vertical="center"/>
      <protection locked="0"/>
    </xf>
    <xf numFmtId="0" fontId="112" fillId="0" borderId="0" xfId="0" applyFont="1" applyAlignment="1" applyProtection="1">
      <alignment vertical="center"/>
      <protection locked="0"/>
    </xf>
    <xf numFmtId="0" fontId="111" fillId="0" borderId="59" xfId="0" applyFont="1" applyBorder="1" applyAlignment="1" applyProtection="1">
      <alignment horizontal="center" vertical="center"/>
      <protection locked="0"/>
    </xf>
    <xf numFmtId="0" fontId="111" fillId="31" borderId="60" xfId="0" applyFont="1" applyFill="1" applyBorder="1" applyAlignment="1" applyProtection="1">
      <alignment vertical="center" wrapText="1"/>
      <protection locked="0"/>
    </xf>
    <xf numFmtId="0" fontId="111" fillId="31" borderId="60" xfId="0" applyFont="1" applyFill="1" applyBorder="1" applyAlignment="1" applyProtection="1">
      <alignment horizontal="center" vertical="center" wrapText="1"/>
      <protection locked="0"/>
    </xf>
    <xf numFmtId="3" fontId="111" fillId="31" borderId="60" xfId="0" applyNumberFormat="1" applyFont="1" applyFill="1" applyBorder="1" applyAlignment="1" applyProtection="1">
      <alignment vertical="center" wrapText="1"/>
      <protection locked="0"/>
    </xf>
    <xf numFmtId="49" fontId="111" fillId="31" borderId="61" xfId="0" applyNumberFormat="1" applyFont="1" applyFill="1" applyBorder="1" applyAlignment="1" applyProtection="1">
      <alignment vertical="center" wrapText="1"/>
      <protection locked="0"/>
    </xf>
    <xf numFmtId="168" fontId="111" fillId="31" borderId="60" xfId="31" applyNumberFormat="1" applyFont="1" applyFill="1" applyBorder="1" applyAlignment="1" applyProtection="1">
      <alignment vertical="center"/>
      <protection locked="0"/>
    </xf>
    <xf numFmtId="3" fontId="111" fillId="30" borderId="60" xfId="0" applyNumberFormat="1" applyFont="1" applyFill="1" applyBorder="1" applyAlignment="1" applyProtection="1">
      <alignment vertical="center" wrapText="1"/>
      <protection locked="0"/>
    </xf>
    <xf numFmtId="0" fontId="111" fillId="31" borderId="59" xfId="0" applyFont="1" applyFill="1" applyBorder="1" applyAlignment="1" applyProtection="1">
      <alignment horizontal="center" vertical="center"/>
      <protection locked="0"/>
    </xf>
    <xf numFmtId="3" fontId="142" fillId="31" borderId="60" xfId="0" applyNumberFormat="1" applyFont="1" applyFill="1" applyBorder="1" applyAlignment="1" applyProtection="1">
      <alignment vertical="center" wrapText="1"/>
      <protection locked="0"/>
    </xf>
    <xf numFmtId="0" fontId="142" fillId="31" borderId="58" xfId="0" applyFont="1" applyFill="1" applyBorder="1" applyAlignment="1" applyProtection="1">
      <alignment vertical="center" wrapText="1"/>
      <protection locked="0"/>
    </xf>
    <xf numFmtId="0" fontId="143" fillId="31" borderId="0" xfId="0" applyFont="1" applyFill="1" applyAlignment="1" applyProtection="1">
      <alignment vertical="center"/>
      <protection locked="0"/>
    </xf>
    <xf numFmtId="0" fontId="143" fillId="0" borderId="0" xfId="0" applyFont="1" applyAlignment="1" applyProtection="1">
      <alignment vertical="center"/>
      <protection locked="0"/>
    </xf>
    <xf numFmtId="49" fontId="111" fillId="31" borderId="58" xfId="0" applyNumberFormat="1" applyFont="1" applyFill="1" applyBorder="1" applyAlignment="1" applyProtection="1">
      <alignment vertical="center" wrapText="1"/>
      <protection locked="0"/>
    </xf>
    <xf numFmtId="49" fontId="141" fillId="31" borderId="0" xfId="0" applyNumberFormat="1" applyFont="1" applyFill="1" applyAlignment="1" applyProtection="1">
      <alignment vertical="center"/>
      <protection locked="0"/>
    </xf>
    <xf numFmtId="168" fontId="111" fillId="30" borderId="60" xfId="31" applyNumberFormat="1" applyFont="1" applyFill="1" applyBorder="1" applyAlignment="1" applyProtection="1">
      <alignment vertical="center"/>
      <protection locked="0"/>
    </xf>
    <xf numFmtId="37" fontId="111" fillId="31" borderId="60" xfId="0" applyNumberFormat="1" applyFont="1" applyFill="1" applyBorder="1" applyAlignment="1" applyProtection="1">
      <alignment vertical="center" wrapText="1"/>
      <protection locked="0"/>
    </xf>
    <xf numFmtId="182" fontId="111" fillId="31" borderId="60" xfId="0" applyNumberFormat="1" applyFont="1" applyFill="1" applyBorder="1" applyAlignment="1" applyProtection="1">
      <alignment vertical="center" wrapText="1"/>
      <protection locked="0"/>
    </xf>
    <xf numFmtId="0" fontId="143" fillId="30" borderId="0" xfId="0" applyFont="1" applyFill="1" applyAlignment="1" applyProtection="1">
      <alignment vertical="center"/>
      <protection locked="0"/>
    </xf>
    <xf numFmtId="0" fontId="142" fillId="31" borderId="60" xfId="0" applyFont="1" applyFill="1" applyBorder="1" applyAlignment="1" applyProtection="1">
      <alignment vertical="center" wrapText="1"/>
      <protection locked="0"/>
    </xf>
    <xf numFmtId="168" fontId="111" fillId="31" borderId="60" xfId="31" quotePrefix="1" applyNumberFormat="1" applyFont="1" applyFill="1" applyBorder="1" applyAlignment="1" applyProtection="1">
      <alignment horizontal="right" vertical="center"/>
      <protection locked="0"/>
    </xf>
    <xf numFmtId="0" fontId="144" fillId="31" borderId="0" xfId="0" applyFont="1" applyFill="1" applyAlignment="1" applyProtection="1">
      <alignment vertical="top"/>
      <protection locked="0"/>
    </xf>
    <xf numFmtId="0" fontId="144" fillId="0" borderId="0" xfId="0" applyFont="1" applyAlignment="1" applyProtection="1">
      <alignment vertical="top"/>
      <protection locked="0"/>
    </xf>
    <xf numFmtId="0" fontId="141" fillId="31" borderId="0" xfId="0" applyFont="1" applyFill="1" applyAlignment="1" applyProtection="1">
      <alignment vertical="center" wrapText="1"/>
      <protection locked="0"/>
    </xf>
    <xf numFmtId="0" fontId="141" fillId="31" borderId="0" xfId="0" applyFont="1" applyFill="1" applyAlignment="1" applyProtection="1">
      <alignment horizontal="center" vertical="center"/>
      <protection locked="0"/>
    </xf>
    <xf numFmtId="3" fontId="141" fillId="31" borderId="0" xfId="0" applyNumberFormat="1" applyFont="1" applyFill="1" applyAlignment="1" applyProtection="1">
      <alignment vertical="center" wrapText="1"/>
      <protection locked="0"/>
    </xf>
    <xf numFmtId="49" fontId="141" fillId="31" borderId="0" xfId="0" applyNumberFormat="1" applyFont="1" applyFill="1" applyAlignment="1" applyProtection="1">
      <alignment vertical="center" wrapText="1"/>
      <protection locked="0"/>
    </xf>
    <xf numFmtId="0" fontId="143" fillId="31" borderId="0" xfId="0" applyFont="1" applyFill="1" applyAlignment="1" applyProtection="1">
      <alignment horizontal="center" vertical="center"/>
      <protection locked="0"/>
    </xf>
    <xf numFmtId="0" fontId="143" fillId="31" borderId="0" xfId="0" applyFont="1" applyFill="1" applyAlignment="1" applyProtection="1">
      <alignment vertical="center" wrapText="1"/>
      <protection locked="0"/>
    </xf>
    <xf numFmtId="0" fontId="143" fillId="31" borderId="0" xfId="0" applyFont="1" applyFill="1" applyAlignment="1" applyProtection="1">
      <alignment horizontal="center" vertical="center" wrapText="1"/>
      <protection locked="0"/>
    </xf>
    <xf numFmtId="3" fontId="143" fillId="31" borderId="0" xfId="0" applyNumberFormat="1" applyFont="1" applyFill="1" applyAlignment="1" applyProtection="1">
      <alignment vertical="center" wrapText="1"/>
      <protection locked="0"/>
    </xf>
    <xf numFmtId="49" fontId="143" fillId="31" borderId="0" xfId="0" applyNumberFormat="1" applyFont="1" applyFill="1" applyAlignment="1" applyProtection="1">
      <alignment vertical="center" wrapText="1"/>
      <protection locked="0"/>
    </xf>
    <xf numFmtId="0" fontId="143" fillId="30" borderId="62" xfId="0" applyFont="1" applyFill="1" applyBorder="1" applyAlignment="1" applyProtection="1">
      <alignment vertical="center" wrapText="1"/>
      <protection locked="0"/>
    </xf>
    <xf numFmtId="0" fontId="143" fillId="30" borderId="63" xfId="0" applyFont="1" applyFill="1" applyBorder="1" applyAlignment="1" applyProtection="1">
      <alignment horizontal="center" vertical="center" wrapText="1"/>
      <protection locked="0"/>
    </xf>
    <xf numFmtId="3" fontId="143" fillId="30" borderId="63" xfId="0" applyNumberFormat="1" applyFont="1" applyFill="1" applyBorder="1" applyAlignment="1" applyProtection="1">
      <alignment vertical="center" wrapText="1"/>
      <protection locked="0"/>
    </xf>
    <xf numFmtId="49" fontId="143" fillId="30" borderId="63" xfId="0" applyNumberFormat="1" applyFont="1" applyFill="1" applyBorder="1" applyAlignment="1" applyProtection="1">
      <alignment vertical="center" wrapText="1"/>
      <protection locked="0"/>
    </xf>
    <xf numFmtId="0" fontId="143" fillId="30" borderId="63" xfId="0" applyFont="1" applyFill="1" applyBorder="1" applyAlignment="1" applyProtection="1">
      <alignment horizontal="center" vertical="center"/>
      <protection locked="0"/>
    </xf>
    <xf numFmtId="0" fontId="143" fillId="30" borderId="63" xfId="0" applyFont="1" applyFill="1" applyBorder="1" applyAlignment="1" applyProtection="1">
      <alignment vertical="center" wrapText="1"/>
      <protection locked="0"/>
    </xf>
    <xf numFmtId="0" fontId="106" fillId="0" borderId="64" xfId="0" applyFont="1" applyBorder="1" applyAlignment="1" applyProtection="1">
      <alignment vertical="top"/>
      <protection locked="0"/>
    </xf>
    <xf numFmtId="0" fontId="106" fillId="31" borderId="65" xfId="0" applyFont="1" applyFill="1" applyBorder="1" applyAlignment="1" applyProtection="1">
      <alignment vertical="top"/>
      <protection locked="0"/>
    </xf>
    <xf numFmtId="0" fontId="107" fillId="31" borderId="65" xfId="0" applyFont="1" applyFill="1" applyBorder="1" applyAlignment="1" applyProtection="1">
      <alignment vertical="top"/>
      <protection locked="0"/>
    </xf>
    <xf numFmtId="0" fontId="111" fillId="31" borderId="66" xfId="0" applyFont="1" applyFill="1" applyBorder="1" applyAlignment="1" applyProtection="1">
      <alignment vertical="top"/>
      <protection locked="0"/>
    </xf>
    <xf numFmtId="0" fontId="108" fillId="31" borderId="67" xfId="0" applyFont="1" applyFill="1" applyBorder="1" applyAlignment="1" applyProtection="1">
      <alignment vertical="top" wrapText="1"/>
      <protection locked="0"/>
    </xf>
    <xf numFmtId="0" fontId="111" fillId="0" borderId="0" xfId="0" applyFont="1"/>
    <xf numFmtId="168" fontId="111" fillId="0" borderId="0" xfId="31" applyNumberFormat="1" applyFont="1" applyFill="1"/>
    <xf numFmtId="0" fontId="114" fillId="0" borderId="33" xfId="0" applyFont="1" applyBorder="1" applyAlignment="1">
      <alignment horizontal="center"/>
    </xf>
    <xf numFmtId="0" fontId="114" fillId="0" borderId="33" xfId="0" applyFont="1" applyBorder="1" applyAlignment="1">
      <alignment horizontal="center" vertical="center"/>
    </xf>
    <xf numFmtId="3" fontId="114" fillId="0" borderId="33" xfId="0" applyNumberFormat="1" applyFont="1" applyBorder="1" applyAlignment="1">
      <alignment horizontal="center"/>
    </xf>
    <xf numFmtId="3" fontId="115" fillId="0" borderId="33" xfId="0" applyNumberFormat="1" applyFont="1" applyBorder="1" applyAlignment="1">
      <alignment horizontal="center" wrapText="1"/>
    </xf>
    <xf numFmtId="0" fontId="115" fillId="0" borderId="8" xfId="0" applyFont="1" applyBorder="1" applyAlignment="1">
      <alignment horizontal="center" vertical="center"/>
    </xf>
    <xf numFmtId="3" fontId="115" fillId="0" borderId="8" xfId="0" applyNumberFormat="1" applyFont="1" applyBorder="1" applyAlignment="1">
      <alignment horizontal="center" vertical="center"/>
    </xf>
    <xf numFmtId="3" fontId="115" fillId="0" borderId="8" xfId="0" applyNumberFormat="1" applyFont="1" applyBorder="1" applyAlignment="1">
      <alignment horizontal="center" vertical="center" wrapText="1"/>
    </xf>
    <xf numFmtId="0" fontId="111" fillId="0" borderId="36" xfId="0" applyFont="1" applyBorder="1" applyAlignment="1">
      <alignment horizontal="center"/>
    </xf>
    <xf numFmtId="0" fontId="114" fillId="0" borderId="36" xfId="0" applyFont="1" applyBorder="1" applyAlignment="1" applyProtection="1">
      <alignment horizontal="center" vertical="top" wrapText="1"/>
      <protection locked="0"/>
    </xf>
    <xf numFmtId="0" fontId="111" fillId="0" borderId="36" xfId="0" applyFont="1" applyBorder="1" applyAlignment="1" applyProtection="1">
      <alignment horizontal="center" vertical="top" wrapText="1"/>
      <protection locked="0"/>
    </xf>
    <xf numFmtId="3" fontId="111" fillId="0" borderId="36" xfId="0" applyNumberFormat="1" applyFont="1" applyBorder="1"/>
    <xf numFmtId="3" fontId="111" fillId="0" borderId="31" xfId="0" applyNumberFormat="1" applyFont="1" applyBorder="1"/>
    <xf numFmtId="3" fontId="116" fillId="0" borderId="68" xfId="0" applyNumberFormat="1" applyFont="1" applyBorder="1" applyAlignment="1">
      <alignment wrapText="1"/>
    </xf>
    <xf numFmtId="0" fontId="111" fillId="0" borderId="36" xfId="0" applyFont="1" applyBorder="1" applyAlignment="1">
      <alignment vertical="center" wrapText="1"/>
    </xf>
    <xf numFmtId="0" fontId="111" fillId="0" borderId="36" xfId="0" applyFont="1" applyBorder="1" applyAlignment="1">
      <alignment horizontal="center" vertical="center" wrapText="1"/>
    </xf>
    <xf numFmtId="3" fontId="111" fillId="0" borderId="36" xfId="31" applyNumberFormat="1" applyFont="1" applyFill="1" applyBorder="1" applyAlignment="1">
      <alignment vertical="center"/>
    </xf>
    <xf numFmtId="3" fontId="116" fillId="0" borderId="36" xfId="0" applyNumberFormat="1" applyFont="1" applyBorder="1" applyAlignment="1">
      <alignment wrapText="1"/>
    </xf>
    <xf numFmtId="0" fontId="145" fillId="0" borderId="0" xfId="61" applyFont="1" applyFill="1"/>
    <xf numFmtId="0" fontId="117" fillId="0" borderId="36" xfId="70" applyFont="1" applyBorder="1" applyAlignment="1">
      <alignment vertical="center" wrapText="1"/>
    </xf>
    <xf numFmtId="0" fontId="111" fillId="0" borderId="36" xfId="0" applyFont="1" applyBorder="1" applyAlignment="1">
      <alignment horizontal="center" vertical="center"/>
    </xf>
    <xf numFmtId="0" fontId="117" fillId="0" borderId="36" xfId="0" applyFont="1" applyBorder="1" applyAlignment="1">
      <alignment vertical="center" wrapText="1"/>
    </xf>
    <xf numFmtId="0" fontId="111" fillId="37" borderId="36" xfId="0" applyFont="1" applyFill="1" applyBorder="1" applyAlignment="1">
      <alignment horizontal="center"/>
    </xf>
    <xf numFmtId="0" fontId="111" fillId="37" borderId="36" xfId="0" applyFont="1" applyFill="1" applyBorder="1" applyAlignment="1">
      <alignment vertical="center" wrapText="1"/>
    </xf>
    <xf numFmtId="0" fontId="111" fillId="37" borderId="36" xfId="0" applyFont="1" applyFill="1" applyBorder="1" applyAlignment="1">
      <alignment horizontal="center" vertical="center" wrapText="1"/>
    </xf>
    <xf numFmtId="3" fontId="111" fillId="37" borderId="36" xfId="31" applyNumberFormat="1" applyFont="1" applyFill="1" applyBorder="1" applyAlignment="1">
      <alignment vertical="center"/>
    </xf>
    <xf numFmtId="3" fontId="111" fillId="37" borderId="36" xfId="0" applyNumberFormat="1" applyFont="1" applyFill="1" applyBorder="1"/>
    <xf numFmtId="0" fontId="116" fillId="37" borderId="36" xfId="0" applyFont="1" applyFill="1" applyBorder="1" applyAlignment="1">
      <alignment vertical="center" wrapText="1"/>
    </xf>
    <xf numFmtId="0" fontId="111" fillId="37" borderId="0" xfId="0" applyFont="1" applyFill="1"/>
    <xf numFmtId="168" fontId="111" fillId="37" borderId="0" xfId="31" applyNumberFormat="1" applyFont="1" applyFill="1"/>
    <xf numFmtId="0" fontId="116" fillId="0" borderId="36" xfId="0" applyFont="1" applyBorder="1" applyAlignment="1">
      <alignment vertical="center" wrapText="1"/>
    </xf>
    <xf numFmtId="0" fontId="145" fillId="0" borderId="36" xfId="61" applyFont="1" applyFill="1" applyBorder="1" applyAlignment="1">
      <alignment vertical="center" wrapText="1"/>
    </xf>
    <xf numFmtId="3" fontId="111" fillId="0" borderId="69" xfId="0" applyNumberFormat="1" applyFont="1" applyBorder="1" applyAlignment="1">
      <alignment horizontal="left" vertical="center" wrapText="1"/>
    </xf>
    <xf numFmtId="3" fontId="111" fillId="38" borderId="36" xfId="31" applyNumberFormat="1" applyFont="1" applyFill="1" applyBorder="1" applyAlignment="1">
      <alignment vertical="center"/>
    </xf>
    <xf numFmtId="0" fontId="116" fillId="0" borderId="36" xfId="70" applyFont="1" applyBorder="1" applyAlignment="1">
      <alignment vertical="center" wrapText="1"/>
    </xf>
    <xf numFmtId="0" fontId="145" fillId="37" borderId="0" xfId="61" applyFont="1" applyFill="1"/>
    <xf numFmtId="0" fontId="116" fillId="37" borderId="36" xfId="70" applyFont="1" applyFill="1" applyBorder="1" applyAlignment="1">
      <alignment vertical="center" wrapText="1"/>
    </xf>
    <xf numFmtId="0" fontId="114" fillId="0" borderId="36" xfId="0" applyFont="1" applyBorder="1" applyAlignment="1">
      <alignment horizontal="center" vertical="center" wrapText="1"/>
    </xf>
    <xf numFmtId="3" fontId="111" fillId="0" borderId="8" xfId="0" applyNumberFormat="1" applyFont="1" applyBorder="1" applyAlignment="1">
      <alignment vertical="top" wrapText="1"/>
    </xf>
    <xf numFmtId="3" fontId="111" fillId="39" borderId="8" xfId="0" applyNumberFormat="1" applyFont="1" applyFill="1" applyBorder="1" applyAlignment="1">
      <alignment vertical="top" wrapText="1"/>
    </xf>
    <xf numFmtId="3" fontId="111" fillId="40" borderId="8" xfId="0" applyNumberFormat="1" applyFont="1" applyFill="1" applyBorder="1" applyAlignment="1">
      <alignment vertical="top" wrapText="1"/>
    </xf>
    <xf numFmtId="3" fontId="145" fillId="0" borderId="36" xfId="61" applyNumberFormat="1" applyFont="1" applyFill="1" applyBorder="1"/>
    <xf numFmtId="3" fontId="145" fillId="0" borderId="0" xfId="61" applyNumberFormat="1" applyFont="1" applyFill="1" applyBorder="1"/>
    <xf numFmtId="0" fontId="114" fillId="0" borderId="36" xfId="0" applyFont="1" applyBorder="1" applyAlignment="1">
      <alignment vertical="center" wrapText="1"/>
    </xf>
    <xf numFmtId="168" fontId="111" fillId="0" borderId="8" xfId="31" applyNumberFormat="1" applyFont="1" applyFill="1" applyBorder="1" applyAlignment="1">
      <alignment horizontal="center" vertical="center" wrapText="1"/>
    </xf>
    <xf numFmtId="0" fontId="111" fillId="0" borderId="36" xfId="0" applyFont="1" applyBorder="1" applyAlignment="1">
      <alignment vertical="center"/>
    </xf>
    <xf numFmtId="168" fontId="111" fillId="39" borderId="8" xfId="31" applyNumberFormat="1" applyFont="1" applyFill="1" applyBorder="1" applyAlignment="1">
      <alignment horizontal="center" vertical="center" wrapText="1"/>
    </xf>
    <xf numFmtId="0" fontId="111" fillId="39" borderId="36" xfId="0" applyFont="1" applyFill="1" applyBorder="1" applyAlignment="1">
      <alignment horizontal="center" vertical="center"/>
    </xf>
    <xf numFmtId="3" fontId="145" fillId="0" borderId="36" xfId="61" applyNumberFormat="1" applyFont="1" applyFill="1" applyBorder="1" applyAlignment="1">
      <alignment wrapText="1"/>
    </xf>
    <xf numFmtId="3" fontId="111" fillId="0" borderId="36" xfId="0" applyNumberFormat="1" applyFont="1" applyBorder="1" applyAlignment="1">
      <alignment wrapText="1"/>
    </xf>
    <xf numFmtId="0" fontId="116" fillId="0" borderId="0" xfId="0" applyFont="1" applyAlignment="1">
      <alignment vertical="center" wrapText="1"/>
    </xf>
    <xf numFmtId="0" fontId="111" fillId="37" borderId="36" xfId="0" applyFont="1" applyFill="1" applyBorder="1" applyAlignment="1">
      <alignment horizontal="center" vertical="center"/>
    </xf>
    <xf numFmtId="0" fontId="128" fillId="0" borderId="0" xfId="61"/>
    <xf numFmtId="3" fontId="116" fillId="37" borderId="36" xfId="0" applyNumberFormat="1" applyFont="1" applyFill="1" applyBorder="1" applyAlignment="1">
      <alignment wrapText="1"/>
    </xf>
    <xf numFmtId="3" fontId="128" fillId="0" borderId="36" xfId="61" applyNumberFormat="1" applyFill="1" applyBorder="1" applyAlignment="1">
      <alignment vertical="center"/>
    </xf>
    <xf numFmtId="3" fontId="128" fillId="0" borderId="0" xfId="61" applyNumberFormat="1" applyFill="1" applyBorder="1" applyAlignment="1">
      <alignment vertical="center"/>
    </xf>
    <xf numFmtId="0" fontId="145" fillId="0" borderId="0" xfId="61" applyFont="1" applyFill="1" applyAlignment="1">
      <alignment vertical="center" wrapText="1"/>
    </xf>
    <xf numFmtId="3" fontId="111" fillId="29" borderId="36" xfId="31" applyNumberFormat="1" applyFont="1" applyFill="1" applyBorder="1" applyAlignment="1">
      <alignment vertical="center"/>
    </xf>
    <xf numFmtId="0" fontId="111" fillId="0" borderId="36" xfId="0" applyFont="1" applyBorder="1" applyAlignment="1">
      <alignment wrapText="1"/>
    </xf>
    <xf numFmtId="3" fontId="111" fillId="38" borderId="36" xfId="0" applyNumberFormat="1" applyFont="1" applyFill="1" applyBorder="1"/>
    <xf numFmtId="0" fontId="111" fillId="0" borderId="44" xfId="0" applyFont="1" applyBorder="1" applyAlignment="1">
      <alignment horizontal="center"/>
    </xf>
    <xf numFmtId="0" fontId="111" fillId="0" borderId="44" xfId="0" applyFont="1" applyBorder="1" applyAlignment="1">
      <alignment vertical="center"/>
    </xf>
    <xf numFmtId="0" fontId="111" fillId="0" borderId="44" xfId="0" applyFont="1" applyBorder="1" applyAlignment="1">
      <alignment horizontal="center" vertical="center"/>
    </xf>
    <xf numFmtId="3" fontId="111" fillId="0" borderId="44" xfId="0" applyNumberFormat="1" applyFont="1" applyBorder="1"/>
    <xf numFmtId="3" fontId="116" fillId="0" borderId="44" xfId="0" applyNumberFormat="1" applyFont="1" applyBorder="1" applyAlignment="1">
      <alignment wrapText="1"/>
    </xf>
    <xf numFmtId="3" fontId="111" fillId="38" borderId="44" xfId="0" applyNumberFormat="1" applyFont="1" applyFill="1" applyBorder="1"/>
    <xf numFmtId="3" fontId="145" fillId="0" borderId="44" xfId="61" applyNumberFormat="1" applyFont="1" applyFill="1" applyBorder="1" applyAlignment="1">
      <alignment wrapText="1"/>
    </xf>
    <xf numFmtId="0" fontId="111" fillId="0" borderId="44" xfId="0" applyFont="1" applyBorder="1" applyAlignment="1">
      <alignment vertical="center" wrapText="1"/>
    </xf>
    <xf numFmtId="3" fontId="128" fillId="0" borderId="44" xfId="61" applyNumberFormat="1" applyFill="1" applyBorder="1"/>
    <xf numFmtId="0" fontId="111" fillId="0" borderId="48" xfId="0" applyFont="1" applyBorder="1" applyAlignment="1">
      <alignment horizontal="center"/>
    </xf>
    <xf numFmtId="0" fontId="111" fillId="0" borderId="48" xfId="0" applyFont="1" applyBorder="1" applyAlignment="1">
      <alignment wrapText="1"/>
    </xf>
    <xf numFmtId="0" fontId="111" fillId="0" borderId="48" xfId="0" applyFont="1" applyBorder="1" applyAlignment="1">
      <alignment horizontal="center" vertical="center"/>
    </xf>
    <xf numFmtId="3" fontId="111" fillId="0" borderId="48" xfId="0" applyNumberFormat="1" applyFont="1" applyBorder="1"/>
    <xf numFmtId="3" fontId="116" fillId="0" borderId="48" xfId="0" applyNumberFormat="1" applyFont="1" applyBorder="1" applyAlignment="1">
      <alignment wrapText="1"/>
    </xf>
    <xf numFmtId="0" fontId="111" fillId="0" borderId="0" xfId="0" applyFont="1" applyAlignment="1">
      <alignment horizontal="center"/>
    </xf>
    <xf numFmtId="0" fontId="111" fillId="0" borderId="0" xfId="0" applyFont="1" applyAlignment="1">
      <alignment horizontal="center" vertical="center"/>
    </xf>
    <xf numFmtId="3" fontId="111" fillId="0" borderId="0" xfId="0" applyNumberFormat="1" applyFont="1"/>
    <xf numFmtId="3" fontId="116" fillId="0" borderId="0" xfId="0" applyNumberFormat="1" applyFont="1" applyAlignment="1">
      <alignment wrapText="1"/>
    </xf>
    <xf numFmtId="0" fontId="122" fillId="0" borderId="0" xfId="75" applyFont="1"/>
    <xf numFmtId="0" fontId="111" fillId="0" borderId="0" xfId="75" applyFont="1" applyAlignment="1" applyProtection="1">
      <alignment horizontal="left" vertical="top"/>
      <protection locked="0"/>
    </xf>
    <xf numFmtId="0" fontId="111" fillId="0" borderId="0" xfId="75" applyFont="1"/>
    <xf numFmtId="0" fontId="111" fillId="0" borderId="8" xfId="80" applyFont="1" applyBorder="1" applyAlignment="1">
      <alignment horizontal="center" vertical="center" wrapText="1"/>
    </xf>
    <xf numFmtId="0" fontId="111" fillId="0" borderId="8" xfId="75" applyFont="1" applyBorder="1"/>
    <xf numFmtId="0" fontId="111" fillId="0" borderId="8" xfId="80" quotePrefix="1" applyFont="1" applyBorder="1" applyAlignment="1">
      <alignment horizontal="center" vertical="center"/>
    </xf>
    <xf numFmtId="0" fontId="111" fillId="0" borderId="23" xfId="80" quotePrefix="1" applyFont="1" applyBorder="1" applyAlignment="1">
      <alignment horizontal="center" vertical="center"/>
    </xf>
    <xf numFmtId="169" fontId="111" fillId="0" borderId="23" xfId="37" quotePrefix="1" applyNumberFormat="1" applyFont="1" applyFill="1" applyBorder="1" applyAlignment="1">
      <alignment horizontal="center" vertical="center"/>
    </xf>
    <xf numFmtId="166" fontId="111" fillId="0" borderId="23" xfId="37" quotePrefix="1" applyFont="1" applyFill="1" applyBorder="1" applyAlignment="1">
      <alignment horizontal="center" vertical="center"/>
    </xf>
    <xf numFmtId="170" fontId="111" fillId="0" borderId="23" xfId="37" quotePrefix="1" applyNumberFormat="1" applyFont="1" applyFill="1" applyBorder="1" applyAlignment="1">
      <alignment horizontal="center" vertical="center"/>
    </xf>
    <xf numFmtId="168" fontId="111" fillId="0" borderId="23" xfId="37" quotePrefix="1" applyNumberFormat="1" applyFont="1" applyFill="1" applyBorder="1" applyAlignment="1">
      <alignment horizontal="center" vertical="center"/>
    </xf>
    <xf numFmtId="168" fontId="111" fillId="0" borderId="8" xfId="37" quotePrefix="1" applyNumberFormat="1" applyFont="1" applyFill="1" applyBorder="1" applyAlignment="1">
      <alignment horizontal="center" vertical="center" wrapText="1"/>
    </xf>
    <xf numFmtId="0" fontId="111" fillId="0" borderId="69" xfId="84" applyFont="1" applyBorder="1" applyAlignment="1">
      <alignment horizontal="center" vertical="center"/>
    </xf>
    <xf numFmtId="166" fontId="111" fillId="0" borderId="42" xfId="40" applyFont="1" applyFill="1" applyBorder="1" applyAlignment="1">
      <alignment horizontal="centerContinuous" vertical="center"/>
    </xf>
    <xf numFmtId="4" fontId="111" fillId="0" borderId="42" xfId="84" applyNumberFormat="1" applyFont="1" applyBorder="1" applyAlignment="1">
      <alignment vertical="center"/>
    </xf>
    <xf numFmtId="4" fontId="111" fillId="0" borderId="47" xfId="84" applyNumberFormat="1" applyFont="1" applyBorder="1" applyAlignment="1">
      <alignment horizontal="center" vertical="center"/>
    </xf>
    <xf numFmtId="0" fontId="111" fillId="0" borderId="68" xfId="37" applyNumberFormat="1" applyFont="1" applyFill="1" applyBorder="1" applyAlignment="1">
      <alignment horizontal="left" vertical="center"/>
    </xf>
    <xf numFmtId="0" fontId="111" fillId="0" borderId="47" xfId="84" applyFont="1" applyBorder="1" applyAlignment="1">
      <alignment horizontal="center" vertical="center"/>
    </xf>
    <xf numFmtId="0" fontId="111" fillId="0" borderId="68" xfId="84" applyFont="1" applyBorder="1" applyAlignment="1">
      <alignment horizontal="center" vertical="center"/>
    </xf>
    <xf numFmtId="4" fontId="111" fillId="0" borderId="47" xfId="84" applyNumberFormat="1" applyFont="1" applyBorder="1" applyAlignment="1">
      <alignment vertical="center"/>
    </xf>
    <xf numFmtId="3" fontId="111" fillId="0" borderId="47" xfId="84" applyNumberFormat="1" applyFont="1" applyBorder="1" applyAlignment="1">
      <alignment vertical="center"/>
    </xf>
    <xf numFmtId="168" fontId="111" fillId="0" borderId="47" xfId="40" applyNumberFormat="1" applyFont="1" applyFill="1" applyBorder="1" applyAlignment="1">
      <alignment vertical="center"/>
    </xf>
    <xf numFmtId="0" fontId="111" fillId="0" borderId="48" xfId="84" applyFont="1" applyBorder="1" applyAlignment="1">
      <alignment horizontal="centerContinuous" vertical="center"/>
    </xf>
    <xf numFmtId="166" fontId="111" fillId="0" borderId="50" xfId="40" applyFont="1" applyFill="1" applyBorder="1" applyAlignment="1">
      <alignment horizontal="centerContinuous" vertical="center"/>
    </xf>
    <xf numFmtId="4" fontId="111" fillId="0" borderId="50" xfId="84" applyNumberFormat="1" applyFont="1" applyBorder="1" applyAlignment="1">
      <alignment vertical="center"/>
    </xf>
    <xf numFmtId="4" fontId="111" fillId="0" borderId="48" xfId="84" applyNumberFormat="1" applyFont="1" applyBorder="1" applyAlignment="1">
      <alignment horizontal="center" vertical="top"/>
    </xf>
    <xf numFmtId="0" fontId="111" fillId="0" borderId="42" xfId="84" quotePrefix="1" applyFont="1" applyBorder="1" applyAlignment="1">
      <alignment horizontal="left" vertical="center" indent="1"/>
    </xf>
    <xf numFmtId="0" fontId="111" fillId="0" borderId="50" xfId="84" applyFont="1" applyBorder="1" applyAlignment="1">
      <alignment vertical="center"/>
    </xf>
    <xf numFmtId="0" fontId="111" fillId="0" borderId="48" xfId="84" applyFont="1" applyBorder="1" applyAlignment="1">
      <alignment horizontal="center" vertical="center"/>
    </xf>
    <xf numFmtId="168" fontId="111" fillId="0" borderId="48" xfId="40" applyNumberFormat="1" applyFont="1" applyFill="1" applyBorder="1" applyAlignment="1">
      <alignment vertical="top"/>
    </xf>
    <xf numFmtId="170" fontId="111" fillId="0" borderId="48" xfId="40" applyNumberFormat="1" applyFont="1" applyFill="1" applyBorder="1" applyAlignment="1">
      <alignment vertical="center"/>
    </xf>
    <xf numFmtId="3" fontId="111" fillId="0" borderId="42" xfId="84" applyNumberFormat="1" applyFont="1" applyBorder="1" applyAlignment="1">
      <alignment vertical="center"/>
    </xf>
    <xf numFmtId="3" fontId="111" fillId="0" borderId="50" xfId="84" applyNumberFormat="1" applyFont="1" applyBorder="1" applyAlignment="1">
      <alignment vertical="center"/>
    </xf>
    <xf numFmtId="0" fontId="111" fillId="0" borderId="69" xfId="84" applyFont="1" applyBorder="1" applyAlignment="1">
      <alignment horizontal="centerContinuous" vertical="center"/>
    </xf>
    <xf numFmtId="4" fontId="111" fillId="0" borderId="70" xfId="84" applyNumberFormat="1" applyFont="1" applyBorder="1" applyAlignment="1">
      <alignment horizontal="center" vertical="center"/>
    </xf>
    <xf numFmtId="168" fontId="111" fillId="0" borderId="70" xfId="84" applyNumberFormat="1" applyFont="1" applyBorder="1" applyAlignment="1">
      <alignment vertical="center"/>
    </xf>
    <xf numFmtId="170" fontId="111" fillId="0" borderId="70" xfId="84" applyNumberFormat="1" applyFont="1" applyBorder="1" applyAlignment="1">
      <alignment vertical="center"/>
    </xf>
    <xf numFmtId="168" fontId="122" fillId="0" borderId="0" xfId="36" applyNumberFormat="1" applyFont="1" applyFill="1"/>
    <xf numFmtId="0" fontId="111" fillId="0" borderId="36" xfId="84" applyFont="1" applyBorder="1" applyAlignment="1">
      <alignment horizontal="centerContinuous" vertical="center"/>
    </xf>
    <xf numFmtId="4" fontId="111" fillId="0" borderId="42" xfId="84" applyNumberFormat="1" applyFont="1" applyBorder="1" applyAlignment="1">
      <alignment horizontal="center" vertical="center"/>
    </xf>
    <xf numFmtId="168" fontId="111" fillId="0" borderId="42" xfId="40" applyNumberFormat="1" applyFont="1" applyFill="1" applyBorder="1" applyAlignment="1">
      <alignment vertical="center"/>
    </xf>
    <xf numFmtId="170" fontId="111" fillId="0" borderId="42" xfId="84" applyNumberFormat="1" applyFont="1" applyBorder="1" applyAlignment="1">
      <alignment vertical="center"/>
    </xf>
    <xf numFmtId="0" fontId="111" fillId="0" borderId="48" xfId="84" quotePrefix="1" applyFont="1" applyBorder="1" applyAlignment="1">
      <alignment horizontal="left" vertical="center" indent="1"/>
    </xf>
    <xf numFmtId="0" fontId="142" fillId="0" borderId="68" xfId="84" applyFont="1" applyBorder="1" applyAlignment="1">
      <alignment horizontal="centerContinuous" vertical="center"/>
    </xf>
    <xf numFmtId="166" fontId="142" fillId="0" borderId="47" xfId="40" applyFont="1" applyFill="1" applyBorder="1" applyAlignment="1">
      <alignment horizontal="centerContinuous" vertical="center"/>
    </xf>
    <xf numFmtId="4" fontId="142" fillId="0" borderId="47" xfId="84" applyNumberFormat="1" applyFont="1" applyBorder="1" applyAlignment="1">
      <alignment vertical="center"/>
    </xf>
    <xf numFmtId="4" fontId="142" fillId="0" borderId="47" xfId="84" applyNumberFormat="1" applyFont="1" applyBorder="1" applyAlignment="1">
      <alignment horizontal="center" vertical="center"/>
    </xf>
    <xf numFmtId="0" fontId="142" fillId="0" borderId="68" xfId="37" applyNumberFormat="1" applyFont="1" applyFill="1" applyBorder="1" applyAlignment="1">
      <alignment horizontal="left" vertical="center"/>
    </xf>
    <xf numFmtId="0" fontId="142" fillId="0" borderId="47" xfId="84" applyFont="1" applyBorder="1" applyAlignment="1">
      <alignment horizontal="center" vertical="center"/>
    </xf>
    <xf numFmtId="0" fontId="142" fillId="0" borderId="68" xfId="84" applyFont="1" applyBorder="1" applyAlignment="1">
      <alignment horizontal="center" vertical="center"/>
    </xf>
    <xf numFmtId="168" fontId="142" fillId="0" borderId="47" xfId="84" applyNumberFormat="1" applyFont="1" applyBorder="1" applyAlignment="1">
      <alignment vertical="center"/>
    </xf>
    <xf numFmtId="170" fontId="142" fillId="0" borderId="47" xfId="84" applyNumberFormat="1" applyFont="1" applyBorder="1" applyAlignment="1">
      <alignment vertical="center"/>
    </xf>
    <xf numFmtId="3" fontId="142" fillId="0" borderId="68" xfId="84" applyNumberFormat="1" applyFont="1" applyBorder="1" applyAlignment="1">
      <alignment vertical="center"/>
    </xf>
    <xf numFmtId="168" fontId="142" fillId="0" borderId="47" xfId="40" applyNumberFormat="1" applyFont="1" applyFill="1" applyBorder="1" applyAlignment="1">
      <alignment vertical="center"/>
    </xf>
    <xf numFmtId="0" fontId="142" fillId="0" borderId="48" xfId="84" applyFont="1" applyBorder="1" applyAlignment="1">
      <alignment horizontal="centerContinuous" vertical="center"/>
    </xf>
    <xf numFmtId="166" fontId="142" fillId="0" borderId="50" xfId="40" applyFont="1" applyFill="1" applyBorder="1" applyAlignment="1">
      <alignment horizontal="centerContinuous" vertical="center"/>
    </xf>
    <xf numFmtId="4" fontId="142" fillId="0" borderId="50" xfId="84" applyNumberFormat="1" applyFont="1" applyBorder="1" applyAlignment="1">
      <alignment vertical="center"/>
    </xf>
    <xf numFmtId="4" fontId="142" fillId="0" borderId="48" xfId="84" applyNumberFormat="1" applyFont="1" applyBorder="1" applyAlignment="1">
      <alignment horizontal="center" vertical="top"/>
    </xf>
    <xf numFmtId="0" fontId="142" fillId="0" borderId="48" xfId="84" quotePrefix="1" applyFont="1" applyBorder="1" applyAlignment="1">
      <alignment horizontal="left" vertical="center" indent="1"/>
    </xf>
    <xf numFmtId="0" fontId="142" fillId="0" borderId="50" xfId="84" applyFont="1" applyBorder="1" applyAlignment="1">
      <alignment vertical="center"/>
    </xf>
    <xf numFmtId="0" fontId="142" fillId="0" borderId="48" xfId="84" applyFont="1" applyBorder="1" applyAlignment="1">
      <alignment horizontal="center" vertical="center"/>
    </xf>
    <xf numFmtId="168" fontId="142" fillId="0" borderId="48" xfId="40" applyNumberFormat="1" applyFont="1" applyFill="1" applyBorder="1" applyAlignment="1">
      <alignment vertical="top"/>
    </xf>
    <xf numFmtId="170" fontId="142" fillId="0" borderId="48" xfId="40" applyNumberFormat="1" applyFont="1" applyFill="1" applyBorder="1" applyAlignment="1">
      <alignment vertical="center"/>
    </xf>
    <xf numFmtId="3" fontId="142" fillId="0" borderId="48" xfId="84" applyNumberFormat="1" applyFont="1" applyBorder="1" applyAlignment="1">
      <alignment vertical="center"/>
    </xf>
    <xf numFmtId="3" fontId="142" fillId="0" borderId="50" xfId="84" applyNumberFormat="1" applyFont="1" applyBorder="1" applyAlignment="1">
      <alignment vertical="center"/>
    </xf>
    <xf numFmtId="0" fontId="122" fillId="30" borderId="0" xfId="75" applyFont="1" applyFill="1"/>
    <xf numFmtId="0" fontId="142" fillId="0" borderId="68" xfId="84" applyFont="1" applyBorder="1" applyAlignment="1">
      <alignment horizontal="center" vertical="center" shrinkToFit="1"/>
    </xf>
    <xf numFmtId="168" fontId="142" fillId="0" borderId="47" xfId="84" applyNumberFormat="1" applyFont="1" applyBorder="1" applyAlignment="1">
      <alignment vertical="center" shrinkToFit="1"/>
    </xf>
    <xf numFmtId="170" fontId="142" fillId="0" borderId="47" xfId="84" applyNumberFormat="1" applyFont="1" applyBorder="1" applyAlignment="1">
      <alignment vertical="center" shrinkToFit="1"/>
    </xf>
    <xf numFmtId="3" fontId="142" fillId="0" borderId="47" xfId="84" applyNumberFormat="1" applyFont="1" applyBorder="1" applyAlignment="1">
      <alignment vertical="center" shrinkToFit="1"/>
    </xf>
    <xf numFmtId="166" fontId="142" fillId="0" borderId="47" xfId="36" applyFont="1" applyFill="1" applyBorder="1" applyAlignment="1">
      <alignment vertical="center" shrinkToFit="1"/>
    </xf>
    <xf numFmtId="168" fontId="142" fillId="0" borderId="47" xfId="40" applyNumberFormat="1" applyFont="1" applyFill="1" applyBorder="1" applyAlignment="1">
      <alignment vertical="center" shrinkToFit="1"/>
    </xf>
    <xf numFmtId="0" fontId="142" fillId="0" borderId="42" xfId="84" quotePrefix="1" applyFont="1" applyBorder="1" applyAlignment="1">
      <alignment horizontal="left" vertical="center" indent="1"/>
    </xf>
    <xf numFmtId="0" fontId="142" fillId="0" borderId="48" xfId="84" applyFont="1" applyBorder="1" applyAlignment="1">
      <alignment horizontal="center" vertical="center" shrinkToFit="1"/>
    </xf>
    <xf numFmtId="170" fontId="142" fillId="0" borderId="48" xfId="40" applyNumberFormat="1" applyFont="1" applyFill="1" applyBorder="1" applyAlignment="1">
      <alignment vertical="center" shrinkToFit="1"/>
    </xf>
    <xf numFmtId="3" fontId="142" fillId="0" borderId="48" xfId="84" applyNumberFormat="1" applyFont="1" applyBorder="1" applyAlignment="1">
      <alignment vertical="center" shrinkToFit="1"/>
    </xf>
    <xf numFmtId="4" fontId="142" fillId="0" borderId="50" xfId="84" applyNumberFormat="1" applyFont="1" applyBorder="1" applyAlignment="1">
      <alignment vertical="center" shrinkToFit="1"/>
    </xf>
    <xf numFmtId="3" fontId="142" fillId="0" borderId="50" xfId="84" applyNumberFormat="1" applyFont="1" applyBorder="1" applyAlignment="1">
      <alignment vertical="center" shrinkToFit="1"/>
    </xf>
    <xf numFmtId="166" fontId="142" fillId="0" borderId="47" xfId="40" applyFont="1" applyFill="1" applyBorder="1" applyAlignment="1">
      <alignment vertical="center" shrinkToFit="1"/>
    </xf>
    <xf numFmtId="2" fontId="122" fillId="0" borderId="0" xfId="75" applyNumberFormat="1" applyFont="1"/>
    <xf numFmtId="168" fontId="142" fillId="0" borderId="48" xfId="40" applyNumberFormat="1" applyFont="1" applyFill="1" applyBorder="1" applyAlignment="1">
      <alignment vertical="center" shrinkToFit="1"/>
    </xf>
    <xf numFmtId="2" fontId="146" fillId="0" borderId="0" xfId="75" applyNumberFormat="1" applyFont="1"/>
    <xf numFmtId="166" fontId="111" fillId="0" borderId="47" xfId="40" applyFont="1" applyFill="1" applyBorder="1" applyAlignment="1">
      <alignment horizontal="centerContinuous" vertical="center"/>
    </xf>
    <xf numFmtId="168" fontId="111" fillId="0" borderId="47" xfId="84" applyNumberFormat="1" applyFont="1" applyBorder="1" applyAlignment="1">
      <alignment vertical="center"/>
    </xf>
    <xf numFmtId="170" fontId="111" fillId="0" borderId="47" xfId="84" applyNumberFormat="1" applyFont="1" applyBorder="1" applyAlignment="1">
      <alignment vertical="center"/>
    </xf>
    <xf numFmtId="168" fontId="111" fillId="0" borderId="48" xfId="40" applyNumberFormat="1" applyFont="1" applyFill="1" applyBorder="1" applyAlignment="1">
      <alignment vertical="center"/>
    </xf>
    <xf numFmtId="3" fontId="111" fillId="0" borderId="48" xfId="84" applyNumberFormat="1" applyFont="1" applyBorder="1" applyAlignment="1">
      <alignment vertical="center"/>
    </xf>
    <xf numFmtId="166" fontId="111" fillId="0" borderId="47" xfId="40" applyFont="1" applyFill="1" applyBorder="1" applyAlignment="1">
      <alignment vertical="center"/>
    </xf>
    <xf numFmtId="166" fontId="122" fillId="0" borderId="0" xfId="75" applyNumberFormat="1" applyFont="1"/>
    <xf numFmtId="183" fontId="111" fillId="0" borderId="47" xfId="84" applyNumberFormat="1" applyFont="1" applyBorder="1" applyAlignment="1">
      <alignment vertical="center"/>
    </xf>
    <xf numFmtId="3" fontId="125" fillId="0" borderId="0" xfId="75" applyNumberFormat="1" applyFont="1"/>
    <xf numFmtId="0" fontId="102" fillId="30" borderId="8" xfId="0" applyFont="1" applyFill="1" applyBorder="1"/>
    <xf numFmtId="168" fontId="102" fillId="0" borderId="8" xfId="0" applyNumberFormat="1" applyFont="1" applyBorder="1"/>
    <xf numFmtId="0" fontId="18" fillId="0" borderId="8" xfId="58" applyBorder="1" applyAlignment="1" applyProtection="1"/>
    <xf numFmtId="3" fontId="147" fillId="41" borderId="42" xfId="31" applyNumberFormat="1" applyFont="1" applyFill="1" applyBorder="1" applyAlignment="1">
      <alignment horizontal="right" vertical="center"/>
    </xf>
    <xf numFmtId="3" fontId="147" fillId="41" borderId="45" xfId="31" applyNumberFormat="1" applyFont="1" applyFill="1" applyBorder="1" applyAlignment="1">
      <alignment horizontal="right" vertical="center" wrapText="1"/>
    </xf>
    <xf numFmtId="3" fontId="61" fillId="30" borderId="42" xfId="31" applyNumberFormat="1" applyFont="1" applyFill="1" applyBorder="1" applyAlignment="1">
      <alignment horizontal="right" vertical="center"/>
    </xf>
    <xf numFmtId="3" fontId="61" fillId="30" borderId="42" xfId="31" applyNumberFormat="1" applyFont="1" applyFill="1" applyBorder="1" applyAlignment="1">
      <alignment horizontal="right" vertical="center" wrapText="1"/>
    </xf>
    <xf numFmtId="2" fontId="104" fillId="31" borderId="0" xfId="78" applyNumberFormat="1" applyFont="1" applyFill="1" applyAlignment="1">
      <alignment vertical="center"/>
    </xf>
    <xf numFmtId="2" fontId="104" fillId="31" borderId="0" xfId="78" applyNumberFormat="1" applyFont="1" applyFill="1" applyAlignment="1">
      <alignment horizontal="center" vertical="center"/>
    </xf>
    <xf numFmtId="184" fontId="104" fillId="31" borderId="0" xfId="110" applyNumberFormat="1" applyFont="1" applyFill="1" applyAlignment="1">
      <alignment vertical="center"/>
    </xf>
    <xf numFmtId="0" fontId="6" fillId="0" borderId="0" xfId="111"/>
    <xf numFmtId="0" fontId="115" fillId="31" borderId="0" xfId="111" applyFont="1" applyFill="1" applyAlignment="1">
      <alignment horizontal="left" indent="5"/>
    </xf>
    <xf numFmtId="0" fontId="115" fillId="31" borderId="0" xfId="111" applyFont="1" applyFill="1" applyAlignment="1">
      <alignment horizontal="left"/>
    </xf>
    <xf numFmtId="0" fontId="115" fillId="31" borderId="0" xfId="111" applyFont="1" applyFill="1"/>
    <xf numFmtId="0" fontId="115" fillId="31" borderId="0" xfId="111" applyFont="1" applyFill="1" applyAlignment="1">
      <alignment horizontal="center"/>
    </xf>
    <xf numFmtId="184" fontId="115" fillId="31" borderId="0" xfId="110" applyNumberFormat="1" applyFont="1" applyFill="1" applyAlignment="1"/>
    <xf numFmtId="0" fontId="115" fillId="31" borderId="0" xfId="111" applyFont="1" applyFill="1" applyAlignment="1">
      <alignment horizontal="left" indent="26"/>
    </xf>
    <xf numFmtId="184" fontId="115" fillId="31" borderId="0" xfId="110" applyNumberFormat="1" applyFont="1" applyFill="1" applyAlignment="1">
      <alignment horizontal="left" indent="26"/>
    </xf>
    <xf numFmtId="0" fontId="115" fillId="31" borderId="27" xfId="78" applyFont="1" applyFill="1" applyBorder="1" applyAlignment="1">
      <alignment horizontal="center" vertical="center" wrapText="1"/>
    </xf>
    <xf numFmtId="185" fontId="115" fillId="31" borderId="27" xfId="110" applyNumberFormat="1" applyFont="1" applyFill="1" applyBorder="1" applyAlignment="1" applyProtection="1">
      <alignment horizontal="center" vertical="center" wrapText="1"/>
    </xf>
    <xf numFmtId="9" fontId="115" fillId="31" borderId="27" xfId="112" applyFont="1" applyFill="1" applyBorder="1" applyAlignment="1" applyProtection="1">
      <alignment vertical="center" wrapText="1"/>
    </xf>
    <xf numFmtId="184" fontId="115" fillId="31" borderId="8" xfId="110" applyNumberFormat="1" applyFont="1" applyFill="1" applyBorder="1" applyAlignment="1" applyProtection="1">
      <alignment horizontal="center" vertical="center" wrapText="1"/>
    </xf>
    <xf numFmtId="184" fontId="115" fillId="31" borderId="8" xfId="110" applyNumberFormat="1" applyFont="1" applyFill="1" applyBorder="1" applyAlignment="1">
      <alignment horizontal="center" vertical="center" wrapText="1"/>
    </xf>
    <xf numFmtId="0" fontId="6" fillId="0" borderId="0" xfId="111" applyAlignment="1">
      <alignment horizontal="center"/>
    </xf>
    <xf numFmtId="9" fontId="115" fillId="31" borderId="43" xfId="112" applyFont="1" applyFill="1" applyBorder="1" applyAlignment="1" applyProtection="1">
      <alignment vertical="center" wrapText="1"/>
    </xf>
    <xf numFmtId="0" fontId="115" fillId="31" borderId="8" xfId="78" applyFont="1" applyFill="1" applyBorder="1" applyAlignment="1">
      <alignment horizontal="center" vertical="center" wrapText="1"/>
    </xf>
    <xf numFmtId="0" fontId="115" fillId="31" borderId="8" xfId="78" applyFont="1" applyFill="1" applyBorder="1" applyAlignment="1">
      <alignment horizontal="left" vertical="center" wrapText="1"/>
    </xf>
    <xf numFmtId="0" fontId="115" fillId="31" borderId="8" xfId="78" applyFont="1" applyFill="1" applyBorder="1" applyAlignment="1">
      <alignment vertical="center" wrapText="1"/>
    </xf>
    <xf numFmtId="0" fontId="115" fillId="31" borderId="8" xfId="111" applyFont="1" applyFill="1" applyBorder="1" applyAlignment="1">
      <alignment vertical="center"/>
    </xf>
    <xf numFmtId="0" fontId="116" fillId="31" borderId="8" xfId="78" applyFont="1" applyFill="1" applyBorder="1" applyAlignment="1">
      <alignment horizontal="left" vertical="center" wrapText="1"/>
    </xf>
    <xf numFmtId="0" fontId="116" fillId="31" borderId="8" xfId="111" quotePrefix="1" applyFont="1" applyFill="1" applyBorder="1" applyAlignment="1">
      <alignment vertical="center" wrapText="1"/>
    </xf>
    <xf numFmtId="3" fontId="115" fillId="31" borderId="27" xfId="78" applyNumberFormat="1" applyFont="1" applyFill="1" applyBorder="1" applyAlignment="1">
      <alignment horizontal="center" vertical="center" wrapText="1"/>
    </xf>
    <xf numFmtId="0" fontId="116" fillId="31" borderId="27" xfId="78" applyFont="1" applyFill="1" applyBorder="1" applyAlignment="1">
      <alignment vertical="center" wrapText="1"/>
    </xf>
    <xf numFmtId="184" fontId="116" fillId="31" borderId="8" xfId="110" applyNumberFormat="1" applyFont="1" applyFill="1" applyBorder="1" applyAlignment="1">
      <alignment vertical="center" wrapText="1"/>
    </xf>
    <xf numFmtId="9" fontId="116" fillId="31" borderId="8" xfId="112" applyFont="1" applyFill="1" applyBorder="1" applyAlignment="1" applyProtection="1">
      <alignment horizontal="center" vertical="center" wrapText="1"/>
    </xf>
    <xf numFmtId="168" fontId="116" fillId="31" borderId="8" xfId="78" applyNumberFormat="1" applyFont="1" applyFill="1" applyBorder="1" applyAlignment="1">
      <alignment horizontal="center" vertical="center" wrapText="1"/>
    </xf>
    <xf numFmtId="3" fontId="116" fillId="31" borderId="8" xfId="78" applyNumberFormat="1" applyFont="1" applyFill="1" applyBorder="1" applyAlignment="1">
      <alignment vertical="center" wrapText="1"/>
    </xf>
    <xf numFmtId="0" fontId="116" fillId="31" borderId="8" xfId="78" applyFont="1" applyFill="1" applyBorder="1" applyAlignment="1">
      <alignment vertical="center" wrapText="1"/>
    </xf>
    <xf numFmtId="0" fontId="116" fillId="31" borderId="8" xfId="113" quotePrefix="1" applyFont="1" applyFill="1" applyBorder="1" applyAlignment="1">
      <alignment vertical="center" wrapText="1"/>
    </xf>
    <xf numFmtId="3" fontId="115" fillId="31" borderId="27" xfId="78" applyNumberFormat="1" applyFont="1" applyFill="1" applyBorder="1" applyAlignment="1">
      <alignment vertical="center" wrapText="1"/>
    </xf>
    <xf numFmtId="184" fontId="116" fillId="31" borderId="27" xfId="110" applyNumberFormat="1" applyFont="1" applyFill="1" applyBorder="1" applyAlignment="1">
      <alignment vertical="center" wrapText="1"/>
    </xf>
    <xf numFmtId="184" fontId="116" fillId="31" borderId="27" xfId="110" applyNumberFormat="1" applyFont="1" applyFill="1" applyBorder="1" applyAlignment="1">
      <alignment horizontal="center" vertical="center" wrapText="1"/>
    </xf>
    <xf numFmtId="3" fontId="115" fillId="31" borderId="43" xfId="78" applyNumberFormat="1" applyFont="1" applyFill="1" applyBorder="1" applyAlignment="1">
      <alignment vertical="center" wrapText="1"/>
    </xf>
    <xf numFmtId="0" fontId="116" fillId="31" borderId="43" xfId="78" applyFont="1" applyFill="1" applyBorder="1" applyAlignment="1">
      <alignment vertical="center" wrapText="1"/>
    </xf>
    <xf numFmtId="184" fontId="116" fillId="31" borderId="43" xfId="110" applyNumberFormat="1" applyFont="1" applyFill="1" applyBorder="1" applyAlignment="1">
      <alignment vertical="center" wrapText="1"/>
    </xf>
    <xf numFmtId="184" fontId="116" fillId="31" borderId="43" xfId="110" applyNumberFormat="1" applyFont="1" applyFill="1" applyBorder="1" applyAlignment="1">
      <alignment horizontal="center" vertical="center" wrapText="1"/>
    </xf>
    <xf numFmtId="3" fontId="115" fillId="31" borderId="8" xfId="78" applyNumberFormat="1" applyFont="1" applyFill="1" applyBorder="1" applyAlignment="1">
      <alignment horizontal="center" vertical="center" wrapText="1"/>
    </xf>
    <xf numFmtId="0" fontId="116" fillId="31" borderId="8" xfId="78" applyFont="1" applyFill="1" applyBorder="1" applyAlignment="1">
      <alignment horizontal="center" vertical="center" wrapText="1"/>
    </xf>
    <xf numFmtId="0" fontId="116" fillId="31" borderId="8" xfId="114" applyFont="1" applyFill="1" applyBorder="1" applyAlignment="1">
      <alignment horizontal="left" vertical="center" wrapText="1"/>
    </xf>
    <xf numFmtId="0" fontId="116" fillId="31" borderId="8" xfId="111" applyFont="1" applyFill="1" applyBorder="1" applyAlignment="1">
      <alignment vertical="top" wrapText="1"/>
    </xf>
    <xf numFmtId="49" fontId="116" fillId="31" borderId="8" xfId="111" quotePrefix="1" applyNumberFormat="1" applyFont="1" applyFill="1" applyBorder="1" applyAlignment="1">
      <alignment vertical="top" wrapText="1"/>
    </xf>
    <xf numFmtId="0" fontId="116" fillId="31" borderId="8" xfId="65" applyFont="1" applyFill="1" applyBorder="1" applyAlignment="1">
      <alignment vertical="center" wrapText="1"/>
    </xf>
    <xf numFmtId="3" fontId="116" fillId="31" borderId="8" xfId="78" applyNumberFormat="1" applyFont="1" applyFill="1" applyBorder="1" applyAlignment="1">
      <alignment horizontal="left" vertical="center" wrapText="1"/>
    </xf>
    <xf numFmtId="0" fontId="115" fillId="31" borderId="8" xfId="78" applyFont="1" applyFill="1" applyBorder="1" applyAlignment="1">
      <alignment horizontal="center" vertical="center"/>
    </xf>
    <xf numFmtId="0" fontId="116" fillId="31" borderId="8" xfId="115" applyFont="1" applyFill="1" applyBorder="1" applyAlignment="1" applyProtection="1">
      <alignment vertical="center" wrapText="1"/>
    </xf>
    <xf numFmtId="0" fontId="116" fillId="31" borderId="8" xfId="114" quotePrefix="1" applyFont="1" applyFill="1" applyBorder="1" applyAlignment="1">
      <alignment horizontal="left" vertical="center" wrapText="1"/>
    </xf>
    <xf numFmtId="0" fontId="116" fillId="31" borderId="8" xfId="116" applyFont="1" applyFill="1" applyBorder="1" applyAlignment="1">
      <alignment vertical="center" wrapText="1"/>
    </xf>
    <xf numFmtId="0" fontId="116" fillId="31" borderId="8" xfId="65" quotePrefix="1" applyFont="1" applyFill="1" applyBorder="1" applyAlignment="1">
      <alignment horizontal="left" vertical="center" wrapText="1"/>
    </xf>
    <xf numFmtId="3" fontId="116" fillId="31" borderId="8" xfId="116" applyNumberFormat="1" applyFont="1" applyFill="1" applyBorder="1" applyAlignment="1">
      <alignment horizontal="left" vertical="center" wrapText="1"/>
    </xf>
    <xf numFmtId="0" fontId="116" fillId="31" borderId="8" xfId="117" applyFont="1" applyFill="1" applyBorder="1" applyAlignment="1" applyProtection="1">
      <alignment vertical="center" wrapText="1"/>
    </xf>
    <xf numFmtId="3" fontId="116" fillId="31" borderId="8" xfId="78" applyNumberFormat="1" applyFont="1" applyFill="1" applyBorder="1" applyAlignment="1">
      <alignment vertical="center"/>
    </xf>
    <xf numFmtId="0" fontId="116" fillId="31" borderId="8" xfId="118" quotePrefix="1" applyFont="1" applyFill="1" applyBorder="1" applyAlignment="1">
      <alignment vertical="center" wrapText="1"/>
    </xf>
    <xf numFmtId="0" fontId="115" fillId="30" borderId="8" xfId="78" applyFont="1" applyFill="1" applyBorder="1" applyAlignment="1">
      <alignment horizontal="center" vertical="center" wrapText="1"/>
    </xf>
    <xf numFmtId="0" fontId="116" fillId="30" borderId="8" xfId="78" applyFont="1" applyFill="1" applyBorder="1" applyAlignment="1">
      <alignment horizontal="left" vertical="center" wrapText="1"/>
    </xf>
    <xf numFmtId="0" fontId="116" fillId="30" borderId="8" xfId="111" applyFont="1" applyFill="1" applyBorder="1" applyAlignment="1">
      <alignment vertical="center" wrapText="1"/>
    </xf>
    <xf numFmtId="0" fontId="115" fillId="30" borderId="8" xfId="78" applyFont="1" applyFill="1" applyBorder="1" applyAlignment="1">
      <alignment horizontal="center" vertical="center"/>
    </xf>
    <xf numFmtId="0" fontId="116" fillId="30" borderId="8" xfId="78" applyFont="1" applyFill="1" applyBorder="1" applyAlignment="1">
      <alignment horizontal="center" vertical="center"/>
    </xf>
    <xf numFmtId="184" fontId="116" fillId="30" borderId="8" xfId="110" applyNumberFormat="1" applyFont="1" applyFill="1" applyBorder="1" applyAlignment="1">
      <alignment vertical="center" wrapText="1"/>
    </xf>
    <xf numFmtId="9" fontId="116" fillId="30" borderId="8" xfId="112" applyFont="1" applyFill="1" applyBorder="1" applyAlignment="1" applyProtection="1">
      <alignment horizontal="center" vertical="center" wrapText="1"/>
    </xf>
    <xf numFmtId="168" fontId="116" fillId="30" borderId="8" xfId="78" applyNumberFormat="1" applyFont="1" applyFill="1" applyBorder="1" applyAlignment="1">
      <alignment horizontal="center" vertical="center" wrapText="1"/>
    </xf>
    <xf numFmtId="0" fontId="6" fillId="30" borderId="0" xfId="111" applyFill="1"/>
    <xf numFmtId="3" fontId="116" fillId="31" borderId="8" xfId="78" applyNumberFormat="1" applyFont="1" applyFill="1" applyBorder="1" applyAlignment="1">
      <alignment horizontal="center" vertical="center" wrapText="1"/>
    </xf>
    <xf numFmtId="0" fontId="115" fillId="31" borderId="8" xfId="78" applyFont="1" applyFill="1" applyBorder="1" applyAlignment="1">
      <alignment horizontal="left" vertical="center"/>
    </xf>
    <xf numFmtId="0" fontId="115" fillId="31" borderId="8" xfId="78" applyFont="1" applyFill="1" applyBorder="1" applyAlignment="1">
      <alignment vertical="top" wrapText="1"/>
    </xf>
    <xf numFmtId="0" fontId="115" fillId="31" borderId="23" xfId="78" applyFont="1" applyFill="1" applyBorder="1" applyAlignment="1">
      <alignment vertical="top" wrapText="1"/>
    </xf>
    <xf numFmtId="0" fontId="116" fillId="31" borderId="8" xfId="116" applyFont="1" applyFill="1" applyBorder="1" applyAlignment="1">
      <alignment horizontal="left" vertical="center" wrapText="1"/>
    </xf>
    <xf numFmtId="0" fontId="116" fillId="31" borderId="8" xfId="115" quotePrefix="1" applyFont="1" applyFill="1" applyBorder="1" applyAlignment="1" applyProtection="1">
      <alignment vertical="center" wrapText="1"/>
    </xf>
    <xf numFmtId="0" fontId="115" fillId="31" borderId="8" xfId="113" applyFont="1" applyFill="1" applyBorder="1" applyAlignment="1">
      <alignment horizontal="center" vertical="center" wrapText="1"/>
    </xf>
    <xf numFmtId="0" fontId="116" fillId="31" borderId="8" xfId="113" applyFont="1" applyFill="1" applyBorder="1" applyAlignment="1">
      <alignment horizontal="center" vertical="center" wrapText="1"/>
    </xf>
    <xf numFmtId="0" fontId="115" fillId="31" borderId="8" xfId="111" applyFont="1" applyFill="1" applyBorder="1" applyAlignment="1">
      <alignment horizontal="center" vertical="center"/>
    </xf>
    <xf numFmtId="0" fontId="116" fillId="31" borderId="8" xfId="111" applyFont="1" applyFill="1" applyBorder="1" applyAlignment="1">
      <alignment horizontal="center" vertical="center"/>
    </xf>
    <xf numFmtId="0" fontId="116" fillId="31" borderId="8" xfId="113" applyFont="1" applyFill="1" applyBorder="1" applyAlignment="1">
      <alignment horizontal="left" vertical="center" wrapText="1"/>
    </xf>
    <xf numFmtId="0" fontId="115" fillId="31" borderId="8" xfId="113" applyFont="1" applyFill="1" applyBorder="1" applyAlignment="1">
      <alignment horizontal="center" vertical="center"/>
    </xf>
    <xf numFmtId="0" fontId="116" fillId="31" borderId="8" xfId="111" applyFont="1" applyFill="1" applyBorder="1" applyAlignment="1">
      <alignment vertical="center" wrapText="1"/>
    </xf>
    <xf numFmtId="0" fontId="115" fillId="31" borderId="8" xfId="111" applyFont="1" applyFill="1" applyBorder="1" applyAlignment="1">
      <alignment horizontal="center" vertical="center" wrapText="1"/>
    </xf>
    <xf numFmtId="0" fontId="116" fillId="31" borderId="8" xfId="111" applyFont="1" applyFill="1" applyBorder="1" applyAlignment="1">
      <alignment horizontal="center" vertical="center" wrapText="1"/>
    </xf>
    <xf numFmtId="0" fontId="116" fillId="31" borderId="8" xfId="111" applyFont="1" applyFill="1" applyBorder="1" applyAlignment="1">
      <alignment horizontal="left" vertical="center" wrapText="1"/>
    </xf>
    <xf numFmtId="3" fontId="115" fillId="31" borderId="8" xfId="111" applyNumberFormat="1" applyFont="1" applyFill="1" applyBorder="1" applyAlignment="1">
      <alignment horizontal="center" vertical="center" wrapText="1"/>
    </xf>
    <xf numFmtId="0" fontId="149" fillId="31" borderId="0" xfId="111" applyFont="1" applyFill="1"/>
    <xf numFmtId="0" fontId="116" fillId="30" borderId="8" xfId="78" applyFont="1" applyFill="1" applyBorder="1" applyAlignment="1">
      <alignment vertical="center" wrapText="1"/>
    </xf>
    <xf numFmtId="0" fontId="116" fillId="30" borderId="8" xfId="78" applyFont="1" applyFill="1" applyBorder="1" applyAlignment="1">
      <alignment horizontal="center" vertical="center" wrapText="1"/>
    </xf>
    <xf numFmtId="0" fontId="115" fillId="31" borderId="27" xfId="78" applyFont="1" applyFill="1" applyBorder="1" applyAlignment="1">
      <alignment vertical="center" wrapText="1"/>
    </xf>
    <xf numFmtId="3" fontId="116" fillId="31" borderId="27" xfId="78" applyNumberFormat="1" applyFont="1" applyFill="1" applyBorder="1" applyAlignment="1">
      <alignment vertical="center" wrapText="1"/>
    </xf>
    <xf numFmtId="0" fontId="116" fillId="31" borderId="0" xfId="115" applyFont="1" applyFill="1" applyAlignment="1" applyProtection="1">
      <alignment vertical="center" wrapText="1"/>
    </xf>
    <xf numFmtId="0" fontId="115" fillId="31" borderId="43" xfId="78" applyFont="1" applyFill="1" applyBorder="1" applyAlignment="1">
      <alignment vertical="center" wrapText="1"/>
    </xf>
    <xf numFmtId="3" fontId="116" fillId="31" borderId="43" xfId="78" applyNumberFormat="1" applyFont="1" applyFill="1" applyBorder="1" applyAlignment="1">
      <alignment vertical="center" wrapText="1"/>
    </xf>
    <xf numFmtId="0" fontId="116" fillId="31" borderId="8" xfId="119" applyFont="1" applyFill="1" applyBorder="1" applyAlignment="1">
      <alignment horizontal="left" vertical="top" wrapText="1"/>
    </xf>
    <xf numFmtId="0" fontId="116" fillId="31" borderId="8" xfId="65" applyFont="1" applyFill="1" applyBorder="1" applyAlignment="1">
      <alignment horizontal="left" vertical="center" wrapText="1"/>
    </xf>
    <xf numFmtId="0" fontId="116" fillId="31" borderId="8" xfId="111" applyFont="1" applyFill="1" applyBorder="1" applyAlignment="1">
      <alignment horizontal="left" vertical="center"/>
    </xf>
    <xf numFmtId="0" fontId="116" fillId="31" borderId="8" xfId="120" quotePrefix="1" applyNumberFormat="1" applyFont="1" applyFill="1" applyBorder="1" applyAlignment="1">
      <alignment vertical="center" wrapText="1"/>
    </xf>
    <xf numFmtId="0" fontId="116" fillId="31" borderId="8" xfId="114" applyFont="1" applyFill="1" applyBorder="1" applyAlignment="1">
      <alignment vertical="top" wrapText="1"/>
    </xf>
    <xf numFmtId="3" fontId="150" fillId="31" borderId="8" xfId="111" applyNumberFormat="1" applyFont="1" applyFill="1" applyBorder="1" applyAlignment="1">
      <alignment horizontal="right" vertical="center"/>
    </xf>
    <xf numFmtId="0" fontId="115" fillId="31" borderId="27" xfId="114" applyFont="1" applyFill="1" applyBorder="1" applyAlignment="1">
      <alignment vertical="center" wrapText="1"/>
    </xf>
    <xf numFmtId="0" fontId="116" fillId="31" borderId="27" xfId="114" applyFont="1" applyFill="1" applyBorder="1" applyAlignment="1">
      <alignment vertical="center" wrapText="1"/>
    </xf>
    <xf numFmtId="0" fontId="116" fillId="31" borderId="0" xfId="115" applyFont="1" applyFill="1" applyAlignment="1" applyProtection="1">
      <alignment vertical="top" wrapText="1"/>
    </xf>
    <xf numFmtId="0" fontId="115" fillId="31" borderId="43" xfId="114" applyFont="1" applyFill="1" applyBorder="1" applyAlignment="1">
      <alignment vertical="center" wrapText="1"/>
    </xf>
    <xf numFmtId="0" fontId="116" fillId="31" borderId="43" xfId="114" applyFont="1" applyFill="1" applyBorder="1" applyAlignment="1">
      <alignment vertical="center" wrapText="1"/>
    </xf>
    <xf numFmtId="0" fontId="115" fillId="31" borderId="8" xfId="111" applyFont="1" applyFill="1" applyBorder="1" applyAlignment="1">
      <alignment vertical="center" wrapText="1"/>
    </xf>
    <xf numFmtId="0" fontId="151" fillId="31" borderId="8" xfId="115" applyFont="1" applyFill="1" applyBorder="1" applyAlignment="1" applyProtection="1">
      <alignment vertical="top" wrapText="1"/>
    </xf>
    <xf numFmtId="0" fontId="152" fillId="31" borderId="8" xfId="111" applyFont="1" applyFill="1" applyBorder="1" applyAlignment="1">
      <alignment vertical="center" wrapText="1"/>
    </xf>
    <xf numFmtId="0" fontId="6" fillId="31" borderId="0" xfId="111" applyFill="1"/>
    <xf numFmtId="0" fontId="116" fillId="31" borderId="8" xfId="78" applyFont="1" applyFill="1" applyBorder="1" applyAlignment="1">
      <alignment horizontal="center" vertical="center"/>
    </xf>
    <xf numFmtId="0" fontId="116" fillId="31" borderId="8" xfId="78" applyFont="1" applyFill="1" applyBorder="1" applyAlignment="1">
      <alignment vertical="center"/>
    </xf>
    <xf numFmtId="0" fontId="116" fillId="31" borderId="8" xfId="111" applyFont="1" applyFill="1" applyBorder="1" applyAlignment="1">
      <alignment vertical="center"/>
    </xf>
    <xf numFmtId="3" fontId="116" fillId="31" borderId="8" xfId="78" applyNumberFormat="1" applyFont="1" applyFill="1" applyBorder="1" applyAlignment="1">
      <alignment horizontal="left" vertical="center"/>
    </xf>
    <xf numFmtId="0" fontId="116" fillId="31" borderId="8" xfId="117" applyFont="1" applyFill="1" applyBorder="1" applyAlignment="1" applyProtection="1">
      <alignment vertical="top" wrapText="1"/>
    </xf>
    <xf numFmtId="3" fontId="115" fillId="31" borderId="8" xfId="78" applyNumberFormat="1" applyFont="1" applyFill="1" applyBorder="1" applyAlignment="1">
      <alignment horizontal="center" vertical="center"/>
    </xf>
    <xf numFmtId="3" fontId="116" fillId="31" borderId="8" xfId="78" applyNumberFormat="1" applyFont="1" applyFill="1" applyBorder="1" applyAlignment="1">
      <alignment horizontal="center" vertical="center"/>
    </xf>
    <xf numFmtId="0" fontId="116" fillId="31" borderId="36" xfId="111" applyFont="1" applyFill="1" applyBorder="1" applyAlignment="1">
      <alignment horizontal="left" vertical="center" wrapText="1"/>
    </xf>
    <xf numFmtId="0" fontId="115" fillId="31" borderId="8" xfId="65" applyFont="1" applyFill="1" applyBorder="1" applyAlignment="1">
      <alignment horizontal="center" vertical="center"/>
    </xf>
    <xf numFmtId="0" fontId="116" fillId="31" borderId="8" xfId="108" applyFont="1" applyFill="1" applyBorder="1" applyAlignment="1">
      <alignment horizontal="center" vertical="center"/>
    </xf>
    <xf numFmtId="0" fontId="115" fillId="31" borderId="21" xfId="78" applyFont="1" applyFill="1" applyBorder="1" applyAlignment="1">
      <alignment vertical="top" wrapText="1"/>
    </xf>
    <xf numFmtId="3" fontId="115" fillId="31" borderId="21" xfId="78" applyNumberFormat="1" applyFont="1" applyFill="1" applyBorder="1" applyAlignment="1">
      <alignment vertical="center" wrapText="1"/>
    </xf>
    <xf numFmtId="3" fontId="115" fillId="31" borderId="23" xfId="78" applyNumberFormat="1" applyFont="1" applyFill="1" applyBorder="1" applyAlignment="1">
      <alignment vertical="center" wrapText="1"/>
    </xf>
    <xf numFmtId="0" fontId="115" fillId="31" borderId="27" xfId="111" applyFont="1" applyFill="1" applyBorder="1" applyAlignment="1">
      <alignment horizontal="center" vertical="center" wrapText="1"/>
    </xf>
    <xf numFmtId="0" fontId="116" fillId="31" borderId="27" xfId="121" quotePrefix="1" applyFont="1" applyFill="1" applyBorder="1" applyAlignment="1">
      <alignment vertical="center" wrapText="1"/>
    </xf>
    <xf numFmtId="0" fontId="116" fillId="31" borderId="8" xfId="121" quotePrefix="1" applyFont="1" applyFill="1" applyBorder="1" applyAlignment="1">
      <alignment horizontal="left" vertical="center" wrapText="1"/>
    </xf>
    <xf numFmtId="168" fontId="116" fillId="31" borderId="8" xfId="115" applyNumberFormat="1" applyFont="1" applyFill="1" applyBorder="1" applyAlignment="1" applyProtection="1">
      <alignment vertical="center" wrapText="1"/>
    </xf>
    <xf numFmtId="0" fontId="116" fillId="31" borderId="8" xfId="122" quotePrefix="1" applyFont="1" applyFill="1" applyBorder="1" applyAlignment="1">
      <alignment horizontal="left" vertical="center" wrapText="1"/>
    </xf>
    <xf numFmtId="0" fontId="116" fillId="31" borderId="8" xfId="122" applyFont="1" applyFill="1" applyBorder="1" applyAlignment="1">
      <alignment horizontal="left" vertical="center" wrapText="1"/>
    </xf>
    <xf numFmtId="0" fontId="115" fillId="31" borderId="8" xfId="110" applyNumberFormat="1" applyFont="1" applyFill="1" applyBorder="1" applyAlignment="1">
      <alignment horizontal="center" vertical="center"/>
    </xf>
    <xf numFmtId="3" fontId="116" fillId="31" borderId="8" xfId="65" applyNumberFormat="1" applyFont="1" applyFill="1" applyBorder="1" applyAlignment="1">
      <alignment horizontal="center" vertical="center" wrapText="1"/>
    </xf>
    <xf numFmtId="3" fontId="116" fillId="30" borderId="8" xfId="78" applyNumberFormat="1" applyFont="1" applyFill="1" applyBorder="1" applyAlignment="1">
      <alignment horizontal="left" vertical="center" wrapText="1"/>
    </xf>
    <xf numFmtId="0" fontId="115" fillId="30" borderId="8" xfId="111" applyFont="1" applyFill="1" applyBorder="1" applyAlignment="1">
      <alignment horizontal="center" vertical="center"/>
    </xf>
    <xf numFmtId="0" fontId="116" fillId="30" borderId="8" xfId="111" applyFont="1" applyFill="1" applyBorder="1" applyAlignment="1">
      <alignment horizontal="center" vertical="center"/>
    </xf>
    <xf numFmtId="0" fontId="116" fillId="31" borderId="27" xfId="111" applyFont="1" applyFill="1" applyBorder="1" applyAlignment="1">
      <alignment vertical="center" wrapText="1"/>
    </xf>
    <xf numFmtId="0" fontId="153" fillId="31" borderId="8" xfId="111" applyFont="1" applyFill="1" applyBorder="1" applyAlignment="1">
      <alignment horizontal="left" wrapText="1"/>
    </xf>
    <xf numFmtId="0" fontId="116" fillId="31" borderId="43" xfId="111" applyFont="1" applyFill="1" applyBorder="1" applyAlignment="1">
      <alignment vertical="center" wrapText="1"/>
    </xf>
    <xf numFmtId="0" fontId="153" fillId="31" borderId="8" xfId="111" applyFont="1" applyFill="1" applyBorder="1" applyAlignment="1">
      <alignment horizontal="left" vertical="center" wrapText="1"/>
    </xf>
    <xf numFmtId="0" fontId="115" fillId="31" borderId="21" xfId="111" applyFont="1" applyFill="1" applyBorder="1" applyAlignment="1">
      <alignment vertical="top" wrapText="1"/>
    </xf>
    <xf numFmtId="0" fontId="115" fillId="31" borderId="22" xfId="111" applyFont="1" applyFill="1" applyBorder="1" applyAlignment="1">
      <alignment vertical="top" wrapText="1"/>
    </xf>
    <xf numFmtId="0" fontId="117" fillId="31" borderId="26" xfId="111" applyFont="1" applyFill="1" applyBorder="1" applyAlignment="1">
      <alignment vertical="center"/>
    </xf>
    <xf numFmtId="0" fontId="117" fillId="31" borderId="28" xfId="111" applyFont="1" applyFill="1" applyBorder="1" applyAlignment="1">
      <alignment vertical="center"/>
    </xf>
    <xf numFmtId="0" fontId="115" fillId="31" borderId="68" xfId="111" applyFont="1" applyFill="1" applyBorder="1" applyAlignment="1">
      <alignment horizontal="justify" vertical="center"/>
    </xf>
    <xf numFmtId="0" fontId="115" fillId="31" borderId="69" xfId="111" applyFont="1" applyFill="1" applyBorder="1" applyAlignment="1">
      <alignment horizontal="justify" vertical="center"/>
    </xf>
    <xf numFmtId="0" fontId="115" fillId="31" borderId="36" xfId="111" applyFont="1" applyFill="1" applyBorder="1" applyAlignment="1">
      <alignment wrapText="1"/>
    </xf>
    <xf numFmtId="0" fontId="116" fillId="31" borderId="36" xfId="111" applyFont="1" applyFill="1" applyBorder="1" applyAlignment="1">
      <alignment wrapText="1"/>
    </xf>
    <xf numFmtId="0" fontId="116" fillId="31" borderId="36" xfId="111" applyFont="1" applyFill="1" applyBorder="1" applyAlignment="1">
      <alignment horizontal="justify" vertical="center"/>
    </xf>
    <xf numFmtId="0" fontId="115" fillId="31" borderId="36" xfId="111" applyFont="1" applyFill="1" applyBorder="1" applyAlignment="1">
      <alignment horizontal="justify" vertical="center"/>
    </xf>
    <xf numFmtId="0" fontId="115" fillId="31" borderId="36" xfId="111" applyFont="1" applyFill="1" applyBorder="1" applyAlignment="1">
      <alignment vertical="center"/>
    </xf>
    <xf numFmtId="0" fontId="116" fillId="31" borderId="36" xfId="111" applyFont="1" applyFill="1" applyBorder="1" applyAlignment="1">
      <alignment vertical="center"/>
    </xf>
    <xf numFmtId="0" fontId="116" fillId="31" borderId="36" xfId="111" applyFont="1" applyFill="1" applyBorder="1" applyAlignment="1">
      <alignment horizontal="justify" vertical="center" wrapText="1"/>
    </xf>
    <xf numFmtId="0" fontId="115" fillId="31" borderId="36" xfId="111" applyFont="1" applyFill="1" applyBorder="1" applyAlignment="1">
      <alignment vertical="center" wrapText="1"/>
    </xf>
    <xf numFmtId="0" fontId="116" fillId="31" borderId="36" xfId="123" applyFont="1" applyFill="1" applyBorder="1" applyAlignment="1" applyProtection="1">
      <alignment vertical="center" wrapText="1"/>
    </xf>
    <xf numFmtId="0" fontId="115" fillId="31" borderId="36" xfId="124" applyFont="1" applyFill="1" applyBorder="1" applyAlignment="1">
      <alignment horizontal="justify" vertical="center"/>
    </xf>
    <xf numFmtId="0" fontId="116" fillId="31" borderId="36" xfId="124" applyFont="1" applyFill="1" applyBorder="1" applyAlignment="1">
      <alignment horizontal="justify" vertical="center"/>
    </xf>
    <xf numFmtId="0" fontId="156" fillId="31" borderId="36" xfId="124" applyFont="1" applyFill="1" applyBorder="1" applyAlignment="1">
      <alignment horizontal="justify" vertical="center"/>
    </xf>
    <xf numFmtId="0" fontId="116" fillId="31" borderId="44" xfId="124" applyFont="1" applyFill="1" applyBorder="1" applyAlignment="1">
      <alignment wrapText="1"/>
    </xf>
    <xf numFmtId="0" fontId="115" fillId="31" borderId="27" xfId="111" applyFont="1" applyFill="1" applyBorder="1" applyAlignment="1">
      <alignment horizontal="justify" vertical="center"/>
    </xf>
    <xf numFmtId="0" fontId="157" fillId="31" borderId="68" xfId="111" applyFont="1" applyFill="1" applyBorder="1" applyAlignment="1">
      <alignment horizontal="justify" vertical="center" wrapText="1"/>
    </xf>
    <xf numFmtId="0" fontId="157" fillId="31" borderId="36" xfId="111" applyFont="1" applyFill="1" applyBorder="1" applyAlignment="1">
      <alignment horizontal="justify" vertical="center" wrapText="1"/>
    </xf>
    <xf numFmtId="0" fontId="150" fillId="31" borderId="36" xfId="111" applyFont="1" applyFill="1" applyBorder="1" applyAlignment="1">
      <alignment horizontal="left" vertical="center" wrapText="1" indent="4"/>
    </xf>
    <xf numFmtId="0" fontId="150" fillId="31" borderId="36" xfId="111" applyFont="1" applyFill="1" applyBorder="1" applyAlignment="1">
      <alignment horizontal="justify" vertical="center" wrapText="1"/>
    </xf>
    <xf numFmtId="0" fontId="159" fillId="31" borderId="36" xfId="111" applyFont="1" applyFill="1" applyBorder="1" applyAlignment="1">
      <alignment horizontal="justify" vertical="center" wrapText="1"/>
    </xf>
    <xf numFmtId="0" fontId="150" fillId="31" borderId="48" xfId="111" applyFont="1" applyFill="1" applyBorder="1" applyAlignment="1">
      <alignment horizontal="justify" vertical="center" wrapText="1"/>
    </xf>
    <xf numFmtId="0" fontId="116" fillId="31" borderId="8" xfId="116" quotePrefix="1" applyFont="1" applyFill="1" applyBorder="1" applyAlignment="1">
      <alignment vertical="center" wrapText="1"/>
    </xf>
    <xf numFmtId="168" fontId="116" fillId="31" borderId="8" xfId="110" applyNumberFormat="1" applyFont="1" applyFill="1" applyBorder="1" applyAlignment="1">
      <alignment horizontal="center" vertical="center"/>
    </xf>
    <xf numFmtId="0" fontId="115" fillId="31" borderId="8" xfId="65" applyFont="1" applyFill="1" applyBorder="1" applyAlignment="1">
      <alignment horizontal="center" vertical="center" wrapText="1"/>
    </xf>
    <xf numFmtId="0" fontId="116" fillId="31" borderId="8" xfId="65" applyFont="1" applyFill="1" applyBorder="1" applyAlignment="1">
      <alignment horizontal="center" vertical="center"/>
    </xf>
    <xf numFmtId="0" fontId="115" fillId="31" borderId="8" xfId="116" applyFont="1" applyFill="1" applyBorder="1" applyAlignment="1">
      <alignment vertical="center" wrapText="1"/>
    </xf>
    <xf numFmtId="0" fontId="116" fillId="31" borderId="8" xfId="78" quotePrefix="1" applyFont="1" applyFill="1" applyBorder="1" applyAlignment="1">
      <alignment horizontal="left" vertical="center" wrapText="1"/>
    </xf>
    <xf numFmtId="0" fontId="116" fillId="31" borderId="8" xfId="111" quotePrefix="1" applyFont="1" applyFill="1" applyBorder="1" applyAlignment="1">
      <alignment horizontal="left" vertical="center" wrapText="1"/>
    </xf>
    <xf numFmtId="186" fontId="116" fillId="31" borderId="8" xfId="125" applyNumberFormat="1" applyFont="1" applyFill="1" applyBorder="1" applyAlignment="1">
      <alignment horizontal="left" vertical="center" wrapText="1"/>
    </xf>
    <xf numFmtId="0" fontId="109" fillId="31" borderId="8" xfId="115" applyFont="1" applyFill="1" applyBorder="1" applyAlignment="1" applyProtection="1">
      <alignment horizontal="center" vertical="center" wrapText="1"/>
    </xf>
    <xf numFmtId="1" fontId="109" fillId="31" borderId="8" xfId="126" applyNumberFormat="1" applyFont="1" applyFill="1" applyBorder="1" applyAlignment="1" applyProtection="1">
      <alignment horizontal="center" vertical="center" wrapText="1"/>
    </xf>
    <xf numFmtId="0" fontId="109" fillId="31" borderId="8" xfId="115" applyFont="1" applyFill="1" applyBorder="1" applyAlignment="1" applyProtection="1">
      <alignment vertical="center" wrapText="1"/>
    </xf>
    <xf numFmtId="184" fontId="160" fillId="31" borderId="8" xfId="110" applyNumberFormat="1" applyFont="1" applyFill="1" applyBorder="1"/>
    <xf numFmtId="37" fontId="161" fillId="31" borderId="8" xfId="110" applyNumberFormat="1" applyFont="1" applyFill="1" applyBorder="1"/>
    <xf numFmtId="0" fontId="162" fillId="0" borderId="0" xfId="111" applyFont="1"/>
    <xf numFmtId="0" fontId="163" fillId="31" borderId="0" xfId="111" applyFont="1" applyFill="1"/>
    <xf numFmtId="0" fontId="164" fillId="31" borderId="0" xfId="111" applyFont="1" applyFill="1"/>
    <xf numFmtId="0" fontId="163" fillId="31" borderId="0" xfId="111" applyFont="1" applyFill="1" applyAlignment="1">
      <alignment horizontal="center"/>
    </xf>
    <xf numFmtId="184" fontId="10" fillId="31" borderId="0" xfId="110" applyNumberFormat="1" applyFont="1" applyFill="1"/>
    <xf numFmtId="187" fontId="10" fillId="31" borderId="0" xfId="110" applyNumberFormat="1" applyFont="1" applyFill="1"/>
    <xf numFmtId="184" fontId="104" fillId="31" borderId="0" xfId="129" applyNumberFormat="1" applyFont="1" applyFill="1" applyAlignment="1">
      <alignment vertical="center"/>
    </xf>
    <xf numFmtId="0" fontId="164" fillId="31" borderId="0" xfId="130" applyFont="1" applyFill="1"/>
    <xf numFmtId="0" fontId="164" fillId="30" borderId="0" xfId="130" applyFont="1" applyFill="1"/>
    <xf numFmtId="184" fontId="115" fillId="31" borderId="0" xfId="129" applyNumberFormat="1" applyFont="1" applyFill="1" applyAlignment="1"/>
    <xf numFmtId="0" fontId="115" fillId="31" borderId="0" xfId="130" applyFont="1" applyFill="1" applyAlignment="1">
      <alignment horizontal="left" indent="26"/>
    </xf>
    <xf numFmtId="0" fontId="115" fillId="31" borderId="0" xfId="130" applyFont="1" applyFill="1" applyAlignment="1">
      <alignment horizontal="center"/>
    </xf>
    <xf numFmtId="184" fontId="115" fillId="31" borderId="0" xfId="129" applyNumberFormat="1" applyFont="1" applyFill="1" applyAlignment="1">
      <alignment horizontal="left" indent="26"/>
    </xf>
    <xf numFmtId="185" fontId="115" fillId="31" borderId="27" xfId="129" applyNumberFormat="1" applyFont="1" applyFill="1" applyBorder="1" applyAlignment="1" applyProtection="1">
      <alignment horizontal="center" vertical="center" wrapText="1"/>
    </xf>
    <xf numFmtId="9" fontId="115" fillId="31" borderId="27" xfId="131" applyFont="1" applyFill="1" applyBorder="1" applyAlignment="1" applyProtection="1">
      <alignment vertical="center" wrapText="1"/>
    </xf>
    <xf numFmtId="184" fontId="115" fillId="31" borderId="8" xfId="129" applyNumberFormat="1" applyFont="1" applyFill="1" applyBorder="1" applyAlignment="1" applyProtection="1">
      <alignment horizontal="center" vertical="center" wrapText="1"/>
    </xf>
    <xf numFmtId="184" fontId="115" fillId="31" borderId="8" xfId="129" applyNumberFormat="1" applyFont="1" applyFill="1" applyBorder="1" applyAlignment="1">
      <alignment horizontal="center" vertical="center" wrapText="1"/>
    </xf>
    <xf numFmtId="184" fontId="115" fillId="30" borderId="8" xfId="129" applyNumberFormat="1" applyFont="1" applyFill="1" applyBorder="1" applyAlignment="1" applyProtection="1">
      <alignment horizontal="center" vertical="center" wrapText="1"/>
    </xf>
    <xf numFmtId="0" fontId="164" fillId="31" borderId="0" xfId="130" applyFont="1" applyFill="1" applyAlignment="1">
      <alignment horizontal="center"/>
    </xf>
    <xf numFmtId="9" fontId="115" fillId="31" borderId="43" xfId="131" applyFont="1" applyFill="1" applyBorder="1" applyAlignment="1" applyProtection="1">
      <alignment vertical="center" wrapText="1"/>
    </xf>
    <xf numFmtId="0" fontId="164" fillId="30" borderId="0" xfId="130" applyFont="1" applyFill="1" applyAlignment="1">
      <alignment horizontal="center"/>
    </xf>
    <xf numFmtId="0" fontId="115" fillId="31" borderId="8" xfId="130" applyFont="1" applyFill="1" applyBorder="1" applyAlignment="1">
      <alignment vertical="center"/>
    </xf>
    <xf numFmtId="0" fontId="116" fillId="31" borderId="8" xfId="130" quotePrefix="1" applyFont="1" applyFill="1" applyBorder="1" applyAlignment="1">
      <alignment vertical="center" wrapText="1"/>
    </xf>
    <xf numFmtId="184" fontId="116" fillId="31" borderId="8" xfId="129" applyNumberFormat="1" applyFont="1" applyFill="1" applyBorder="1" applyAlignment="1">
      <alignment vertical="center" wrapText="1"/>
    </xf>
    <xf numFmtId="9" fontId="116" fillId="31" borderId="8" xfId="131" applyFont="1" applyFill="1" applyBorder="1" applyAlignment="1" applyProtection="1">
      <alignment horizontal="center" vertical="center" wrapText="1"/>
    </xf>
    <xf numFmtId="184" fontId="116" fillId="31" borderId="21" xfId="129" applyNumberFormat="1" applyFont="1" applyFill="1" applyBorder="1" applyAlignment="1">
      <alignment vertical="center" wrapText="1"/>
    </xf>
    <xf numFmtId="0" fontId="150" fillId="31" borderId="8" xfId="130" applyFont="1" applyFill="1" applyBorder="1" applyAlignment="1">
      <alignment horizontal="center" vertical="center" wrapText="1"/>
    </xf>
    <xf numFmtId="0" fontId="150" fillId="30" borderId="8" xfId="130" applyFont="1" applyFill="1" applyBorder="1" applyAlignment="1">
      <alignment horizontal="center" vertical="center" wrapText="1"/>
    </xf>
    <xf numFmtId="184" fontId="116" fillId="31" borderId="27" xfId="129" applyNumberFormat="1" applyFont="1" applyFill="1" applyBorder="1" applyAlignment="1">
      <alignment vertical="center" wrapText="1"/>
    </xf>
    <xf numFmtId="184" fontId="116" fillId="31" borderId="26" xfId="129" applyNumberFormat="1" applyFont="1" applyFill="1" applyBorder="1" applyAlignment="1">
      <alignment horizontal="center" vertical="center" wrapText="1"/>
    </xf>
    <xf numFmtId="184" fontId="116" fillId="31" borderId="43" xfId="129" applyNumberFormat="1" applyFont="1" applyFill="1" applyBorder="1" applyAlignment="1">
      <alignment vertical="center" wrapText="1"/>
    </xf>
    <xf numFmtId="184" fontId="116" fillId="31" borderId="32" xfId="129" applyNumberFormat="1" applyFont="1" applyFill="1" applyBorder="1" applyAlignment="1">
      <alignment horizontal="center" vertical="center" wrapText="1"/>
    </xf>
    <xf numFmtId="184" fontId="116" fillId="30" borderId="8" xfId="129" applyNumberFormat="1" applyFont="1" applyFill="1" applyBorder="1" applyAlignment="1">
      <alignment vertical="center" wrapText="1"/>
    </xf>
    <xf numFmtId="0" fontId="116" fillId="31" borderId="8" xfId="130" applyFont="1" applyFill="1" applyBorder="1" applyAlignment="1">
      <alignment vertical="top" wrapText="1"/>
    </xf>
    <xf numFmtId="49" fontId="116" fillId="31" borderId="8" xfId="130" quotePrefix="1" applyNumberFormat="1" applyFont="1" applyFill="1" applyBorder="1" applyAlignment="1">
      <alignment vertical="top" wrapText="1"/>
    </xf>
    <xf numFmtId="0" fontId="116" fillId="31" borderId="15" xfId="130" applyFont="1" applyFill="1" applyBorder="1" applyAlignment="1">
      <alignment horizontal="left" vertical="center" wrapText="1"/>
    </xf>
    <xf numFmtId="0" fontId="164" fillId="31" borderId="8" xfId="130" applyFont="1" applyFill="1" applyBorder="1"/>
    <xf numFmtId="0" fontId="164" fillId="30" borderId="8" xfId="130" applyFont="1" applyFill="1" applyBorder="1"/>
    <xf numFmtId="0" fontId="111" fillId="31" borderId="8" xfId="78" applyFont="1" applyFill="1" applyBorder="1" applyAlignment="1">
      <alignment horizontal="left" vertical="center" wrapText="1"/>
    </xf>
    <xf numFmtId="0" fontId="111" fillId="31" borderId="8" xfId="114" applyFont="1" applyFill="1" applyBorder="1" applyAlignment="1">
      <alignment horizontal="left" vertical="center" wrapText="1"/>
    </xf>
    <xf numFmtId="0" fontId="111" fillId="31" borderId="8" xfId="115" applyFont="1" applyFill="1" applyBorder="1" applyAlignment="1" applyProtection="1">
      <alignment vertical="center" wrapText="1"/>
    </xf>
    <xf numFmtId="0" fontId="111" fillId="31" borderId="8" xfId="113" quotePrefix="1" applyFont="1" applyFill="1" applyBorder="1" applyAlignment="1">
      <alignment vertical="center" wrapText="1"/>
    </xf>
    <xf numFmtId="3" fontId="112" fillId="31" borderId="8" xfId="127" quotePrefix="1" applyNumberFormat="1" applyFont="1" applyFill="1" applyBorder="1" applyAlignment="1">
      <alignment horizontal="center" vertical="center" wrapText="1"/>
    </xf>
    <xf numFmtId="3" fontId="112" fillId="30" borderId="8" xfId="127" quotePrefix="1" applyNumberFormat="1" applyFont="1" applyFill="1" applyBorder="1" applyAlignment="1">
      <alignment horizontal="center" vertical="center" wrapText="1"/>
    </xf>
    <xf numFmtId="0" fontId="111" fillId="31" borderId="8" xfId="65" applyFont="1" applyFill="1" applyBorder="1" applyAlignment="1">
      <alignment vertical="center" wrapText="1"/>
    </xf>
    <xf numFmtId="0" fontId="116" fillId="31" borderId="8" xfId="130" applyFont="1" applyFill="1" applyBorder="1" applyAlignment="1">
      <alignment vertical="center" wrapText="1"/>
    </xf>
    <xf numFmtId="0" fontId="111" fillId="31" borderId="8" xfId="130" applyFont="1" applyFill="1" applyBorder="1" applyAlignment="1">
      <alignment vertical="center" wrapText="1"/>
    </xf>
    <xf numFmtId="0" fontId="111" fillId="31" borderId="8" xfId="65" quotePrefix="1" applyFont="1" applyFill="1" applyBorder="1" applyAlignment="1">
      <alignment horizontal="left" vertical="center" wrapText="1"/>
    </xf>
    <xf numFmtId="0" fontId="111" fillId="31" borderId="8" xfId="116" applyFont="1" applyFill="1" applyBorder="1" applyAlignment="1">
      <alignment vertical="center" wrapText="1"/>
    </xf>
    <xf numFmtId="0" fontId="164" fillId="31" borderId="8" xfId="130" applyFont="1" applyFill="1" applyBorder="1" applyAlignment="1">
      <alignment vertical="center" wrapText="1"/>
    </xf>
    <xf numFmtId="3" fontId="112" fillId="31" borderId="8" xfId="127" applyNumberFormat="1" applyFont="1" applyFill="1" applyBorder="1" applyAlignment="1">
      <alignment horizontal="left" vertical="top" wrapText="1"/>
    </xf>
    <xf numFmtId="3" fontId="112" fillId="30" borderId="8" xfId="127" applyNumberFormat="1" applyFont="1" applyFill="1" applyBorder="1" applyAlignment="1">
      <alignment horizontal="left" vertical="center" wrapText="1"/>
    </xf>
    <xf numFmtId="0" fontId="115" fillId="31" borderId="8" xfId="130" applyFont="1" applyFill="1" applyBorder="1" applyAlignment="1">
      <alignment horizontal="center" vertical="center"/>
    </xf>
    <xf numFmtId="0" fontId="116" fillId="31" borderId="8" xfId="130" applyFont="1" applyFill="1" applyBorder="1" applyAlignment="1">
      <alignment horizontal="center" vertical="center"/>
    </xf>
    <xf numFmtId="0" fontId="115" fillId="31" borderId="8" xfId="130" applyFont="1" applyFill="1" applyBorder="1" applyAlignment="1">
      <alignment horizontal="center" vertical="center" wrapText="1"/>
    </xf>
    <xf numFmtId="0" fontId="116" fillId="31" borderId="8" xfId="130" applyFont="1" applyFill="1" applyBorder="1" applyAlignment="1">
      <alignment horizontal="center" vertical="center" wrapText="1"/>
    </xf>
    <xf numFmtId="0" fontId="116" fillId="31" borderId="8" xfId="130" applyFont="1" applyFill="1" applyBorder="1" applyAlignment="1">
      <alignment horizontal="left" vertical="center" wrapText="1"/>
    </xf>
    <xf numFmtId="3" fontId="115" fillId="31" borderId="8" xfId="130" applyNumberFormat="1" applyFont="1" applyFill="1" applyBorder="1" applyAlignment="1">
      <alignment horizontal="center" vertical="center" wrapText="1"/>
    </xf>
    <xf numFmtId="0" fontId="115" fillId="31" borderId="0" xfId="130" applyFont="1" applyFill="1"/>
    <xf numFmtId="0" fontId="116" fillId="31" borderId="27" xfId="115" applyFont="1" applyFill="1" applyBorder="1" applyAlignment="1" applyProtection="1">
      <alignment vertical="center" wrapText="1"/>
    </xf>
    <xf numFmtId="0" fontId="116" fillId="31" borderId="43" xfId="115" applyFont="1" applyFill="1" applyBorder="1" applyAlignment="1" applyProtection="1">
      <alignment vertical="center" wrapText="1"/>
    </xf>
    <xf numFmtId="0" fontId="112" fillId="31" borderId="8" xfId="127" quotePrefix="1" applyFont="1" applyFill="1" applyBorder="1" applyAlignment="1">
      <alignment horizontal="left" vertical="top" wrapText="1"/>
    </xf>
    <xf numFmtId="0" fontId="116" fillId="31" borderId="8" xfId="130" applyFont="1" applyFill="1" applyBorder="1" applyAlignment="1">
      <alignment horizontal="left" vertical="center"/>
    </xf>
    <xf numFmtId="3" fontId="150" fillId="31" borderId="8" xfId="130" applyNumberFormat="1" applyFont="1" applyFill="1" applyBorder="1" applyAlignment="1">
      <alignment horizontal="right" vertical="center"/>
    </xf>
    <xf numFmtId="0" fontId="116" fillId="31" borderId="43" xfId="115" applyFont="1" applyFill="1" applyBorder="1" applyAlignment="1" applyProtection="1">
      <alignment vertical="top" wrapText="1"/>
    </xf>
    <xf numFmtId="0" fontId="116" fillId="29" borderId="8" xfId="130" applyFont="1" applyFill="1" applyBorder="1" applyAlignment="1">
      <alignment horizontal="center" vertical="center"/>
    </xf>
    <xf numFmtId="0" fontId="116" fillId="29" borderId="8" xfId="78" applyFont="1" applyFill="1" applyBorder="1" applyAlignment="1">
      <alignment horizontal="center" vertical="center" wrapText="1"/>
    </xf>
    <xf numFmtId="0" fontId="115" fillId="31" borderId="8" xfId="130" applyFont="1" applyFill="1" applyBorder="1" applyAlignment="1">
      <alignment vertical="center" wrapText="1"/>
    </xf>
    <xf numFmtId="0" fontId="152" fillId="31" borderId="8" xfId="130" applyFont="1" applyFill="1" applyBorder="1" applyAlignment="1">
      <alignment vertical="center" wrapText="1"/>
    </xf>
    <xf numFmtId="0" fontId="116" fillId="31" borderId="8" xfId="130" applyFont="1" applyFill="1" applyBorder="1" applyAlignment="1">
      <alignment vertical="center"/>
    </xf>
    <xf numFmtId="0" fontId="111" fillId="31" borderId="8" xfId="130" quotePrefix="1" applyFont="1" applyFill="1" applyBorder="1" applyAlignment="1">
      <alignment vertical="center" wrapText="1"/>
    </xf>
    <xf numFmtId="0" fontId="116" fillId="31" borderId="36" xfId="130" applyFont="1" applyFill="1" applyBorder="1" applyAlignment="1">
      <alignment horizontal="left" vertical="center" wrapText="1"/>
    </xf>
    <xf numFmtId="3" fontId="115" fillId="31" borderId="8" xfId="78" applyNumberFormat="1" applyFont="1" applyFill="1" applyBorder="1" applyAlignment="1">
      <alignment vertical="center" wrapText="1"/>
    </xf>
    <xf numFmtId="3" fontId="116" fillId="31" borderId="27" xfId="78" applyNumberFormat="1" applyFont="1" applyFill="1" applyBorder="1" applyAlignment="1">
      <alignment horizontal="left" vertical="center" wrapText="1"/>
    </xf>
    <xf numFmtId="0" fontId="115" fillId="31" borderId="27" xfId="130" applyFont="1" applyFill="1" applyBorder="1" applyAlignment="1">
      <alignment horizontal="center" vertical="center" wrapText="1"/>
    </xf>
    <xf numFmtId="0" fontId="111" fillId="31" borderId="8" xfId="121" quotePrefix="1" applyFont="1" applyFill="1" applyBorder="1" applyAlignment="1">
      <alignment horizontal="left" vertical="center" wrapText="1"/>
    </xf>
    <xf numFmtId="0" fontId="111" fillId="31" borderId="8" xfId="122" quotePrefix="1" applyFont="1" applyFill="1" applyBorder="1" applyAlignment="1">
      <alignment horizontal="left" vertical="center" wrapText="1"/>
    </xf>
    <xf numFmtId="0" fontId="111" fillId="31" borderId="8" xfId="122" applyFont="1" applyFill="1" applyBorder="1" applyAlignment="1">
      <alignment horizontal="left" vertical="center" wrapText="1"/>
    </xf>
    <xf numFmtId="0" fontId="114" fillId="31" borderId="8" xfId="130" quotePrefix="1" applyFont="1" applyFill="1" applyBorder="1" applyAlignment="1">
      <alignment vertical="top" wrapText="1"/>
    </xf>
    <xf numFmtId="3" fontId="116" fillId="31" borderId="8" xfId="130" applyNumberFormat="1" applyFont="1" applyFill="1" applyBorder="1" applyAlignment="1">
      <alignment horizontal="center" vertical="center"/>
    </xf>
    <xf numFmtId="3" fontId="115" fillId="31" borderId="8" xfId="130" applyNumberFormat="1" applyFont="1" applyFill="1" applyBorder="1" applyAlignment="1">
      <alignment horizontal="right" vertical="center"/>
    </xf>
    <xf numFmtId="184" fontId="116" fillId="31" borderId="22" xfId="129" applyNumberFormat="1" applyFont="1" applyFill="1" applyBorder="1" applyAlignment="1">
      <alignment vertical="center" wrapText="1"/>
    </xf>
    <xf numFmtId="0" fontId="164" fillId="31" borderId="0" xfId="130" applyFont="1" applyFill="1" applyAlignment="1">
      <alignment vertical="top"/>
    </xf>
    <xf numFmtId="0" fontId="116" fillId="31" borderId="8" xfId="130" applyFont="1" applyFill="1" applyBorder="1" applyAlignment="1">
      <alignment horizontal="center" vertical="top" wrapText="1"/>
    </xf>
    <xf numFmtId="0" fontId="115" fillId="31" borderId="8" xfId="130" applyFont="1" applyFill="1" applyBorder="1" applyAlignment="1">
      <alignment horizontal="justify" vertical="center"/>
    </xf>
    <xf numFmtId="0" fontId="167" fillId="31" borderId="8" xfId="130" applyFont="1" applyFill="1" applyBorder="1" applyAlignment="1">
      <alignment vertical="top"/>
    </xf>
    <xf numFmtId="0" fontId="168" fillId="31" borderId="8" xfId="130" applyFont="1" applyFill="1" applyBorder="1" applyAlignment="1">
      <alignment vertical="top"/>
    </xf>
    <xf numFmtId="0" fontId="164" fillId="31" borderId="8" xfId="130" applyFont="1" applyFill="1" applyBorder="1" applyAlignment="1">
      <alignment vertical="top"/>
    </xf>
    <xf numFmtId="0" fontId="164" fillId="30" borderId="8" xfId="130" applyFont="1" applyFill="1" applyBorder="1" applyAlignment="1">
      <alignment vertical="top"/>
    </xf>
    <xf numFmtId="0" fontId="116" fillId="31" borderId="8" xfId="130" applyFont="1" applyFill="1" applyBorder="1" applyAlignment="1">
      <alignment horizontal="justify" vertical="center"/>
    </xf>
    <xf numFmtId="0" fontId="117" fillId="31" borderId="8" xfId="130" applyFont="1" applyFill="1" applyBorder="1" applyAlignment="1">
      <alignment horizontal="justify" vertical="center"/>
    </xf>
    <xf numFmtId="0" fontId="116" fillId="31" borderId="8" xfId="130" applyFont="1" applyFill="1" applyBorder="1" applyAlignment="1">
      <alignment wrapText="1"/>
    </xf>
    <xf numFmtId="0" fontId="116" fillId="31" borderId="8" xfId="130" quotePrefix="1" applyFont="1" applyFill="1" applyBorder="1" applyAlignment="1">
      <alignment horizontal="justify" vertical="center" wrapText="1"/>
    </xf>
    <xf numFmtId="0" fontId="116" fillId="31" borderId="8" xfId="130" applyFont="1" applyFill="1" applyBorder="1" applyAlignment="1">
      <alignment horizontal="justify" vertical="center" wrapText="1"/>
    </xf>
    <xf numFmtId="0" fontId="112" fillId="31" borderId="8" xfId="130" applyFont="1" applyFill="1" applyBorder="1" applyAlignment="1">
      <alignment horizontal="justify" vertical="center"/>
    </xf>
    <xf numFmtId="0" fontId="112" fillId="31" borderId="8" xfId="130" quotePrefix="1" applyFont="1" applyFill="1" applyBorder="1" applyAlignment="1">
      <alignment horizontal="justify" vertical="center"/>
    </xf>
    <xf numFmtId="0" fontId="167" fillId="31" borderId="8" xfId="130" applyFont="1" applyFill="1" applyBorder="1" applyAlignment="1">
      <alignment wrapText="1"/>
    </xf>
    <xf numFmtId="0" fontId="167" fillId="31" borderId="8" xfId="130" applyFont="1" applyFill="1" applyBorder="1" applyAlignment="1">
      <alignment horizontal="center" vertical="top"/>
    </xf>
    <xf numFmtId="0" fontId="112" fillId="31" borderId="8" xfId="130" applyFont="1" applyFill="1" applyBorder="1"/>
    <xf numFmtId="0" fontId="112" fillId="31" borderId="8" xfId="130" applyFont="1" applyFill="1" applyBorder="1" applyAlignment="1">
      <alignment wrapText="1"/>
    </xf>
    <xf numFmtId="0" fontId="115" fillId="31" borderId="8" xfId="71" applyFont="1" applyFill="1" applyBorder="1" applyAlignment="1">
      <alignment horizontal="justify" vertical="center"/>
    </xf>
    <xf numFmtId="0" fontId="116" fillId="31" borderId="8" xfId="71" applyFont="1" applyFill="1" applyBorder="1" applyAlignment="1">
      <alignment horizontal="justify" vertical="center"/>
    </xf>
    <xf numFmtId="0" fontId="156" fillId="31" borderId="8" xfId="71" applyFont="1" applyFill="1" applyBorder="1" applyAlignment="1">
      <alignment horizontal="justify" vertical="center"/>
    </xf>
    <xf numFmtId="0" fontId="116" fillId="31" borderId="8" xfId="71" applyFont="1" applyFill="1" applyBorder="1" applyAlignment="1">
      <alignment wrapText="1"/>
    </xf>
    <xf numFmtId="0" fontId="114" fillId="31" borderId="8" xfId="130" applyFont="1" applyFill="1" applyBorder="1" applyAlignment="1">
      <alignment horizontal="center" vertical="center"/>
    </xf>
    <xf numFmtId="0" fontId="166" fillId="31" borderId="8" xfId="130" applyFont="1" applyFill="1" applyBorder="1" applyAlignment="1">
      <alignment horizontal="justify" vertical="center" wrapText="1"/>
    </xf>
    <xf numFmtId="0" fontId="111" fillId="31" borderId="8" xfId="130" applyFont="1" applyFill="1" applyBorder="1" applyAlignment="1">
      <alignment horizontal="center" vertical="center"/>
    </xf>
    <xf numFmtId="0" fontId="115" fillId="31" borderId="8" xfId="129" applyNumberFormat="1" applyFont="1" applyFill="1" applyBorder="1" applyAlignment="1">
      <alignment horizontal="center" vertical="center"/>
    </xf>
    <xf numFmtId="0" fontId="116" fillId="31" borderId="8" xfId="130" applyFont="1" applyFill="1" applyBorder="1" applyAlignment="1">
      <alignment horizontal="left" wrapText="1"/>
    </xf>
    <xf numFmtId="0" fontId="112" fillId="30" borderId="8" xfId="127" applyFont="1" applyFill="1" applyBorder="1" applyAlignment="1">
      <alignment horizontal="center" vertical="center" wrapText="1"/>
    </xf>
    <xf numFmtId="3" fontId="112" fillId="42" borderId="8" xfId="127" applyNumberFormat="1" applyFont="1" applyFill="1" applyBorder="1" applyAlignment="1">
      <alignment horizontal="left" vertical="top" wrapText="1"/>
    </xf>
    <xf numFmtId="168" fontId="116" fillId="31" borderId="8" xfId="129" applyNumberFormat="1" applyFont="1" applyFill="1" applyBorder="1" applyAlignment="1">
      <alignment horizontal="center" vertical="center"/>
    </xf>
    <xf numFmtId="0" fontId="116" fillId="31" borderId="8" xfId="130" quotePrefix="1" applyFont="1" applyFill="1" applyBorder="1" applyAlignment="1">
      <alignment horizontal="left" vertical="center" wrapText="1"/>
    </xf>
    <xf numFmtId="0" fontId="109" fillId="31" borderId="23" xfId="130" applyFont="1" applyFill="1" applyBorder="1" applyAlignment="1">
      <alignment horizontal="center" vertical="center"/>
    </xf>
    <xf numFmtId="184" fontId="160" fillId="31" borderId="8" xfId="129" applyNumberFormat="1" applyFont="1" applyFill="1" applyBorder="1"/>
    <xf numFmtId="37" fontId="161" fillId="31" borderId="8" xfId="129" applyNumberFormat="1" applyFont="1" applyFill="1" applyBorder="1"/>
    <xf numFmtId="0" fontId="171" fillId="31" borderId="0" xfId="130" applyFont="1" applyFill="1"/>
    <xf numFmtId="0" fontId="171" fillId="30" borderId="0" xfId="130" applyFont="1" applyFill="1"/>
    <xf numFmtId="0" fontId="172" fillId="31" borderId="0" xfId="130" applyFont="1" applyFill="1"/>
    <xf numFmtId="0" fontId="172" fillId="31" borderId="0" xfId="130" applyFont="1" applyFill="1" applyAlignment="1">
      <alignment horizontal="center"/>
    </xf>
    <xf numFmtId="184" fontId="10" fillId="31" borderId="0" xfId="129" applyNumberFormat="1" applyFont="1" applyFill="1"/>
    <xf numFmtId="187" fontId="10" fillId="31" borderId="0" xfId="129" applyNumberFormat="1" applyFont="1" applyFill="1"/>
    <xf numFmtId="0" fontId="164" fillId="29" borderId="0" xfId="130" applyFont="1" applyFill="1"/>
    <xf numFmtId="3" fontId="101" fillId="0" borderId="42" xfId="31" applyNumberFormat="1" applyFont="1" applyFill="1" applyBorder="1" applyAlignment="1">
      <alignment horizontal="right" vertical="center"/>
    </xf>
    <xf numFmtId="0" fontId="68" fillId="0" borderId="0" xfId="0" applyFont="1" applyAlignment="1">
      <alignment horizontal="center"/>
    </xf>
    <xf numFmtId="49" fontId="68" fillId="0" borderId="0" xfId="0" applyNumberFormat="1" applyFont="1" applyAlignment="1">
      <alignment horizontal="center"/>
    </xf>
    <xf numFmtId="0" fontId="73" fillId="0" borderId="35" xfId="81" applyFont="1" applyBorder="1" applyAlignment="1">
      <alignment horizontal="center"/>
    </xf>
    <xf numFmtId="3" fontId="73" fillId="0" borderId="31" xfId="31" applyNumberFormat="1" applyFont="1" applyFill="1" applyBorder="1" applyAlignment="1">
      <alignment horizontal="left"/>
    </xf>
    <xf numFmtId="3" fontId="73" fillId="0" borderId="31" xfId="31" applyNumberFormat="1" applyFont="1" applyFill="1" applyBorder="1" applyAlignment="1">
      <alignment horizontal="right"/>
    </xf>
    <xf numFmtId="3" fontId="61" fillId="0" borderId="36" xfId="31" applyNumberFormat="1" applyFont="1" applyFill="1" applyBorder="1" applyAlignment="1">
      <alignment horizontal="left" vertical="center" wrapText="1"/>
    </xf>
    <xf numFmtId="3" fontId="61" fillId="0" borderId="36" xfId="31" applyNumberFormat="1" applyFont="1" applyFill="1" applyBorder="1" applyAlignment="1">
      <alignment horizontal="left" vertical="center"/>
    </xf>
    <xf numFmtId="0" fontId="176" fillId="0" borderId="0" xfId="0" applyFont="1" applyAlignment="1">
      <alignment horizontal="center" vertical="center"/>
    </xf>
    <xf numFmtId="0" fontId="175" fillId="0" borderId="27" xfId="0" applyFont="1" applyBorder="1" applyAlignment="1">
      <alignment horizontal="center" vertical="center"/>
    </xf>
    <xf numFmtId="0" fontId="175" fillId="0" borderId="8" xfId="0" applyFont="1" applyBorder="1" applyAlignment="1">
      <alignment horizontal="center" vertical="center"/>
    </xf>
    <xf numFmtId="0" fontId="176" fillId="0" borderId="69" xfId="0" applyFont="1" applyBorder="1" applyAlignment="1">
      <alignment horizontal="center" vertical="center"/>
    </xf>
    <xf numFmtId="0" fontId="176" fillId="0" borderId="69" xfId="0" quotePrefix="1" applyFont="1" applyBorder="1" applyAlignment="1">
      <alignment horizontal="left" vertical="center" wrapText="1"/>
    </xf>
    <xf numFmtId="0" fontId="176" fillId="0" borderId="36" xfId="0" applyFont="1" applyBorder="1" applyAlignment="1">
      <alignment horizontal="center" vertical="center"/>
    </xf>
    <xf numFmtId="0" fontId="176" fillId="0" borderId="36" xfId="0" quotePrefix="1" applyFont="1" applyBorder="1" applyAlignment="1">
      <alignment horizontal="left" vertical="center" wrapText="1"/>
    </xf>
    <xf numFmtId="0" fontId="176" fillId="0" borderId="48" xfId="0" quotePrefix="1" applyFont="1" applyBorder="1" applyAlignment="1">
      <alignment horizontal="left" vertical="center" wrapText="1"/>
    </xf>
    <xf numFmtId="0" fontId="176" fillId="0" borderId="48" xfId="0" applyFont="1" applyBorder="1" applyAlignment="1">
      <alignment horizontal="center" vertical="center"/>
    </xf>
    <xf numFmtId="0" fontId="176" fillId="0" borderId="36" xfId="0" quotePrefix="1" applyFont="1" applyBorder="1" applyAlignment="1">
      <alignment horizontal="left" vertical="center"/>
    </xf>
    <xf numFmtId="0" fontId="176" fillId="0" borderId="35" xfId="0" applyFont="1" applyBorder="1" applyAlignment="1">
      <alignment horizontal="center" vertical="center"/>
    </xf>
    <xf numFmtId="0" fontId="176" fillId="0" borderId="44" xfId="0" applyFont="1" applyBorder="1" applyAlignment="1">
      <alignment horizontal="center" vertical="center"/>
    </xf>
    <xf numFmtId="0" fontId="176" fillId="0" borderId="44" xfId="0" quotePrefix="1" applyFont="1" applyBorder="1" applyAlignment="1">
      <alignment horizontal="left" vertical="center" wrapText="1"/>
    </xf>
    <xf numFmtId="0" fontId="175" fillId="0" borderId="44" xfId="0" quotePrefix="1" applyFont="1" applyBorder="1" applyAlignment="1">
      <alignment horizontal="left" vertical="center" wrapText="1"/>
    </xf>
    <xf numFmtId="0" fontId="175" fillId="0" borderId="36" xfId="0" quotePrefix="1" applyFont="1" applyBorder="1" applyAlignment="1">
      <alignment horizontal="left" vertical="center" wrapText="1"/>
    </xf>
    <xf numFmtId="0" fontId="175" fillId="0" borderId="35" xfId="0" applyFont="1" applyBorder="1" applyAlignment="1">
      <alignment horizontal="center" vertical="center"/>
    </xf>
    <xf numFmtId="0" fontId="175" fillId="0" borderId="35" xfId="0" applyFont="1" applyBorder="1" applyAlignment="1">
      <alignment horizontal="left" vertical="center"/>
    </xf>
    <xf numFmtId="0" fontId="176" fillId="0" borderId="36" xfId="0" applyFont="1" applyBorder="1" applyAlignment="1">
      <alignment horizontal="left" vertical="center"/>
    </xf>
    <xf numFmtId="0" fontId="176" fillId="0" borderId="35" xfId="0" quotePrefix="1" applyFont="1" applyBorder="1" applyAlignment="1">
      <alignment horizontal="left" vertical="center" wrapText="1"/>
    </xf>
    <xf numFmtId="0" fontId="176" fillId="0" borderId="35" xfId="0" quotePrefix="1" applyFont="1" applyBorder="1" applyAlignment="1">
      <alignment horizontal="left" vertical="center"/>
    </xf>
    <xf numFmtId="0" fontId="175" fillId="30" borderId="8" xfId="0" applyFont="1" applyFill="1" applyBorder="1" applyAlignment="1">
      <alignment horizontal="center" vertical="center"/>
    </xf>
    <xf numFmtId="0" fontId="176" fillId="30" borderId="0" xfId="0" applyFont="1" applyFill="1" applyAlignment="1">
      <alignment horizontal="center" vertical="center"/>
    </xf>
    <xf numFmtId="0" fontId="102" fillId="0" borderId="10" xfId="81" applyFont="1" applyBorder="1"/>
    <xf numFmtId="0" fontId="102" fillId="0" borderId="71" xfId="81" applyFont="1" applyBorder="1"/>
    <xf numFmtId="0" fontId="102" fillId="0" borderId="11" xfId="81" applyFont="1" applyBorder="1"/>
    <xf numFmtId="0" fontId="102" fillId="0" borderId="0" xfId="81" applyFont="1"/>
    <xf numFmtId="0" fontId="102" fillId="0" borderId="13" xfId="81" applyFont="1" applyBorder="1"/>
    <xf numFmtId="0" fontId="115" fillId="0" borderId="26" xfId="81" applyFont="1" applyBorder="1" applyAlignment="1">
      <alignment horizontal="centerContinuous" vertical="center"/>
    </xf>
    <xf numFmtId="0" fontId="114" fillId="0" borderId="28" xfId="81" applyFont="1" applyBorder="1" applyAlignment="1">
      <alignment horizontal="centerContinuous" vertical="center"/>
    </xf>
    <xf numFmtId="0" fontId="102" fillId="0" borderId="28" xfId="81" applyFont="1" applyBorder="1" applyAlignment="1">
      <alignment horizontal="centerContinuous" vertical="center"/>
    </xf>
    <xf numFmtId="0" fontId="102" fillId="0" borderId="28" xfId="81" applyFont="1" applyBorder="1"/>
    <xf numFmtId="0" fontId="111" fillId="0" borderId="28" xfId="81" applyFont="1" applyBorder="1" applyAlignment="1">
      <alignment horizontal="centerContinuous"/>
    </xf>
    <xf numFmtId="0" fontId="102" fillId="0" borderId="29" xfId="81" applyFont="1" applyBorder="1"/>
    <xf numFmtId="0" fontId="102" fillId="0" borderId="14" xfId="81" applyFont="1" applyBorder="1"/>
    <xf numFmtId="0" fontId="105" fillId="0" borderId="30" xfId="81" applyFont="1" applyBorder="1" applyAlignment="1">
      <alignment horizontal="centerContinuous" vertical="center"/>
    </xf>
    <xf numFmtId="0" fontId="114" fillId="0" borderId="0" xfId="81" applyFont="1" applyAlignment="1">
      <alignment horizontal="centerContinuous" vertical="center"/>
    </xf>
    <xf numFmtId="0" fontId="105" fillId="0" borderId="0" xfId="81" applyFont="1" applyAlignment="1">
      <alignment horizontal="centerContinuous" vertical="center"/>
    </xf>
    <xf numFmtId="0" fontId="102" fillId="0" borderId="0" xfId="81" applyFont="1" applyAlignment="1">
      <alignment horizontal="centerContinuous" vertical="center"/>
    </xf>
    <xf numFmtId="0" fontId="111" fillId="0" borderId="0" xfId="81" applyFont="1" applyAlignment="1">
      <alignment horizontal="centerContinuous"/>
    </xf>
    <xf numFmtId="0" fontId="102" fillId="0" borderId="31" xfId="81" applyFont="1" applyBorder="1"/>
    <xf numFmtId="0" fontId="102" fillId="0" borderId="30" xfId="81" applyFont="1" applyBorder="1"/>
    <xf numFmtId="0" fontId="111" fillId="0" borderId="0" xfId="81" applyFont="1" applyAlignment="1">
      <alignment horizontal="centerContinuous" vertical="top"/>
    </xf>
    <xf numFmtId="0" fontId="180" fillId="0" borderId="30" xfId="81" applyFont="1" applyBorder="1" applyAlignment="1">
      <alignment horizontal="centerContinuous"/>
    </xf>
    <xf numFmtId="0" fontId="181" fillId="0" borderId="0" xfId="81" applyFont="1" applyAlignment="1">
      <alignment horizontal="centerContinuous"/>
    </xf>
    <xf numFmtId="0" fontId="102" fillId="0" borderId="31" xfId="81" applyFont="1" applyBorder="1" applyAlignment="1">
      <alignment horizontal="centerContinuous"/>
    </xf>
    <xf numFmtId="0" fontId="104" fillId="0" borderId="30" xfId="81" applyFont="1" applyBorder="1" applyAlignment="1">
      <alignment horizontal="centerContinuous"/>
    </xf>
    <xf numFmtId="0" fontId="182" fillId="0" borderId="0" xfId="81" applyFont="1" applyAlignment="1">
      <alignment horizontal="centerContinuous"/>
    </xf>
    <xf numFmtId="0" fontId="116" fillId="0" borderId="0" xfId="81" applyFont="1" applyAlignment="1">
      <alignment horizontal="centerContinuous"/>
    </xf>
    <xf numFmtId="0" fontId="183" fillId="0" borderId="0" xfId="147" applyFont="1" applyAlignment="1">
      <alignment vertical="center"/>
    </xf>
    <xf numFmtId="49" fontId="121" fillId="0" borderId="30" xfId="82" applyNumberFormat="1" applyFont="1" applyBorder="1" applyAlignment="1">
      <alignment horizontal="centerContinuous"/>
    </xf>
    <xf numFmtId="0" fontId="121" fillId="0" borderId="0" xfId="82" quotePrefix="1" applyFont="1" applyAlignment="1">
      <alignment horizontal="left" vertical="center"/>
    </xf>
    <xf numFmtId="49" fontId="116" fillId="0" borderId="30" xfId="82" applyNumberFormat="1" applyFont="1" applyBorder="1" applyAlignment="1">
      <alignment horizontal="centerContinuous"/>
    </xf>
    <xf numFmtId="0" fontId="115" fillId="0" borderId="0" xfId="82" quotePrefix="1" applyFont="1" applyAlignment="1">
      <alignment horizontal="left" vertical="center"/>
    </xf>
    <xf numFmtId="0" fontId="115" fillId="0" borderId="0" xfId="81" applyFont="1" applyAlignment="1">
      <alignment horizontal="left"/>
    </xf>
    <xf numFmtId="0" fontId="103" fillId="0" borderId="32" xfId="82" applyFont="1" applyBorder="1" applyAlignment="1">
      <alignment horizontal="centerContinuous"/>
    </xf>
    <xf numFmtId="0" fontId="102" fillId="0" borderId="33" xfId="81" applyFont="1" applyBorder="1" applyAlignment="1">
      <alignment horizontal="centerContinuous"/>
    </xf>
    <xf numFmtId="0" fontId="102" fillId="0" borderId="34" xfId="81" applyFont="1" applyBorder="1"/>
    <xf numFmtId="0" fontId="102" fillId="0" borderId="16" xfId="81" applyFont="1" applyBorder="1"/>
    <xf numFmtId="0" fontId="102" fillId="0" borderId="25" xfId="81" applyFont="1" applyBorder="1"/>
    <xf numFmtId="0" fontId="102" fillId="0" borderId="17" xfId="81" applyFont="1" applyBorder="1"/>
    <xf numFmtId="0" fontId="114" fillId="0" borderId="0" xfId="134" applyFont="1"/>
    <xf numFmtId="0" fontId="111" fillId="0" borderId="0" xfId="134" applyFont="1"/>
    <xf numFmtId="0" fontId="102" fillId="0" borderId="0" xfId="134" applyFont="1"/>
    <xf numFmtId="0" fontId="115" fillId="0" borderId="0" xfId="81" applyFont="1" applyAlignment="1">
      <alignment horizontal="centerContinuous" vertical="center"/>
    </xf>
    <xf numFmtId="0" fontId="116" fillId="0" borderId="0" xfId="81" applyFont="1" applyAlignment="1">
      <alignment horizontal="centerContinuous" vertical="center"/>
    </xf>
    <xf numFmtId="0" fontId="116" fillId="0" borderId="0" xfId="81" applyFont="1"/>
    <xf numFmtId="0" fontId="116" fillId="0" borderId="0" xfId="81" quotePrefix="1" applyFont="1" applyAlignment="1">
      <alignment horizontal="centerContinuous"/>
    </xf>
    <xf numFmtId="168" fontId="117" fillId="0" borderId="0" xfId="139" applyNumberFormat="1" applyFont="1" applyAlignment="1">
      <alignment horizontal="right"/>
    </xf>
    <xf numFmtId="0" fontId="184" fillId="0" borderId="0" xfId="81" applyFont="1" applyAlignment="1">
      <alignment horizontal="centerContinuous" vertical="center" wrapText="1"/>
    </xf>
    <xf numFmtId="0" fontId="116" fillId="0" borderId="0" xfId="81" applyFont="1" applyAlignment="1">
      <alignment horizontal="centerContinuous" vertical="center" wrapText="1"/>
    </xf>
    <xf numFmtId="49" fontId="115" fillId="0" borderId="0" xfId="82" applyNumberFormat="1" applyFont="1" applyAlignment="1">
      <alignment horizontal="center"/>
    </xf>
    <xf numFmtId="0" fontId="116" fillId="0" borderId="0" xfId="81" applyFont="1" applyAlignment="1">
      <alignment horizontal="center"/>
    </xf>
    <xf numFmtId="49" fontId="115" fillId="0" borderId="0" xfId="82" applyNumberFormat="1" applyFont="1" applyAlignment="1">
      <alignment horizontal="centerContinuous" vertical="center" wrapText="1"/>
    </xf>
    <xf numFmtId="0" fontId="115" fillId="0" borderId="0" xfId="81" applyFont="1" applyAlignment="1">
      <alignment vertical="center"/>
    </xf>
    <xf numFmtId="0" fontId="116" fillId="0" borderId="0" xfId="81" applyFont="1" applyAlignment="1">
      <alignment vertical="center" wrapText="1"/>
    </xf>
    <xf numFmtId="0" fontId="115" fillId="0" borderId="0" xfId="81" applyFont="1" applyAlignment="1">
      <alignment horizontal="left" vertical="center"/>
    </xf>
    <xf numFmtId="49" fontId="116" fillId="0" borderId="0" xfId="82" applyNumberFormat="1" applyFont="1" applyAlignment="1">
      <alignment horizontal="centerContinuous" vertical="center" wrapText="1"/>
    </xf>
    <xf numFmtId="0" fontId="116" fillId="0" borderId="0" xfId="148" applyFont="1" applyAlignment="1">
      <alignment horizontal="center"/>
    </xf>
    <xf numFmtId="0" fontId="116" fillId="0" borderId="0" xfId="81" applyFont="1" applyAlignment="1">
      <alignment vertical="center"/>
    </xf>
    <xf numFmtId="0" fontId="116" fillId="0" borderId="18" xfId="81" applyFont="1" applyBorder="1" applyAlignment="1">
      <alignment horizontal="centerContinuous" vertical="center"/>
    </xf>
    <xf numFmtId="0" fontId="116" fillId="0" borderId="19" xfId="81" applyFont="1" applyBorder="1" applyAlignment="1">
      <alignment vertical="center"/>
    </xf>
    <xf numFmtId="0" fontId="115" fillId="0" borderId="20" xfId="81" applyFont="1" applyBorder="1" applyAlignment="1">
      <alignment horizontal="right" vertical="center"/>
    </xf>
    <xf numFmtId="168" fontId="115" fillId="0" borderId="18" xfId="139" applyNumberFormat="1" applyFont="1" applyFill="1" applyBorder="1" applyAlignment="1">
      <alignment horizontal="centerContinuous" vertical="center"/>
    </xf>
    <xf numFmtId="168" fontId="116" fillId="0" borderId="19" xfId="139" applyNumberFormat="1" applyFont="1" applyFill="1" applyBorder="1" applyAlignment="1">
      <alignment horizontal="centerContinuous" vertical="center"/>
    </xf>
    <xf numFmtId="168" fontId="116" fillId="0" borderId="20" xfId="139" applyNumberFormat="1" applyFont="1" applyFill="1" applyBorder="1" applyAlignment="1">
      <alignment horizontal="centerContinuous" vertical="center"/>
    </xf>
    <xf numFmtId="0" fontId="156" fillId="0" borderId="0" xfId="81" applyFont="1" applyAlignment="1">
      <alignment vertical="center"/>
    </xf>
    <xf numFmtId="168" fontId="185" fillId="0" borderId="0" xfId="139" applyNumberFormat="1" applyFont="1" applyFill="1" applyAlignment="1">
      <alignment vertical="center"/>
    </xf>
    <xf numFmtId="168" fontId="116" fillId="0" borderId="0" xfId="81" applyNumberFormat="1" applyFont="1"/>
    <xf numFmtId="168" fontId="115" fillId="0" borderId="18" xfId="139" applyNumberFormat="1" applyFont="1" applyFill="1" applyBorder="1" applyAlignment="1">
      <alignment horizontal="centerContinuous"/>
    </xf>
    <xf numFmtId="0" fontId="156" fillId="0" borderId="0" xfId="82" applyFont="1" applyAlignment="1">
      <alignment horizontal="center"/>
    </xf>
    <xf numFmtId="0" fontId="156" fillId="0" borderId="0" xfId="81" applyFont="1" applyAlignment="1">
      <alignment horizontal="center"/>
    </xf>
    <xf numFmtId="0" fontId="156" fillId="0" borderId="0" xfId="81" applyFont="1" applyAlignment="1">
      <alignment horizontal="right"/>
    </xf>
    <xf numFmtId="0" fontId="156" fillId="0" borderId="0" xfId="81" applyFont="1" applyAlignment="1">
      <alignment horizontal="centerContinuous"/>
    </xf>
    <xf numFmtId="0" fontId="117" fillId="0" borderId="0" xfId="81" applyFont="1" applyAlignment="1">
      <alignment horizontal="right"/>
    </xf>
    <xf numFmtId="2" fontId="156" fillId="0" borderId="0" xfId="81" applyNumberFormat="1" applyFont="1" applyAlignment="1">
      <alignment horizontal="center" vertical="center" wrapText="1"/>
    </xf>
    <xf numFmtId="2" fontId="186" fillId="0" borderId="0" xfId="81" applyNumberFormat="1" applyFont="1" applyAlignment="1">
      <alignment horizontal="center" vertical="center" wrapText="1"/>
    </xf>
    <xf numFmtId="168" fontId="187" fillId="0" borderId="0" xfId="139" applyNumberFormat="1" applyFont="1" applyFill="1" applyAlignment="1">
      <alignment horizontal="centerContinuous" vertical="center"/>
    </xf>
    <xf numFmtId="168" fontId="116" fillId="0" borderId="0" xfId="139" applyNumberFormat="1" applyFont="1" applyFill="1" applyAlignment="1">
      <alignment horizontal="centerContinuous" vertical="center"/>
    </xf>
    <xf numFmtId="0" fontId="117" fillId="0" borderId="0" xfId="81" applyFont="1" applyAlignment="1">
      <alignment vertical="center"/>
    </xf>
    <xf numFmtId="0" fontId="156" fillId="0" borderId="0" xfId="81" applyFont="1"/>
    <xf numFmtId="168" fontId="185" fillId="0" borderId="0" xfId="139" applyNumberFormat="1" applyFont="1" applyFill="1"/>
    <xf numFmtId="181" fontId="116" fillId="0" borderId="0" xfId="140" applyNumberFormat="1" applyFont="1" applyFill="1"/>
    <xf numFmtId="168" fontId="116" fillId="0" borderId="0" xfId="139" applyNumberFormat="1" applyFont="1" applyFill="1"/>
    <xf numFmtId="0" fontId="186" fillId="0" borderId="0" xfId="81" applyFont="1"/>
    <xf numFmtId="168" fontId="187" fillId="0" borderId="0" xfId="139" applyNumberFormat="1" applyFont="1" applyFill="1" applyAlignment="1">
      <alignment horizontal="centerContinuous"/>
    </xf>
    <xf numFmtId="168" fontId="116" fillId="0" borderId="0" xfId="139" applyNumberFormat="1" applyFont="1" applyFill="1" applyAlignment="1">
      <alignment horizontal="centerContinuous"/>
    </xf>
    <xf numFmtId="0" fontId="117" fillId="0" borderId="0" xfId="81" applyFont="1"/>
    <xf numFmtId="181" fontId="185" fillId="0" borderId="0" xfId="140" applyNumberFormat="1" applyFont="1" applyFill="1"/>
    <xf numFmtId="2" fontId="117" fillId="0" borderId="0" xfId="81" applyNumberFormat="1" applyFont="1" applyAlignment="1">
      <alignment horizontal="center" vertical="center" wrapText="1"/>
    </xf>
    <xf numFmtId="188" fontId="187" fillId="0" borderId="0" xfId="139" applyNumberFormat="1" applyFont="1" applyFill="1" applyAlignment="1">
      <alignment horizontal="centerContinuous"/>
    </xf>
    <xf numFmtId="3" fontId="116" fillId="0" borderId="0" xfId="81" applyNumberFormat="1" applyFont="1"/>
    <xf numFmtId="168" fontId="187" fillId="0" borderId="0" xfId="139" applyNumberFormat="1" applyFont="1" applyFill="1" applyAlignment="1">
      <alignment horizontal="center"/>
    </xf>
    <xf numFmtId="168" fontId="116" fillId="0" borderId="0" xfId="139" applyNumberFormat="1" applyFont="1" applyFill="1" applyAlignment="1">
      <alignment horizontal="center"/>
    </xf>
    <xf numFmtId="0" fontId="115" fillId="0" borderId="0" xfId="81" applyFont="1" applyAlignment="1">
      <alignment horizontal="centerContinuous"/>
    </xf>
    <xf numFmtId="0" fontId="115" fillId="0" borderId="0" xfId="134" applyFont="1" applyAlignment="1">
      <alignment horizontal="centerContinuous" vertical="center" wrapText="1"/>
    </xf>
    <xf numFmtId="0" fontId="115" fillId="0" borderId="0" xfId="81" applyFont="1" applyAlignment="1">
      <alignment horizontal="center"/>
    </xf>
    <xf numFmtId="0" fontId="115" fillId="0" borderId="0" xfId="81" applyFont="1"/>
    <xf numFmtId="171" fontId="116" fillId="0" borderId="0" xfId="141" applyNumberFormat="1" applyFont="1" applyFill="1"/>
    <xf numFmtId="0" fontId="156" fillId="0" borderId="0" xfId="81" applyFont="1" applyAlignment="1">
      <alignment horizontal="center" wrapText="1"/>
    </xf>
    <xf numFmtId="0" fontId="116" fillId="0" borderId="0" xfId="134" applyFont="1"/>
    <xf numFmtId="0" fontId="188" fillId="0" borderId="0" xfId="127" applyFont="1" applyAlignment="1">
      <alignment horizontal="center" wrapText="1"/>
    </xf>
    <xf numFmtId="0" fontId="188" fillId="0" borderId="0" xfId="127" applyFont="1" applyAlignment="1">
      <alignment wrapText="1"/>
    </xf>
    <xf numFmtId="0" fontId="188" fillId="0" borderId="0" xfId="127" applyFont="1"/>
    <xf numFmtId="0" fontId="188" fillId="0" borderId="0" xfId="127" applyFont="1" applyAlignment="1">
      <alignment horizontal="center" vertical="center" wrapText="1"/>
    </xf>
    <xf numFmtId="0" fontId="175" fillId="0" borderId="0" xfId="127" applyFont="1" applyAlignment="1">
      <alignment wrapText="1"/>
    </xf>
    <xf numFmtId="0" fontId="175" fillId="0" borderId="0" xfId="127" applyFont="1"/>
    <xf numFmtId="0" fontId="176" fillId="0" borderId="0" xfId="127" applyFont="1" applyAlignment="1">
      <alignment wrapText="1"/>
    </xf>
    <xf numFmtId="0" fontId="176" fillId="0" borderId="0" xfId="127" applyFont="1"/>
    <xf numFmtId="0" fontId="189" fillId="0" borderId="0" xfId="149" applyFont="1" applyAlignment="1">
      <alignment horizontal="center" vertical="top" wrapText="1"/>
    </xf>
    <xf numFmtId="0" fontId="176" fillId="0" borderId="0" xfId="149" applyFont="1"/>
    <xf numFmtId="0" fontId="190" fillId="0" borderId="0" xfId="149" applyFont="1" applyAlignment="1">
      <alignment horizontal="center" vertical="top" wrapText="1"/>
    </xf>
    <xf numFmtId="0" fontId="191" fillId="0" borderId="0" xfId="149" applyFont="1" applyAlignment="1">
      <alignment horizontal="center" vertical="center" wrapText="1"/>
    </xf>
    <xf numFmtId="0" fontId="191" fillId="0" borderId="0" xfId="149" applyFont="1" applyAlignment="1">
      <alignment horizontal="left" vertical="center" wrapText="1"/>
    </xf>
    <xf numFmtId="0" fontId="191" fillId="0" borderId="0" xfId="149" applyFont="1" applyAlignment="1">
      <alignment horizontal="center" vertical="top" wrapText="1"/>
    </xf>
    <xf numFmtId="0" fontId="191" fillId="0" borderId="0" xfId="149" applyFont="1" applyAlignment="1">
      <alignment horizontal="right" vertical="center" wrapText="1"/>
    </xf>
    <xf numFmtId="184" fontId="191" fillId="0" borderId="0" xfId="133" applyNumberFormat="1" applyFont="1" applyAlignment="1">
      <alignment horizontal="right" vertical="top" wrapText="1"/>
    </xf>
    <xf numFmtId="0" fontId="191" fillId="0" borderId="0" xfId="149" applyFont="1" applyAlignment="1">
      <alignment horizontal="right" vertical="top" wrapText="1"/>
    </xf>
    <xf numFmtId="184" fontId="192" fillId="0" borderId="33" xfId="133" applyNumberFormat="1" applyFont="1" applyBorder="1" applyAlignment="1">
      <alignment vertical="top" wrapText="1"/>
    </xf>
    <xf numFmtId="184" fontId="192" fillId="0" borderId="0" xfId="133" applyNumberFormat="1" applyFont="1" applyBorder="1" applyAlignment="1">
      <alignment vertical="top" wrapText="1"/>
    </xf>
    <xf numFmtId="189" fontId="193" fillId="0" borderId="8" xfId="149" applyNumberFormat="1" applyFont="1" applyBorder="1" applyAlignment="1">
      <alignment horizontal="center" vertical="center" wrapText="1"/>
    </xf>
    <xf numFmtId="0" fontId="193" fillId="0" borderId="8" xfId="149" applyFont="1" applyBorder="1" applyAlignment="1">
      <alignment horizontal="center" vertical="center" wrapText="1"/>
    </xf>
    <xf numFmtId="9" fontId="193" fillId="0" borderId="8" xfId="149" applyNumberFormat="1" applyFont="1" applyBorder="1" applyAlignment="1">
      <alignment horizontal="center" vertical="center" wrapText="1"/>
    </xf>
    <xf numFmtId="184" fontId="193" fillId="0" borderId="8" xfId="133" applyNumberFormat="1" applyFont="1" applyBorder="1" applyAlignment="1">
      <alignment horizontal="center" vertical="center" wrapText="1"/>
    </xf>
    <xf numFmtId="3" fontId="193" fillId="0" borderId="8" xfId="149" applyNumberFormat="1" applyFont="1" applyBorder="1" applyAlignment="1">
      <alignment horizontal="center" vertical="center" wrapText="1"/>
    </xf>
    <xf numFmtId="184" fontId="193" fillId="0" borderId="0" xfId="133" applyNumberFormat="1" applyFont="1" applyBorder="1" applyAlignment="1">
      <alignment horizontal="center" vertical="center" wrapText="1"/>
    </xf>
    <xf numFmtId="0" fontId="193" fillId="0" borderId="8" xfId="149" applyFont="1" applyBorder="1" applyAlignment="1">
      <alignment horizontal="left" vertical="center" wrapText="1"/>
    </xf>
    <xf numFmtId="0" fontId="193" fillId="0" borderId="8" xfId="149" applyFont="1" applyBorder="1" applyAlignment="1">
      <alignment horizontal="center" vertical="top" wrapText="1"/>
    </xf>
    <xf numFmtId="190" fontId="193" fillId="0" borderId="8" xfId="149" applyNumberFormat="1" applyFont="1" applyBorder="1" applyAlignment="1">
      <alignment horizontal="center" vertical="center" wrapText="1"/>
    </xf>
    <xf numFmtId="0" fontId="193" fillId="0" borderId="8" xfId="149" applyFont="1" applyBorder="1" applyAlignment="1">
      <alignment horizontal="right" vertical="center" wrapText="1"/>
    </xf>
    <xf numFmtId="184" fontId="193" fillId="0" borderId="8" xfId="133" applyNumberFormat="1" applyFont="1" applyBorder="1" applyAlignment="1">
      <alignment horizontal="right" vertical="center" wrapText="1"/>
    </xf>
    <xf numFmtId="3" fontId="193" fillId="0" borderId="8" xfId="149" applyNumberFormat="1" applyFont="1" applyBorder="1" applyAlignment="1">
      <alignment horizontal="right" vertical="center" wrapText="1"/>
    </xf>
    <xf numFmtId="184" fontId="193" fillId="0" borderId="0" xfId="133" applyNumberFormat="1" applyFont="1" applyBorder="1" applyAlignment="1">
      <alignment horizontal="right" vertical="center" wrapText="1"/>
    </xf>
    <xf numFmtId="168" fontId="176" fillId="0" borderId="0" xfId="150" applyNumberFormat="1" applyFont="1" applyFill="1"/>
    <xf numFmtId="3" fontId="176" fillId="0" borderId="0" xfId="149" applyNumberFormat="1" applyFont="1"/>
    <xf numFmtId="191" fontId="194" fillId="0" borderId="8" xfId="149" applyNumberFormat="1" applyFont="1" applyBorder="1" applyAlignment="1">
      <alignment horizontal="center" vertical="center" wrapText="1"/>
    </xf>
    <xf numFmtId="192" fontId="103" fillId="0" borderId="0" xfId="149" applyNumberFormat="1" applyFont="1" applyAlignment="1">
      <alignment vertical="center"/>
    </xf>
    <xf numFmtId="183" fontId="103" fillId="0" borderId="0" xfId="149" applyNumberFormat="1" applyFont="1" applyAlignment="1">
      <alignment vertical="center"/>
    </xf>
    <xf numFmtId="0" fontId="103" fillId="0" borderId="0" xfId="149" applyFont="1" applyAlignment="1">
      <alignment vertical="center"/>
    </xf>
    <xf numFmtId="166" fontId="103" fillId="0" borderId="0" xfId="149" applyNumberFormat="1" applyFont="1" applyAlignment="1">
      <alignment vertical="center"/>
    </xf>
    <xf numFmtId="190" fontId="194" fillId="0" borderId="8" xfId="149" applyNumberFormat="1" applyFont="1" applyBorder="1" applyAlignment="1">
      <alignment horizontal="center" vertical="center" wrapText="1"/>
    </xf>
    <xf numFmtId="189" fontId="191" fillId="0" borderId="8" xfId="149" applyNumberFormat="1" applyFont="1" applyBorder="1" applyAlignment="1">
      <alignment horizontal="center" vertical="center" wrapText="1"/>
    </xf>
    <xf numFmtId="0" fontId="191" fillId="0" borderId="8" xfId="149" applyFont="1" applyBorder="1" applyAlignment="1">
      <alignment horizontal="left" vertical="center" wrapText="1"/>
    </xf>
    <xf numFmtId="0" fontId="191" fillId="0" borderId="8" xfId="149" applyFont="1" applyBorder="1" applyAlignment="1">
      <alignment horizontal="center" vertical="top" wrapText="1"/>
    </xf>
    <xf numFmtId="0" fontId="191" fillId="0" borderId="8" xfId="149" applyFont="1" applyBorder="1" applyAlignment="1">
      <alignment horizontal="center" vertical="center" wrapText="1"/>
    </xf>
    <xf numFmtId="191" fontId="192" fillId="0" borderId="8" xfId="149" applyNumberFormat="1" applyFont="1" applyBorder="1" applyAlignment="1">
      <alignment horizontal="center" vertical="center" wrapText="1"/>
    </xf>
    <xf numFmtId="0" fontId="191" fillId="0" borderId="8" xfId="149" applyFont="1" applyBorder="1" applyAlignment="1">
      <alignment horizontal="right" vertical="center" wrapText="1"/>
    </xf>
    <xf numFmtId="184" fontId="191" fillId="0" borderId="8" xfId="133" applyNumberFormat="1" applyFont="1" applyBorder="1" applyAlignment="1">
      <alignment horizontal="right" vertical="center" wrapText="1"/>
    </xf>
    <xf numFmtId="184" fontId="191" fillId="0" borderId="8" xfId="149" applyNumberFormat="1" applyFont="1" applyBorder="1" applyAlignment="1">
      <alignment horizontal="right" vertical="center" wrapText="1"/>
    </xf>
    <xf numFmtId="184" fontId="191" fillId="0" borderId="0" xfId="133" applyNumberFormat="1" applyFont="1" applyBorder="1" applyAlignment="1">
      <alignment horizontal="right" vertical="center" wrapText="1"/>
    </xf>
    <xf numFmtId="3" fontId="191" fillId="0" borderId="8" xfId="149" applyNumberFormat="1" applyFont="1" applyBorder="1" applyAlignment="1">
      <alignment horizontal="right" vertical="center" wrapText="1"/>
    </xf>
    <xf numFmtId="191" fontId="192" fillId="0" borderId="8" xfId="149" applyNumberFormat="1" applyFont="1" applyBorder="1" applyAlignment="1">
      <alignment horizontal="right" vertical="center" wrapText="1"/>
    </xf>
    <xf numFmtId="184" fontId="191" fillId="0" borderId="30" xfId="133" applyNumberFormat="1" applyFont="1" applyBorder="1" applyAlignment="1">
      <alignment horizontal="right" vertical="center" wrapText="1"/>
    </xf>
    <xf numFmtId="3" fontId="191" fillId="0" borderId="30" xfId="149" applyNumberFormat="1" applyFont="1" applyBorder="1" applyAlignment="1">
      <alignment horizontal="right" vertical="center" wrapText="1"/>
    </xf>
    <xf numFmtId="189" fontId="191" fillId="43" borderId="8" xfId="149" applyNumberFormat="1" applyFont="1" applyFill="1" applyBorder="1" applyAlignment="1">
      <alignment horizontal="center" vertical="center" wrapText="1"/>
    </xf>
    <xf numFmtId="0" fontId="191" fillId="43" borderId="8" xfId="149" applyFont="1" applyFill="1" applyBorder="1" applyAlignment="1">
      <alignment horizontal="left" vertical="center" wrapText="1"/>
    </xf>
    <xf numFmtId="0" fontId="191" fillId="43" borderId="8" xfId="149" applyFont="1" applyFill="1" applyBorder="1" applyAlignment="1">
      <alignment horizontal="center" vertical="top" wrapText="1"/>
    </xf>
    <xf numFmtId="0" fontId="191" fillId="43" borderId="8" xfId="149" applyFont="1" applyFill="1" applyBorder="1" applyAlignment="1">
      <alignment horizontal="center" vertical="center" wrapText="1"/>
    </xf>
    <xf numFmtId="191" fontId="192" fillId="43" borderId="8" xfId="149" applyNumberFormat="1" applyFont="1" applyFill="1" applyBorder="1" applyAlignment="1">
      <alignment horizontal="center" vertical="center" wrapText="1"/>
    </xf>
    <xf numFmtId="0" fontId="191" fillId="43" borderId="8" xfId="149" applyFont="1" applyFill="1" applyBorder="1" applyAlignment="1">
      <alignment horizontal="right" vertical="center" wrapText="1"/>
    </xf>
    <xf numFmtId="184" fontId="191" fillId="43" borderId="8" xfId="133" applyNumberFormat="1" applyFont="1" applyFill="1" applyBorder="1" applyAlignment="1">
      <alignment horizontal="right" vertical="center" wrapText="1"/>
    </xf>
    <xf numFmtId="3" fontId="191" fillId="43" borderId="8" xfId="149" applyNumberFormat="1" applyFont="1" applyFill="1" applyBorder="1" applyAlignment="1">
      <alignment horizontal="right" vertical="center" wrapText="1"/>
    </xf>
    <xf numFmtId="0" fontId="103" fillId="30" borderId="0" xfId="149" applyFont="1" applyFill="1" applyAlignment="1">
      <alignment vertical="center"/>
    </xf>
    <xf numFmtId="166" fontId="103" fillId="30" borderId="0" xfId="149" applyNumberFormat="1" applyFont="1" applyFill="1" applyAlignment="1">
      <alignment vertical="center"/>
    </xf>
    <xf numFmtId="0" fontId="191" fillId="0" borderId="8" xfId="151" applyFont="1" applyBorder="1" applyAlignment="1">
      <alignment horizontal="left" vertical="center" wrapText="1"/>
    </xf>
    <xf numFmtId="10" fontId="192" fillId="0" borderId="8" xfId="149" applyNumberFormat="1" applyFont="1" applyBorder="1" applyAlignment="1">
      <alignment horizontal="center" vertical="center" wrapText="1"/>
    </xf>
    <xf numFmtId="0" fontId="192" fillId="0" borderId="8" xfId="149" applyFont="1" applyBorder="1" applyAlignment="1">
      <alignment horizontal="center" vertical="center" wrapText="1"/>
    </xf>
    <xf numFmtId="184" fontId="191" fillId="0" borderId="0" xfId="133" applyNumberFormat="1" applyFont="1" applyFill="1" applyBorder="1" applyAlignment="1">
      <alignment horizontal="right" vertical="center" wrapText="1"/>
    </xf>
    <xf numFmtId="193" fontId="192" fillId="0" borderId="8" xfId="149" applyNumberFormat="1" applyFont="1" applyBorder="1" applyAlignment="1">
      <alignment horizontal="right" vertical="center" wrapText="1"/>
    </xf>
    <xf numFmtId="194" fontId="103" fillId="0" borderId="0" xfId="149" applyNumberFormat="1" applyFont="1" applyAlignment="1">
      <alignment vertical="center"/>
    </xf>
    <xf numFmtId="9" fontId="192" fillId="0" borderId="8" xfId="149" applyNumberFormat="1" applyFont="1" applyBorder="1" applyAlignment="1">
      <alignment horizontal="center" vertical="center" wrapText="1"/>
    </xf>
    <xf numFmtId="9" fontId="191" fillId="0" borderId="8" xfId="149" applyNumberFormat="1" applyFont="1" applyBorder="1" applyAlignment="1">
      <alignment horizontal="center" vertical="center" wrapText="1"/>
    </xf>
    <xf numFmtId="3" fontId="195" fillId="0" borderId="0" xfId="149" applyNumberFormat="1" applyFont="1"/>
    <xf numFmtId="193" fontId="176" fillId="0" borderId="0" xfId="149" applyNumberFormat="1" applyFont="1"/>
    <xf numFmtId="0" fontId="116" fillId="0" borderId="36" xfId="152" applyFont="1" applyBorder="1" applyAlignment="1">
      <alignment horizontal="center" vertical="center"/>
    </xf>
    <xf numFmtId="193" fontId="192" fillId="0" borderId="8" xfId="149" applyNumberFormat="1" applyFont="1" applyBorder="1" applyAlignment="1">
      <alignment horizontal="center" vertical="center" wrapText="1"/>
    </xf>
    <xf numFmtId="190" fontId="191" fillId="0" borderId="8" xfId="149" applyNumberFormat="1" applyFont="1" applyBorder="1" applyAlignment="1">
      <alignment horizontal="center" vertical="center" wrapText="1"/>
    </xf>
    <xf numFmtId="168" fontId="199" fillId="0" borderId="0" xfId="150" applyNumberFormat="1" applyFont="1" applyFill="1"/>
    <xf numFmtId="168" fontId="176" fillId="0" borderId="0" xfId="149" applyNumberFormat="1" applyFont="1"/>
    <xf numFmtId="189" fontId="194" fillId="0" borderId="0" xfId="149" applyNumberFormat="1" applyFont="1" applyAlignment="1">
      <alignment horizontal="center" vertical="top" wrapText="1"/>
    </xf>
    <xf numFmtId="0" fontId="193" fillId="0" borderId="0" xfId="149" applyFont="1" applyAlignment="1">
      <alignment horizontal="center" vertical="center" wrapText="1"/>
    </xf>
    <xf numFmtId="0" fontId="193" fillId="0" borderId="0" xfId="149" applyFont="1" applyAlignment="1">
      <alignment horizontal="center" vertical="top" wrapText="1"/>
    </xf>
    <xf numFmtId="184" fontId="191" fillId="0" borderId="0" xfId="133" applyNumberFormat="1" applyFont="1" applyAlignment="1">
      <alignment horizontal="right" vertical="center" wrapText="1"/>
    </xf>
    <xf numFmtId="0" fontId="192" fillId="0" borderId="0" xfId="149" applyFont="1" applyAlignment="1">
      <alignment horizontal="center" vertical="top" wrapText="1"/>
    </xf>
    <xf numFmtId="0" fontId="116" fillId="0" borderId="0" xfId="153" applyFont="1" applyAlignment="1">
      <alignment horizontal="center"/>
    </xf>
    <xf numFmtId="0" fontId="116" fillId="0" borderId="0" xfId="153" applyFont="1"/>
    <xf numFmtId="0" fontId="115" fillId="0" borderId="0" xfId="152" applyFont="1" applyAlignment="1">
      <alignment horizontal="center"/>
    </xf>
    <xf numFmtId="0" fontId="115" fillId="0" borderId="0" xfId="152" applyFont="1"/>
    <xf numFmtId="0" fontId="116" fillId="0" borderId="0" xfId="152" applyFont="1"/>
    <xf numFmtId="3" fontId="116" fillId="0" borderId="0" xfId="152" applyNumberFormat="1" applyFont="1"/>
    <xf numFmtId="0" fontId="115" fillId="0" borderId="0" xfId="81" applyFont="1" applyAlignment="1">
      <alignment vertical="center" wrapText="1"/>
    </xf>
    <xf numFmtId="0" fontId="115" fillId="0" borderId="0" xfId="81" applyFont="1" applyAlignment="1">
      <alignment horizontal="center" vertical="center"/>
    </xf>
    <xf numFmtId="0" fontId="115" fillId="0" borderId="0" xfId="134" applyFont="1" applyAlignment="1">
      <alignment vertical="center" wrapText="1"/>
    </xf>
    <xf numFmtId="0" fontId="115" fillId="0" borderId="0" xfId="81" applyFont="1" applyAlignment="1">
      <alignment horizontal="center" vertical="center" wrapText="1"/>
    </xf>
    <xf numFmtId="184" fontId="115" fillId="0" borderId="0" xfId="133" applyNumberFormat="1" applyFont="1" applyAlignment="1">
      <alignment horizontal="center" vertical="center" wrapText="1"/>
    </xf>
    <xf numFmtId="184" fontId="115" fillId="0" borderId="0" xfId="133" applyNumberFormat="1" applyFont="1"/>
    <xf numFmtId="0" fontId="115" fillId="0" borderId="0" xfId="134" applyFont="1" applyAlignment="1">
      <alignment horizontal="center" vertical="center" wrapText="1"/>
    </xf>
    <xf numFmtId="0" fontId="176" fillId="30" borderId="0" xfId="149" applyFont="1" applyFill="1"/>
    <xf numFmtId="0" fontId="116" fillId="0" borderId="0" xfId="81" applyFont="1" applyAlignment="1">
      <alignment wrapText="1"/>
    </xf>
    <xf numFmtId="184" fontId="116" fillId="0" borderId="0" xfId="133" applyNumberFormat="1" applyFont="1"/>
    <xf numFmtId="0" fontId="156" fillId="0" borderId="0" xfId="81" applyFont="1" applyAlignment="1">
      <alignment horizontal="center" vertical="center" wrapText="1"/>
    </xf>
    <xf numFmtId="0" fontId="176" fillId="0" borderId="0" xfId="149" applyFont="1" applyAlignment="1">
      <alignment vertical="center"/>
    </xf>
    <xf numFmtId="0" fontId="176" fillId="0" borderId="0" xfId="149" applyFont="1" applyAlignment="1">
      <alignment wrapText="1"/>
    </xf>
    <xf numFmtId="0" fontId="176" fillId="0" borderId="0" xfId="149" applyFont="1" applyAlignment="1">
      <alignment horizontal="center" vertical="center"/>
    </xf>
    <xf numFmtId="184" fontId="176" fillId="0" borderId="0" xfId="133" applyNumberFormat="1" applyFont="1"/>
    <xf numFmtId="0" fontId="204" fillId="0" borderId="0" xfId="154" applyFont="1">
      <alignment vertical="top"/>
    </xf>
    <xf numFmtId="3" fontId="205" fillId="0" borderId="0" xfId="154" applyNumberFormat="1" applyFont="1" applyAlignment="1">
      <alignment horizontal="right" vertical="center"/>
    </xf>
    <xf numFmtId="0" fontId="176" fillId="0" borderId="0" xfId="154" applyFont="1" applyAlignment="1">
      <alignment vertical="center"/>
    </xf>
    <xf numFmtId="0" fontId="178" fillId="0" borderId="0" xfId="154" applyFont="1" applyAlignment="1">
      <alignment horizontal="center" vertical="center"/>
    </xf>
    <xf numFmtId="0" fontId="178" fillId="0" borderId="0" xfId="154" applyFont="1" applyAlignment="1">
      <alignment vertical="center"/>
    </xf>
    <xf numFmtId="0" fontId="205" fillId="0" borderId="0" xfId="154" applyFont="1" applyAlignment="1">
      <alignment horizontal="center" vertical="center"/>
    </xf>
    <xf numFmtId="3" fontId="205" fillId="41" borderId="8" xfId="154" applyNumberFormat="1" applyFont="1" applyFill="1" applyBorder="1" applyAlignment="1">
      <alignment horizontal="right" vertical="center"/>
    </xf>
    <xf numFmtId="0" fontId="178" fillId="0" borderId="8" xfId="154" applyFont="1" applyBorder="1" applyAlignment="1">
      <alignment vertical="center"/>
    </xf>
    <xf numFmtId="3" fontId="206" fillId="0" borderId="36" xfId="154" applyNumberFormat="1" applyFont="1" applyBorder="1" applyAlignment="1">
      <alignment vertical="center" wrapText="1"/>
    </xf>
    <xf numFmtId="37" fontId="207" fillId="0" borderId="36" xfId="154" applyNumberFormat="1" applyFont="1" applyBorder="1" applyAlignment="1">
      <alignment vertical="center" wrapText="1"/>
    </xf>
    <xf numFmtId="195" fontId="207" fillId="0" borderId="36" xfId="154" applyNumberFormat="1" applyFont="1" applyBorder="1" applyAlignment="1">
      <alignment horizontal="center" vertical="center" wrapText="1"/>
    </xf>
    <xf numFmtId="0" fontId="208" fillId="0" borderId="36" xfId="154" applyFont="1" applyBorder="1" applyAlignment="1">
      <alignment horizontal="center" vertical="center"/>
    </xf>
    <xf numFmtId="0" fontId="208" fillId="0" borderId="36" xfId="154" applyFont="1" applyBorder="1" applyAlignment="1">
      <alignment horizontal="center" vertical="center" wrapText="1"/>
    </xf>
    <xf numFmtId="0" fontId="116" fillId="0" borderId="36" xfId="154" applyFont="1" applyBorder="1" applyAlignment="1">
      <alignment vertical="center" wrapText="1"/>
    </xf>
    <xf numFmtId="0" fontId="206" fillId="44" borderId="36" xfId="155" applyFont="1" applyFill="1" applyBorder="1" applyAlignment="1">
      <alignment horizontal="center" vertical="center" wrapText="1"/>
    </xf>
    <xf numFmtId="3" fontId="207" fillId="0" borderId="36" xfId="154" applyNumberFormat="1" applyFont="1" applyBorder="1" applyAlignment="1">
      <alignment horizontal="center" vertical="center" wrapText="1"/>
    </xf>
    <xf numFmtId="37" fontId="207" fillId="0" borderId="44" xfId="154" applyNumberFormat="1" applyFont="1" applyBorder="1" applyAlignment="1">
      <alignment vertical="center" wrapText="1"/>
    </xf>
    <xf numFmtId="3" fontId="116" fillId="0" borderId="44" xfId="154" applyNumberFormat="1" applyFont="1" applyBorder="1" applyAlignment="1">
      <alignment horizontal="center" vertical="center" wrapText="1"/>
    </xf>
    <xf numFmtId="184" fontId="116" fillId="0" borderId="44" xfId="156" applyNumberFormat="1" applyFont="1" applyBorder="1" applyAlignment="1">
      <alignment horizontal="center" vertical="center" wrapText="1"/>
    </xf>
    <xf numFmtId="0" fontId="208" fillId="0" borderId="44" xfId="154" applyFont="1" applyBorder="1" applyAlignment="1">
      <alignment horizontal="center" vertical="center" wrapText="1"/>
    </xf>
    <xf numFmtId="0" fontId="208" fillId="0" borderId="44" xfId="154" applyFont="1" applyBorder="1" applyAlignment="1">
      <alignment horizontal="center" vertical="center"/>
    </xf>
    <xf numFmtId="0" fontId="116" fillId="0" borderId="44" xfId="154" applyFont="1" applyBorder="1" applyAlignment="1">
      <alignment vertical="center" wrapText="1"/>
    </xf>
    <xf numFmtId="0" fontId="206" fillId="0" borderId="44" xfId="157" applyFont="1" applyBorder="1" applyAlignment="1">
      <alignment horizontal="center" vertical="center"/>
    </xf>
    <xf numFmtId="3" fontId="207" fillId="0" borderId="44" xfId="154" applyNumberFormat="1" applyFont="1" applyBorder="1" applyAlignment="1">
      <alignment horizontal="center" vertical="center" wrapText="1"/>
    </xf>
    <xf numFmtId="0" fontId="206" fillId="0" borderId="36" xfId="157" applyFont="1" applyBorder="1" applyAlignment="1">
      <alignment horizontal="center" vertical="center" wrapText="1"/>
    </xf>
    <xf numFmtId="0" fontId="206" fillId="0" borderId="36" xfId="157" applyFont="1" applyBorder="1" applyAlignment="1">
      <alignment horizontal="center" vertical="center"/>
    </xf>
    <xf numFmtId="0" fontId="207" fillId="0" borderId="36" xfId="157" applyFont="1" applyBorder="1" applyAlignment="1">
      <alignment horizontal="left" vertical="center" wrapText="1"/>
    </xf>
    <xf numFmtId="3" fontId="206" fillId="43" borderId="36" xfId="154" applyNumberFormat="1" applyFont="1" applyFill="1" applyBorder="1" applyAlignment="1">
      <alignment horizontal="right" vertical="center" wrapText="1" readingOrder="1"/>
    </xf>
    <xf numFmtId="0" fontId="207" fillId="43" borderId="36" xfId="154" applyFont="1" applyFill="1" applyBorder="1" applyAlignment="1">
      <alignment horizontal="center" vertical="center" wrapText="1" readingOrder="1"/>
    </xf>
    <xf numFmtId="195" fontId="206" fillId="43" borderId="36" xfId="154" applyNumberFormat="1" applyFont="1" applyFill="1" applyBorder="1" applyAlignment="1">
      <alignment horizontal="center" vertical="center" wrapText="1"/>
    </xf>
    <xf numFmtId="0" fontId="206" fillId="43" borderId="36" xfId="154" applyFont="1" applyFill="1" applyBorder="1" applyAlignment="1">
      <alignment horizontal="center" vertical="center" wrapText="1"/>
    </xf>
    <xf numFmtId="0" fontId="206" fillId="43" borderId="36" xfId="154" applyFont="1" applyFill="1" applyBorder="1" applyAlignment="1">
      <alignment horizontal="center" vertical="center" wrapText="1" readingOrder="1"/>
    </xf>
    <xf numFmtId="0" fontId="116" fillId="0" borderId="36" xfId="154" applyFont="1" applyBorder="1" applyAlignment="1">
      <alignment horizontal="left" vertical="top" wrapText="1"/>
    </xf>
    <xf numFmtId="0" fontId="115" fillId="0" borderId="36" xfId="154" applyFont="1" applyBorder="1" applyAlignment="1">
      <alignment horizontal="left" vertical="top" wrapText="1"/>
    </xf>
    <xf numFmtId="168" fontId="206" fillId="43" borderId="36" xfId="158" applyNumberFormat="1" applyFont="1" applyFill="1" applyBorder="1" applyAlignment="1">
      <alignment vertical="center"/>
    </xf>
    <xf numFmtId="3" fontId="111" fillId="0" borderId="8" xfId="154" applyNumberFormat="1" applyFont="1" applyBorder="1" applyAlignment="1">
      <alignment horizontal="right" vertical="center" wrapText="1"/>
    </xf>
    <xf numFmtId="3" fontId="176" fillId="0" borderId="8" xfId="154" applyNumberFormat="1" applyFont="1" applyBorder="1" applyAlignment="1">
      <alignment horizontal="right" vertical="center" wrapText="1" readingOrder="1"/>
    </xf>
    <xf numFmtId="0" fontId="178" fillId="0" borderId="8" xfId="154" applyFont="1" applyBorder="1" applyAlignment="1">
      <alignment horizontal="center" vertical="center" wrapText="1" readingOrder="1"/>
    </xf>
    <xf numFmtId="0" fontId="178" fillId="0" borderId="8" xfId="154" applyFont="1" applyBorder="1" applyAlignment="1">
      <alignment horizontal="center" vertical="center"/>
    </xf>
    <xf numFmtId="0" fontId="176" fillId="0" borderId="8" xfId="154" applyFont="1" applyBorder="1" applyAlignment="1">
      <alignment horizontal="center" vertical="center" wrapText="1" readingOrder="1"/>
    </xf>
    <xf numFmtId="0" fontId="178" fillId="0" borderId="8" xfId="154" applyFont="1" applyBorder="1" applyAlignment="1">
      <alignment horizontal="center" vertical="center" wrapText="1"/>
    </xf>
    <xf numFmtId="0" fontId="208" fillId="0" borderId="8" xfId="154" applyFont="1" applyBorder="1" applyAlignment="1">
      <alignment horizontal="left" vertical="top" wrapText="1"/>
    </xf>
    <xf numFmtId="0" fontId="175" fillId="0" borderId="8" xfId="154" applyFont="1" applyBorder="1" applyAlignment="1">
      <alignment horizontal="center" vertical="center" wrapText="1"/>
    </xf>
    <xf numFmtId="3" fontId="176" fillId="0" borderId="8" xfId="154" applyNumberFormat="1" applyFont="1" applyBorder="1" applyAlignment="1">
      <alignment horizontal="center" vertical="center" wrapText="1"/>
    </xf>
    <xf numFmtId="0" fontId="208" fillId="0" borderId="36" xfId="154" applyFont="1" applyBorder="1" applyAlignment="1">
      <alignment horizontal="left" vertical="top" wrapText="1"/>
    </xf>
    <xf numFmtId="3" fontId="176" fillId="0" borderId="8" xfId="154" applyNumberFormat="1" applyFont="1" applyBorder="1" applyAlignment="1">
      <alignment horizontal="right" vertical="center" wrapText="1"/>
    </xf>
    <xf numFmtId="0" fontId="178" fillId="0" borderId="8" xfId="154" applyFont="1" applyBorder="1" applyAlignment="1">
      <alignment horizontal="left" vertical="center" wrapText="1"/>
    </xf>
    <xf numFmtId="168" fontId="176" fillId="0" borderId="8" xfId="158" applyNumberFormat="1" applyFont="1" applyFill="1" applyBorder="1" applyAlignment="1">
      <alignment vertical="center"/>
    </xf>
    <xf numFmtId="195" fontId="178" fillId="0" borderId="8" xfId="154" applyNumberFormat="1" applyFont="1" applyBorder="1" applyAlignment="1">
      <alignment horizontal="center" vertical="center" wrapText="1"/>
    </xf>
    <xf numFmtId="3" fontId="175" fillId="0" borderId="8" xfId="154" applyNumberFormat="1" applyFont="1" applyBorder="1" applyAlignment="1">
      <alignment horizontal="center" vertical="center"/>
    </xf>
    <xf numFmtId="186" fontId="111" fillId="0" borderId="8" xfId="154" applyNumberFormat="1" applyFont="1" applyBorder="1" applyAlignment="1">
      <alignment horizontal="center" vertical="center" wrapText="1"/>
    </xf>
    <xf numFmtId="196" fontId="111" fillId="0" borderId="8" xfId="154" applyNumberFormat="1" applyFont="1" applyBorder="1" applyAlignment="1">
      <alignment horizontal="center" vertical="center" wrapText="1"/>
    </xf>
    <xf numFmtId="0" fontId="114" fillId="0" borderId="8" xfId="154" applyFont="1" applyBorder="1" applyAlignment="1">
      <alignment vertical="top" wrapText="1"/>
    </xf>
    <xf numFmtId="196" fontId="114" fillId="0" borderId="8" xfId="154" applyNumberFormat="1" applyFont="1" applyBorder="1" applyAlignment="1">
      <alignment horizontal="center" vertical="center" wrapText="1"/>
    </xf>
    <xf numFmtId="0" fontId="114" fillId="31" borderId="8" xfId="154" applyFont="1" applyFill="1" applyBorder="1" applyAlignment="1">
      <alignment vertical="top" wrapText="1"/>
    </xf>
    <xf numFmtId="0" fontId="114" fillId="31" borderId="8" xfId="154" applyFont="1" applyFill="1" applyBorder="1" applyAlignment="1">
      <alignment horizontal="left" vertical="top" wrapText="1"/>
    </xf>
    <xf numFmtId="168" fontId="176" fillId="0" borderId="8" xfId="158" applyNumberFormat="1" applyFont="1" applyBorder="1" applyAlignment="1">
      <alignment vertical="center"/>
    </xf>
    <xf numFmtId="195" fontId="178" fillId="0" borderId="8" xfId="154" applyNumberFormat="1" applyFont="1" applyBorder="1" applyAlignment="1">
      <alignment horizontal="center" vertical="center"/>
    </xf>
    <xf numFmtId="0" fontId="178" fillId="0" borderId="8" xfId="154" applyFont="1" applyBorder="1" applyAlignment="1">
      <alignment vertical="center" wrapText="1"/>
    </xf>
    <xf numFmtId="0" fontId="205" fillId="0" borderId="8" xfId="154" applyFont="1" applyBorder="1" applyAlignment="1">
      <alignment horizontal="center" vertical="center"/>
    </xf>
    <xf numFmtId="168" fontId="175" fillId="45" borderId="8" xfId="158" applyNumberFormat="1" applyFont="1" applyFill="1" applyBorder="1" applyAlignment="1">
      <alignment vertical="center"/>
    </xf>
    <xf numFmtId="195" fontId="175" fillId="45" borderId="8" xfId="154" applyNumberFormat="1" applyFont="1" applyFill="1" applyBorder="1" applyAlignment="1">
      <alignment horizontal="center" vertical="center" wrapText="1"/>
    </xf>
    <xf numFmtId="0" fontId="175" fillId="45" borderId="8" xfId="154" applyFont="1" applyFill="1" applyBorder="1" applyAlignment="1">
      <alignment horizontal="center" vertical="center" wrapText="1"/>
    </xf>
    <xf numFmtId="0" fontId="176" fillId="45" borderId="8" xfId="154" applyFont="1" applyFill="1" applyBorder="1" applyAlignment="1">
      <alignment horizontal="center" vertical="center" wrapText="1" readingOrder="1"/>
    </xf>
    <xf numFmtId="0" fontId="175" fillId="45" borderId="8" xfId="154" applyFont="1" applyFill="1" applyBorder="1" applyAlignment="1">
      <alignment horizontal="center" vertical="center" wrapText="1" readingOrder="1"/>
    </xf>
    <xf numFmtId="3" fontId="111" fillId="0" borderId="8" xfId="154" applyNumberFormat="1" applyFont="1" applyBorder="1" applyAlignment="1">
      <alignment vertical="center" wrapText="1"/>
    </xf>
    <xf numFmtId="37" fontId="176" fillId="31" borderId="8" xfId="154" applyNumberFormat="1" applyFont="1" applyFill="1" applyBorder="1" applyAlignment="1">
      <alignment vertical="center" wrapText="1"/>
    </xf>
    <xf numFmtId="195" fontId="176" fillId="31" borderId="8" xfId="154" applyNumberFormat="1" applyFont="1" applyFill="1" applyBorder="1" applyAlignment="1">
      <alignment horizontal="center" vertical="center" wrapText="1"/>
    </xf>
    <xf numFmtId="0" fontId="178" fillId="31" borderId="8" xfId="154" applyFont="1" applyFill="1" applyBorder="1" applyAlignment="1">
      <alignment horizontal="center" vertical="center"/>
    </xf>
    <xf numFmtId="0" fontId="178" fillId="31" borderId="8" xfId="154" applyFont="1" applyFill="1" applyBorder="1" applyAlignment="1">
      <alignment horizontal="center" vertical="center" wrapText="1"/>
    </xf>
    <xf numFmtId="0" fontId="178" fillId="31" borderId="8" xfId="154" applyFont="1" applyFill="1" applyBorder="1" applyAlignment="1">
      <alignment horizontal="left" vertical="center" wrapText="1"/>
    </xf>
    <xf numFmtId="0" fontId="205" fillId="31" borderId="8" xfId="154" applyFont="1" applyFill="1" applyBorder="1" applyAlignment="1">
      <alignment horizontal="center" vertical="center" wrapText="1"/>
    </xf>
    <xf numFmtId="0" fontId="178" fillId="31" borderId="8" xfId="154" applyFont="1" applyFill="1" applyBorder="1" applyAlignment="1">
      <alignment horizontal="left" vertical="top" wrapText="1"/>
    </xf>
    <xf numFmtId="37" fontId="176" fillId="0" borderId="8" xfId="154" applyNumberFormat="1" applyFont="1" applyBorder="1" applyAlignment="1">
      <alignment vertical="center" wrapText="1"/>
    </xf>
    <xf numFmtId="195" fontId="176" fillId="0" borderId="8" xfId="154" applyNumberFormat="1" applyFont="1" applyBorder="1" applyAlignment="1">
      <alignment horizontal="center" vertical="center" wrapText="1"/>
    </xf>
    <xf numFmtId="0" fontId="178" fillId="0" borderId="8" xfId="154" applyFont="1" applyBorder="1" applyAlignment="1">
      <alignment horizontal="left" vertical="top" wrapText="1"/>
    </xf>
    <xf numFmtId="0" fontId="205" fillId="0" borderId="8" xfId="154" applyFont="1" applyBorder="1" applyAlignment="1">
      <alignment horizontal="center" vertical="center" wrapText="1"/>
    </xf>
    <xf numFmtId="168" fontId="175" fillId="43" borderId="8" xfId="158" applyNumberFormat="1" applyFont="1" applyFill="1" applyBorder="1" applyAlignment="1">
      <alignment vertical="center"/>
    </xf>
    <xf numFmtId="195" fontId="175" fillId="43" borderId="8" xfId="154" applyNumberFormat="1" applyFont="1" applyFill="1" applyBorder="1" applyAlignment="1">
      <alignment horizontal="center" vertical="center" wrapText="1"/>
    </xf>
    <xf numFmtId="0" fontId="175" fillId="43" borderId="8" xfId="154" applyFont="1" applyFill="1" applyBorder="1" applyAlignment="1">
      <alignment horizontal="center" vertical="center" wrapText="1"/>
    </xf>
    <xf numFmtId="0" fontId="176" fillId="43" borderId="8" xfId="154" applyFont="1" applyFill="1" applyBorder="1" applyAlignment="1">
      <alignment horizontal="center" vertical="center" wrapText="1" readingOrder="1"/>
    </xf>
    <xf numFmtId="0" fontId="175" fillId="43" borderId="8" xfId="154" applyFont="1" applyFill="1" applyBorder="1" applyAlignment="1">
      <alignment horizontal="center" vertical="center" wrapText="1" readingOrder="1"/>
    </xf>
    <xf numFmtId="0" fontId="111" fillId="31" borderId="8" xfId="154" applyFont="1" applyFill="1" applyBorder="1" applyAlignment="1">
      <alignment horizontal="center" vertical="center" wrapText="1" readingOrder="1"/>
    </xf>
    <xf numFmtId="0" fontId="208" fillId="0" borderId="8" xfId="154" applyFont="1" applyBorder="1" applyAlignment="1">
      <alignment vertical="top" wrapText="1"/>
    </xf>
    <xf numFmtId="0" fontId="111" fillId="31" borderId="8" xfId="154" applyFont="1" applyFill="1" applyBorder="1" applyAlignment="1">
      <alignment vertical="center" wrapText="1"/>
    </xf>
    <xf numFmtId="0" fontId="111" fillId="31" borderId="8" xfId="154" applyFont="1" applyFill="1" applyBorder="1" applyAlignment="1">
      <alignment vertical="top" wrapText="1"/>
    </xf>
    <xf numFmtId="0" fontId="213" fillId="0" borderId="8" xfId="154" applyFont="1" applyBorder="1" applyAlignment="1">
      <alignment vertical="center" wrapText="1"/>
    </xf>
    <xf numFmtId="0" fontId="114" fillId="31" borderId="8" xfId="154" applyFont="1" applyFill="1" applyBorder="1" applyAlignment="1">
      <alignment vertical="center" wrapText="1"/>
    </xf>
    <xf numFmtId="168" fontId="111" fillId="31" borderId="8" xfId="158" applyNumberFormat="1" applyFont="1" applyFill="1" applyBorder="1" applyAlignment="1">
      <alignment vertical="center"/>
    </xf>
    <xf numFmtId="195" fontId="111" fillId="31" borderId="8" xfId="154" applyNumberFormat="1" applyFont="1" applyFill="1" applyBorder="1" applyAlignment="1">
      <alignment horizontal="center" vertical="center" wrapText="1"/>
    </xf>
    <xf numFmtId="0" fontId="111" fillId="31" borderId="8" xfId="154" applyFont="1" applyFill="1" applyBorder="1" applyAlignment="1">
      <alignment horizontal="center" vertical="center" wrapText="1"/>
    </xf>
    <xf numFmtId="3" fontId="114" fillId="31" borderId="8" xfId="154" applyNumberFormat="1" applyFont="1" applyFill="1" applyBorder="1" applyAlignment="1">
      <alignment horizontal="left" vertical="top" wrapText="1"/>
    </xf>
    <xf numFmtId="3" fontId="114" fillId="31" borderId="8" xfId="154" applyNumberFormat="1" applyFont="1" applyFill="1" applyBorder="1" applyAlignment="1">
      <alignment horizontal="center" vertical="center"/>
    </xf>
    <xf numFmtId="168" fontId="176" fillId="0" borderId="8" xfId="158" applyNumberFormat="1" applyFont="1" applyFill="1" applyBorder="1" applyAlignment="1">
      <alignment horizontal="right" vertical="center"/>
    </xf>
    <xf numFmtId="196" fontId="175" fillId="0" borderId="8" xfId="158" applyNumberFormat="1" applyFont="1" applyFill="1" applyBorder="1" applyAlignment="1">
      <alignment horizontal="center" vertical="center" wrapText="1"/>
    </xf>
    <xf numFmtId="0" fontId="102" fillId="0" borderId="0" xfId="154" applyFont="1">
      <alignment vertical="top"/>
    </xf>
    <xf numFmtId="37" fontId="111" fillId="0" borderId="8" xfId="154" applyNumberFormat="1" applyFont="1" applyBorder="1" applyAlignment="1">
      <alignment vertical="center" wrapText="1"/>
    </xf>
    <xf numFmtId="195" fontId="111" fillId="0" borderId="8" xfId="154" applyNumberFormat="1" applyFont="1" applyBorder="1" applyAlignment="1">
      <alignment horizontal="center" vertical="center" wrapText="1"/>
    </xf>
    <xf numFmtId="0" fontId="111" fillId="0" borderId="8" xfId="154" applyFont="1" applyBorder="1" applyAlignment="1">
      <alignment horizontal="center" vertical="center"/>
    </xf>
    <xf numFmtId="0" fontId="111" fillId="0" borderId="8" xfId="154" applyFont="1" applyBorder="1" applyAlignment="1">
      <alignment horizontal="center" vertical="center" wrapText="1"/>
    </xf>
    <xf numFmtId="0" fontId="111" fillId="0" borderId="8" xfId="154" applyFont="1" applyBorder="1" applyAlignment="1">
      <alignment vertical="top" wrapText="1"/>
    </xf>
    <xf numFmtId="0" fontId="114" fillId="0" borderId="8" xfId="154" applyFont="1" applyBorder="1" applyAlignment="1">
      <alignment horizontal="center" vertical="center"/>
    </xf>
    <xf numFmtId="0" fontId="178" fillId="0" borderId="8" xfId="154" applyFont="1" applyBorder="1" applyAlignment="1">
      <alignment vertical="top" wrapText="1"/>
    </xf>
    <xf numFmtId="168" fontId="175" fillId="30" borderId="8" xfId="158" applyNumberFormat="1" applyFont="1" applyFill="1" applyBorder="1" applyAlignment="1">
      <alignment vertical="center"/>
    </xf>
    <xf numFmtId="195" fontId="175" fillId="30" borderId="8" xfId="154" applyNumberFormat="1" applyFont="1" applyFill="1" applyBorder="1" applyAlignment="1">
      <alignment horizontal="center" vertical="center" wrapText="1"/>
    </xf>
    <xf numFmtId="0" fontId="175" fillId="30" borderId="8" xfId="154" applyFont="1" applyFill="1" applyBorder="1" applyAlignment="1">
      <alignment horizontal="center" vertical="center" wrapText="1"/>
    </xf>
    <xf numFmtId="0" fontId="176" fillId="30" borderId="8" xfId="154" applyFont="1" applyFill="1" applyBorder="1" applyAlignment="1">
      <alignment horizontal="center" vertical="center" wrapText="1" readingOrder="1"/>
    </xf>
    <xf numFmtId="0" fontId="175" fillId="30" borderId="8" xfId="154" applyFont="1" applyFill="1" applyBorder="1" applyAlignment="1">
      <alignment horizontal="center" vertical="center" wrapText="1" readingOrder="1"/>
    </xf>
    <xf numFmtId="168" fontId="111" fillId="31" borderId="8" xfId="158" applyNumberFormat="1" applyFont="1" applyFill="1" applyBorder="1" applyAlignment="1">
      <alignment horizontal="left" vertical="center" wrapText="1"/>
    </xf>
    <xf numFmtId="168" fontId="191" fillId="31" borderId="8" xfId="158" applyNumberFormat="1" applyFont="1" applyFill="1" applyBorder="1" applyAlignment="1" applyProtection="1">
      <alignment horizontal="center" vertical="center"/>
      <protection locked="0"/>
    </xf>
    <xf numFmtId="0" fontId="191" fillId="31" borderId="8" xfId="154" applyFont="1" applyFill="1" applyBorder="1" applyAlignment="1" applyProtection="1">
      <alignment horizontal="center" vertical="center" wrapText="1"/>
      <protection locked="0"/>
    </xf>
    <xf numFmtId="0" fontId="191" fillId="0" borderId="8" xfId="154" applyFont="1" applyBorder="1" applyAlignment="1" applyProtection="1">
      <alignment horizontal="center" vertical="center" wrapText="1"/>
      <protection locked="0"/>
    </xf>
    <xf numFmtId="0" fontId="176" fillId="31" borderId="8" xfId="154" applyFont="1" applyFill="1" applyBorder="1" applyAlignment="1">
      <alignment horizontal="left" vertical="center" wrapText="1"/>
    </xf>
    <xf numFmtId="0" fontId="175" fillId="31" borderId="8" xfId="154" applyFont="1" applyFill="1" applyBorder="1" applyAlignment="1">
      <alignment horizontal="center" vertical="center" wrapText="1"/>
    </xf>
    <xf numFmtId="168" fontId="111" fillId="0" borderId="8" xfId="158" applyNumberFormat="1" applyFont="1" applyFill="1" applyBorder="1" applyAlignment="1">
      <alignment horizontal="left" vertical="center" wrapText="1"/>
    </xf>
    <xf numFmtId="168" fontId="191" fillId="0" borderId="8" xfId="158" applyNumberFormat="1" applyFont="1" applyBorder="1" applyAlignment="1" applyProtection="1">
      <alignment horizontal="center" vertical="center"/>
      <protection locked="0"/>
    </xf>
    <xf numFmtId="0" fontId="176" fillId="0" borderId="8" xfId="154" applyFont="1" applyBorder="1" applyAlignment="1">
      <alignment horizontal="left" vertical="center" wrapText="1"/>
    </xf>
    <xf numFmtId="3" fontId="175" fillId="45" borderId="8" xfId="154" applyNumberFormat="1" applyFont="1" applyFill="1" applyBorder="1" applyAlignment="1">
      <alignment vertical="center" wrapText="1"/>
    </xf>
    <xf numFmtId="0" fontId="114" fillId="0" borderId="27" xfId="154" applyFont="1" applyBorder="1" applyAlignment="1">
      <alignment horizontal="center" vertical="center" wrapText="1"/>
    </xf>
    <xf numFmtId="0" fontId="175" fillId="0" borderId="27" xfId="154" applyFont="1" applyBorder="1" applyAlignment="1">
      <alignment horizontal="center" vertical="center" wrapText="1"/>
    </xf>
    <xf numFmtId="0" fontId="205" fillId="0" borderId="27" xfId="154" applyFont="1" applyBorder="1" applyAlignment="1">
      <alignment horizontal="center" vertical="center" wrapText="1" readingOrder="1"/>
    </xf>
    <xf numFmtId="3" fontId="114" fillId="0" borderId="0" xfId="154" applyNumberFormat="1" applyFont="1" applyAlignment="1">
      <alignment horizontal="center" vertical="center" wrapText="1" readingOrder="1"/>
    </xf>
    <xf numFmtId="0" fontId="175" fillId="0" borderId="0" xfId="154" applyFont="1" applyAlignment="1">
      <alignment horizontal="center" vertical="center" wrapText="1" readingOrder="1"/>
    </xf>
    <xf numFmtId="0" fontId="114" fillId="0" borderId="0" xfId="154" applyFont="1" applyAlignment="1">
      <alignment horizontal="center" vertical="center" wrapText="1" readingOrder="1"/>
    </xf>
    <xf numFmtId="0" fontId="114" fillId="0" borderId="0" xfId="154" applyFont="1" applyAlignment="1">
      <alignment vertical="center" wrapText="1" readingOrder="1"/>
    </xf>
    <xf numFmtId="0" fontId="114" fillId="0" borderId="0" xfId="154" applyFont="1" applyAlignment="1">
      <alignment horizontal="left" vertical="center" readingOrder="1"/>
    </xf>
    <xf numFmtId="3" fontId="215" fillId="0" borderId="0" xfId="154" applyNumberFormat="1" applyFont="1" applyAlignment="1">
      <alignment horizontal="left" vertical="center" wrapText="1" readingOrder="1"/>
    </xf>
    <xf numFmtId="0" fontId="216" fillId="0" borderId="0" xfId="154" applyFont="1" applyAlignment="1">
      <alignment horizontal="right" vertical="center" wrapText="1" readingOrder="1"/>
    </xf>
    <xf numFmtId="0" fontId="115" fillId="0" borderId="0" xfId="159" applyFont="1" applyAlignment="1">
      <alignment horizontal="center"/>
    </xf>
    <xf numFmtId="197" fontId="116" fillId="0" borderId="0" xfId="91" applyNumberFormat="1" applyFont="1" applyAlignment="1">
      <alignment wrapText="1"/>
    </xf>
    <xf numFmtId="0" fontId="115" fillId="0" borderId="0" xfId="159" applyFont="1" applyAlignment="1">
      <alignment horizontal="center" wrapText="1"/>
    </xf>
    <xf numFmtId="197" fontId="117" fillId="0" borderId="0" xfId="91" applyNumberFormat="1" applyFont="1" applyAlignment="1">
      <alignment wrapText="1"/>
    </xf>
    <xf numFmtId="197" fontId="117" fillId="0" borderId="0" xfId="91" applyNumberFormat="1" applyFont="1" applyAlignment="1">
      <alignment horizontal="left" wrapText="1"/>
    </xf>
    <xf numFmtId="197" fontId="117" fillId="0" borderId="0" xfId="91" applyNumberFormat="1" applyFont="1" applyAlignment="1">
      <alignment horizontal="center" wrapText="1"/>
    </xf>
    <xf numFmtId="0" fontId="116" fillId="0" borderId="0" xfId="65" applyFont="1" applyAlignment="1">
      <alignment horizontal="center" vertical="center" wrapText="1"/>
    </xf>
    <xf numFmtId="0" fontId="116" fillId="0" borderId="0" xfId="65" applyFont="1" applyAlignment="1">
      <alignment vertical="center" wrapText="1"/>
    </xf>
    <xf numFmtId="0" fontId="115" fillId="0" borderId="8" xfId="160" applyFont="1" applyBorder="1" applyAlignment="1">
      <alignment horizontal="center" vertical="center" wrapText="1"/>
    </xf>
    <xf numFmtId="0" fontId="115" fillId="0" borderId="8" xfId="65" applyFont="1" applyBorder="1" applyAlignment="1">
      <alignment horizontal="center" vertical="center" wrapText="1"/>
    </xf>
    <xf numFmtId="0" fontId="115" fillId="0" borderId="0" xfId="65" applyFont="1" applyAlignment="1">
      <alignment horizontal="center" vertical="center" wrapText="1"/>
    </xf>
    <xf numFmtId="0" fontId="156" fillId="0" borderId="0" xfId="65" applyFont="1" applyAlignment="1">
      <alignment horizontal="center" vertical="center" wrapText="1"/>
    </xf>
    <xf numFmtId="0" fontId="115" fillId="0" borderId="8" xfId="160" applyFont="1" applyBorder="1" applyAlignment="1">
      <alignment vertical="center" wrapText="1"/>
    </xf>
    <xf numFmtId="0" fontId="115" fillId="0" borderId="8" xfId="160" applyFont="1" applyBorder="1" applyAlignment="1">
      <alignment horizontal="left" vertical="center" wrapText="1"/>
    </xf>
    <xf numFmtId="3" fontId="115" fillId="0" borderId="8" xfId="160" applyNumberFormat="1" applyFont="1" applyBorder="1" applyAlignment="1">
      <alignment vertical="center" wrapText="1"/>
    </xf>
    <xf numFmtId="0" fontId="115" fillId="0" borderId="0" xfId="160" applyFont="1" applyAlignment="1">
      <alignment horizontal="center" vertical="center" wrapText="1"/>
    </xf>
    <xf numFmtId="168" fontId="53" fillId="0" borderId="0" xfId="162" applyNumberFormat="1" applyFont="1" applyFill="1" applyBorder="1" applyAlignment="1">
      <alignment horizontal="center" vertical="center" wrapText="1"/>
    </xf>
    <xf numFmtId="0" fontId="53" fillId="0" borderId="8" xfId="160" applyFont="1" applyBorder="1" applyAlignment="1">
      <alignment horizontal="center" vertical="center" wrapText="1"/>
    </xf>
    <xf numFmtId="0" fontId="53" fillId="0" borderId="8" xfId="161" applyFont="1" applyBorder="1" applyAlignment="1">
      <alignment horizontal="left" vertical="center" wrapText="1"/>
    </xf>
    <xf numFmtId="168" fontId="53" fillId="0" borderId="8" xfId="162" applyNumberFormat="1" applyFont="1" applyFill="1" applyBorder="1" applyAlignment="1">
      <alignment horizontal="center" vertical="center" wrapText="1"/>
    </xf>
    <xf numFmtId="168" fontId="116" fillId="0" borderId="0" xfId="65" applyNumberFormat="1" applyFont="1" applyAlignment="1">
      <alignment vertical="center" wrapText="1"/>
    </xf>
    <xf numFmtId="0" fontId="115" fillId="0" borderId="8" xfId="161" applyFont="1" applyBorder="1" applyAlignment="1">
      <alignment horizontal="left" vertical="center" wrapText="1"/>
    </xf>
    <xf numFmtId="168" fontId="115" fillId="0" borderId="8" xfId="162" applyNumberFormat="1" applyFont="1" applyFill="1" applyBorder="1" applyAlignment="1">
      <alignment horizontal="center" vertical="center" wrapText="1"/>
    </xf>
    <xf numFmtId="168" fontId="115" fillId="0" borderId="0" xfId="162" applyNumberFormat="1" applyFont="1" applyFill="1" applyBorder="1" applyAlignment="1">
      <alignment horizontal="center" vertical="center" wrapText="1"/>
    </xf>
    <xf numFmtId="0" fontId="115" fillId="0" borderId="0" xfId="65" applyFont="1" applyAlignment="1">
      <alignment vertical="center" wrapText="1"/>
    </xf>
    <xf numFmtId="168" fontId="53" fillId="30" borderId="0" xfId="162" applyNumberFormat="1" applyFont="1" applyFill="1" applyBorder="1" applyAlignment="1">
      <alignment horizontal="center" vertical="center" wrapText="1"/>
    </xf>
    <xf numFmtId="0" fontId="116" fillId="30" borderId="0" xfId="65" applyFont="1" applyFill="1" applyAlignment="1">
      <alignment vertical="center" wrapText="1"/>
    </xf>
    <xf numFmtId="3" fontId="116" fillId="0" borderId="44" xfId="122" quotePrefix="1" applyNumberFormat="1" applyFont="1" applyBorder="1" applyAlignment="1">
      <alignment vertical="center" wrapText="1"/>
    </xf>
    <xf numFmtId="49" fontId="111" fillId="0" borderId="8" xfId="163" applyNumberFormat="1" applyFont="1" applyBorder="1" applyAlignment="1">
      <alignment horizontal="left" vertical="center" wrapText="1"/>
    </xf>
    <xf numFmtId="0" fontId="116" fillId="0" borderId="44" xfId="78" applyFont="1" applyBorder="1" applyAlignment="1">
      <alignment horizontal="left" vertical="center" wrapText="1"/>
    </xf>
    <xf numFmtId="49" fontId="217" fillId="31" borderId="8" xfId="163" applyNumberFormat="1" applyFont="1" applyFill="1" applyBorder="1" applyAlignment="1">
      <alignment horizontal="left" vertical="center" wrapText="1"/>
    </xf>
    <xf numFmtId="0" fontId="116" fillId="0" borderId="8" xfId="160" applyFont="1" applyBorder="1" applyAlignment="1">
      <alignment vertical="center" wrapText="1"/>
    </xf>
    <xf numFmtId="168" fontId="115" fillId="0" borderId="8" xfId="160" applyNumberFormat="1" applyFont="1" applyBorder="1" applyAlignment="1">
      <alignment vertical="center" wrapText="1"/>
    </xf>
    <xf numFmtId="0" fontId="116" fillId="0" borderId="0" xfId="160" applyFont="1" applyAlignment="1">
      <alignment horizontal="center" vertical="center" wrapText="1"/>
    </xf>
    <xf numFmtId="198" fontId="116" fillId="0" borderId="0" xfId="65" applyNumberFormat="1" applyFont="1" applyAlignment="1">
      <alignment vertical="center" wrapText="1"/>
    </xf>
    <xf numFmtId="0" fontId="116" fillId="0" borderId="0" xfId="160" applyFont="1" applyAlignment="1">
      <alignment horizontal="left" vertical="center" wrapText="1"/>
    </xf>
    <xf numFmtId="0" fontId="116" fillId="0" borderId="0" xfId="65" applyFont="1" applyAlignment="1">
      <alignment horizontal="left" vertical="center" wrapText="1"/>
    </xf>
    <xf numFmtId="3" fontId="116" fillId="0" borderId="0" xfId="162" applyNumberFormat="1" applyFont="1" applyFill="1" applyAlignment="1">
      <alignment horizontal="center" vertical="center" wrapText="1"/>
    </xf>
    <xf numFmtId="168" fontId="53" fillId="0" borderId="0" xfId="162" quotePrefix="1" applyNumberFormat="1" applyFont="1" applyFill="1" applyBorder="1" applyAlignment="1">
      <alignment horizontal="center" vertical="center" wrapText="1"/>
    </xf>
    <xf numFmtId="0" fontId="53" fillId="0" borderId="8" xfId="161" quotePrefix="1" applyFont="1" applyBorder="1" applyAlignment="1">
      <alignment horizontal="left" vertical="center" wrapText="1"/>
    </xf>
    <xf numFmtId="0" fontId="115" fillId="31" borderId="8" xfId="160" applyFont="1" applyFill="1" applyBorder="1" applyAlignment="1">
      <alignment horizontal="center" vertical="center" wrapText="1"/>
    </xf>
    <xf numFmtId="0" fontId="115" fillId="31" borderId="8" xfId="161" applyFont="1" applyFill="1" applyBorder="1" applyAlignment="1">
      <alignment horizontal="left" vertical="center" wrapText="1"/>
    </xf>
    <xf numFmtId="168" fontId="115" fillId="31" borderId="8" xfId="162" applyNumberFormat="1" applyFont="1" applyFill="1" applyBorder="1" applyAlignment="1">
      <alignment horizontal="center" vertical="center" wrapText="1"/>
    </xf>
    <xf numFmtId="0" fontId="53" fillId="31" borderId="8" xfId="160" applyFont="1" applyFill="1" applyBorder="1" applyAlignment="1">
      <alignment horizontal="center" vertical="center" wrapText="1"/>
    </xf>
    <xf numFmtId="0" fontId="53" fillId="31" borderId="8" xfId="161" applyFont="1" applyFill="1" applyBorder="1" applyAlignment="1">
      <alignment horizontal="left" vertical="center" wrapText="1"/>
    </xf>
    <xf numFmtId="168" fontId="53" fillId="31" borderId="8" xfId="162" applyNumberFormat="1" applyFont="1" applyFill="1" applyBorder="1" applyAlignment="1">
      <alignment horizontal="center" vertical="center" wrapText="1"/>
    </xf>
    <xf numFmtId="189" fontId="191" fillId="30" borderId="8" xfId="149" applyNumberFormat="1" applyFont="1" applyFill="1" applyBorder="1" applyAlignment="1">
      <alignment horizontal="center" vertical="center" wrapText="1"/>
    </xf>
    <xf numFmtId="0" fontId="191" fillId="30" borderId="8" xfId="149" applyFont="1" applyFill="1" applyBorder="1" applyAlignment="1">
      <alignment horizontal="left" vertical="center" wrapText="1"/>
    </xf>
    <xf numFmtId="0" fontId="191" fillId="30" borderId="8" xfId="149" applyFont="1" applyFill="1" applyBorder="1" applyAlignment="1">
      <alignment horizontal="center" vertical="top" wrapText="1"/>
    </xf>
    <xf numFmtId="0" fontId="191" fillId="30" borderId="8" xfId="149" applyFont="1" applyFill="1" applyBorder="1" applyAlignment="1">
      <alignment horizontal="center" vertical="center" wrapText="1"/>
    </xf>
    <xf numFmtId="191" fontId="192" fillId="30" borderId="8" xfId="149" applyNumberFormat="1" applyFont="1" applyFill="1" applyBorder="1" applyAlignment="1">
      <alignment horizontal="center" vertical="center" wrapText="1"/>
    </xf>
    <xf numFmtId="0" fontId="191" fillId="30" borderId="8" xfId="149" applyFont="1" applyFill="1" applyBorder="1" applyAlignment="1">
      <alignment horizontal="right" vertical="center" wrapText="1"/>
    </xf>
    <xf numFmtId="184" fontId="191" fillId="30" borderId="8" xfId="133" applyNumberFormat="1" applyFont="1" applyFill="1" applyBorder="1" applyAlignment="1">
      <alignment horizontal="right" vertical="center" wrapText="1"/>
    </xf>
    <xf numFmtId="3" fontId="191" fillId="30" borderId="8" xfId="149" applyNumberFormat="1" applyFont="1" applyFill="1" applyBorder="1" applyAlignment="1">
      <alignment horizontal="right" vertical="center" wrapText="1"/>
    </xf>
    <xf numFmtId="184" fontId="191" fillId="30" borderId="0" xfId="133" applyNumberFormat="1" applyFont="1" applyFill="1" applyBorder="1" applyAlignment="1">
      <alignment horizontal="right" vertical="center" wrapText="1"/>
    </xf>
    <xf numFmtId="192" fontId="103" fillId="30" borderId="0" xfId="149" applyNumberFormat="1" applyFont="1" applyFill="1" applyAlignment="1">
      <alignment vertical="center"/>
    </xf>
    <xf numFmtId="0" fontId="8" fillId="0" borderId="15" xfId="0" applyFont="1" applyBorder="1" applyAlignment="1">
      <alignment wrapText="1"/>
    </xf>
    <xf numFmtId="0" fontId="8" fillId="0" borderId="17" xfId="0" applyFont="1" applyBorder="1" applyAlignment="1">
      <alignment wrapText="1"/>
    </xf>
    <xf numFmtId="0" fontId="8" fillId="0" borderId="15" xfId="0" applyFont="1" applyBorder="1" applyAlignment="1">
      <alignment horizontal="center" wrapText="1"/>
    </xf>
    <xf numFmtId="0" fontId="8" fillId="0" borderId="17" xfId="0" applyFont="1" applyBorder="1" applyAlignment="1">
      <alignment horizontal="center" wrapText="1"/>
    </xf>
    <xf numFmtId="0" fontId="8" fillId="24" borderId="8" xfId="0" applyFont="1" applyFill="1" applyBorder="1" applyAlignment="1">
      <alignment horizontal="center" wrapText="1"/>
    </xf>
    <xf numFmtId="0" fontId="8" fillId="24" borderId="8" xfId="0" applyFont="1" applyFill="1" applyBorder="1" applyAlignment="1">
      <alignment horizontal="center"/>
    </xf>
    <xf numFmtId="0" fontId="8" fillId="27" borderId="8" xfId="0" applyFont="1" applyFill="1" applyBorder="1" applyAlignment="1">
      <alignment horizontal="center" wrapText="1"/>
    </xf>
    <xf numFmtId="0" fontId="8" fillId="30" borderId="8" xfId="0" applyFont="1" applyFill="1" applyBorder="1" applyAlignment="1">
      <alignment horizontal="center" wrapText="1"/>
    </xf>
    <xf numFmtId="0" fontId="8" fillId="30" borderId="8" xfId="0" applyFont="1" applyFill="1" applyBorder="1" applyAlignment="1">
      <alignment horizontal="center"/>
    </xf>
    <xf numFmtId="0" fontId="8" fillId="30" borderId="0" xfId="0" applyFont="1" applyFill="1"/>
    <xf numFmtId="0" fontId="8" fillId="24" borderId="21" xfId="0" applyFont="1" applyFill="1" applyBorder="1" applyAlignment="1">
      <alignment horizontal="center" wrapText="1"/>
    </xf>
    <xf numFmtId="0" fontId="8" fillId="26" borderId="8" xfId="0" applyFont="1" applyFill="1" applyBorder="1" applyAlignment="1">
      <alignment horizontal="center" wrapText="1"/>
    </xf>
    <xf numFmtId="0" fontId="8" fillId="26" borderId="8" xfId="0" applyFont="1" applyFill="1" applyBorder="1" applyAlignment="1">
      <alignment horizontal="center"/>
    </xf>
    <xf numFmtId="0" fontId="8" fillId="0" borderId="16" xfId="0" applyFont="1" applyBorder="1" applyAlignment="1">
      <alignment horizontal="center" wrapText="1"/>
    </xf>
    <xf numFmtId="0" fontId="8" fillId="0" borderId="0" xfId="0" applyFont="1" applyAlignment="1">
      <alignment horizontal="center" wrapText="1"/>
    </xf>
    <xf numFmtId="0" fontId="8" fillId="29" borderId="8" xfId="0" applyFont="1" applyFill="1" applyBorder="1" applyAlignment="1">
      <alignment horizontal="center" wrapText="1"/>
    </xf>
    <xf numFmtId="168" fontId="8" fillId="29" borderId="0" xfId="31" applyNumberFormat="1" applyFont="1" applyFill="1" applyBorder="1"/>
    <xf numFmtId="0" fontId="8" fillId="29" borderId="8" xfId="0" applyFont="1" applyFill="1" applyBorder="1" applyAlignment="1">
      <alignment horizontal="center"/>
    </xf>
    <xf numFmtId="0" fontId="8" fillId="29" borderId="0" xfId="0" applyFont="1" applyFill="1" applyAlignment="1">
      <alignment horizontal="center" wrapText="1"/>
    </xf>
    <xf numFmtId="0" fontId="68" fillId="0" borderId="27" xfId="0" applyFont="1" applyBorder="1" applyAlignment="1">
      <alignment horizontal="center" vertical="center"/>
    </xf>
    <xf numFmtId="0" fontId="68" fillId="0" borderId="43" xfId="0" applyFont="1" applyBorder="1" applyAlignment="1">
      <alignment horizontal="center" vertical="center"/>
    </xf>
    <xf numFmtId="0" fontId="121" fillId="0" borderId="0" xfId="82" quotePrefix="1" applyFont="1" applyAlignment="1">
      <alignment horizontal="left" vertical="center" wrapText="1"/>
    </xf>
    <xf numFmtId="0" fontId="121" fillId="0" borderId="31" xfId="82" quotePrefix="1" applyFont="1" applyBorder="1" applyAlignment="1">
      <alignment horizontal="left" vertical="center" wrapText="1"/>
    </xf>
    <xf numFmtId="0" fontId="115" fillId="0" borderId="0" xfId="81" applyFont="1" applyAlignment="1">
      <alignment horizontal="center"/>
    </xf>
    <xf numFmtId="0" fontId="115" fillId="0" borderId="0" xfId="81" applyFont="1" applyAlignment="1">
      <alignment horizontal="center" vertical="center" wrapText="1"/>
    </xf>
    <xf numFmtId="0" fontId="115" fillId="0" borderId="0" xfId="81" applyFont="1" applyAlignment="1">
      <alignment horizontal="center" vertical="center"/>
    </xf>
    <xf numFmtId="0" fontId="192" fillId="0" borderId="0" xfId="149" applyFont="1" applyAlignment="1">
      <alignment horizontal="center" vertical="top" wrapText="1"/>
    </xf>
    <xf numFmtId="0" fontId="189" fillId="0" borderId="0" xfId="149" applyFont="1" applyAlignment="1">
      <alignment horizontal="center" vertical="top" wrapText="1"/>
    </xf>
    <xf numFmtId="0" fontId="190" fillId="0" borderId="0" xfId="149" applyFont="1" applyAlignment="1">
      <alignment horizontal="center" vertical="top" wrapText="1"/>
    </xf>
    <xf numFmtId="189" fontId="194" fillId="0" borderId="8" xfId="149" applyNumberFormat="1" applyFont="1" applyBorder="1" applyAlignment="1">
      <alignment horizontal="center" vertical="top" wrapText="1"/>
    </xf>
    <xf numFmtId="0" fontId="193" fillId="0" borderId="0" xfId="149" applyFont="1" applyAlignment="1">
      <alignment horizontal="center" vertical="top" wrapText="1"/>
    </xf>
    <xf numFmtId="0" fontId="191" fillId="0" borderId="0" xfId="149" applyFont="1" applyAlignment="1">
      <alignment horizontal="center" vertical="center" wrapText="1"/>
    </xf>
    <xf numFmtId="0" fontId="116" fillId="0" borderId="0" xfId="153" applyFont="1" applyAlignment="1">
      <alignment horizontal="center"/>
    </xf>
    <xf numFmtId="0" fontId="115" fillId="0" borderId="0" xfId="152" applyFont="1" applyAlignment="1">
      <alignment horizontal="center"/>
    </xf>
    <xf numFmtId="0" fontId="156" fillId="0" borderId="0" xfId="81" applyFont="1" applyAlignment="1">
      <alignment horizontal="center" vertical="center" wrapText="1"/>
    </xf>
    <xf numFmtId="0" fontId="95" fillId="0" borderId="0" xfId="81" applyFont="1" applyAlignment="1">
      <alignment horizontal="center" vertical="center" wrapText="1"/>
    </xf>
    <xf numFmtId="0" fontId="66" fillId="0" borderId="0" xfId="82" applyFont="1" applyAlignment="1">
      <alignment horizontal="center" wrapText="1"/>
    </xf>
    <xf numFmtId="0" fontId="66" fillId="0" borderId="0" xfId="82" applyFont="1" applyAlignment="1">
      <alignment horizontal="center"/>
    </xf>
    <xf numFmtId="0" fontId="115" fillId="0" borderId="0" xfId="159" applyFont="1" applyAlignment="1">
      <alignment horizontal="center"/>
    </xf>
    <xf numFmtId="0" fontId="115" fillId="0" borderId="0" xfId="159" applyFont="1" applyAlignment="1">
      <alignment horizontal="center" wrapText="1"/>
    </xf>
    <xf numFmtId="0" fontId="116" fillId="0" borderId="0" xfId="65" applyFont="1" applyAlignment="1">
      <alignment horizontal="left" vertical="center" wrapText="1"/>
    </xf>
    <xf numFmtId="0" fontId="53" fillId="31" borderId="27" xfId="160" applyFont="1" applyFill="1" applyBorder="1" applyAlignment="1">
      <alignment horizontal="center" vertical="center" wrapText="1"/>
    </xf>
    <xf numFmtId="0" fontId="53" fillId="31" borderId="43" xfId="160" applyFont="1" applyFill="1" applyBorder="1" applyAlignment="1">
      <alignment horizontal="center" vertical="center" wrapText="1"/>
    </xf>
    <xf numFmtId="0" fontId="53" fillId="31" borderId="27" xfId="161" applyFont="1" applyFill="1" applyBorder="1" applyAlignment="1">
      <alignment horizontal="left" vertical="center" wrapText="1"/>
    </xf>
    <xf numFmtId="0" fontId="53" fillId="31" borderId="43" xfId="161" applyFont="1" applyFill="1" applyBorder="1" applyAlignment="1">
      <alignment horizontal="left" vertical="center" wrapText="1"/>
    </xf>
    <xf numFmtId="0" fontId="205" fillId="41" borderId="21" xfId="154" applyFont="1" applyFill="1" applyBorder="1" applyAlignment="1">
      <alignment horizontal="center" vertical="center"/>
    </xf>
    <xf numFmtId="0" fontId="205" fillId="41" borderId="22" xfId="154" applyFont="1" applyFill="1" applyBorder="1" applyAlignment="1">
      <alignment horizontal="center" vertical="center"/>
    </xf>
    <xf numFmtId="0" fontId="205" fillId="41" borderId="23" xfId="154" applyFont="1" applyFill="1" applyBorder="1" applyAlignment="1">
      <alignment horizontal="center" vertical="center"/>
    </xf>
    <xf numFmtId="3" fontId="175" fillId="45" borderId="8" xfId="154" applyNumberFormat="1" applyFont="1" applyFill="1" applyBorder="1" applyAlignment="1">
      <alignment horizontal="left" vertical="center"/>
    </xf>
    <xf numFmtId="3" fontId="206" fillId="43" borderId="36" xfId="154" applyNumberFormat="1" applyFont="1" applyFill="1" applyBorder="1" applyAlignment="1">
      <alignment horizontal="left" vertical="center"/>
    </xf>
    <xf numFmtId="3" fontId="207" fillId="0" borderId="36" xfId="154" applyNumberFormat="1" applyFont="1" applyBorder="1" applyAlignment="1">
      <alignment horizontal="center" vertical="center" wrapText="1"/>
    </xf>
    <xf numFmtId="0" fontId="206" fillId="0" borderId="36" xfId="157" applyFont="1" applyBorder="1" applyAlignment="1">
      <alignment horizontal="center" vertical="center" wrapText="1"/>
    </xf>
    <xf numFmtId="3" fontId="111" fillId="0" borderId="27" xfId="154" applyNumberFormat="1" applyFont="1" applyBorder="1" applyAlignment="1">
      <alignment horizontal="center" vertical="center" wrapText="1"/>
    </xf>
    <xf numFmtId="3" fontId="111" fillId="0" borderId="43" xfId="154" applyNumberFormat="1" applyFont="1" applyBorder="1" applyAlignment="1">
      <alignment horizontal="center" vertical="center" wrapText="1"/>
    </xf>
    <xf numFmtId="3" fontId="175" fillId="30" borderId="8" xfId="154" applyNumberFormat="1" applyFont="1" applyFill="1" applyBorder="1" applyAlignment="1">
      <alignment horizontal="left" vertical="center"/>
    </xf>
    <xf numFmtId="3" fontId="175" fillId="43" borderId="8" xfId="154" applyNumberFormat="1" applyFont="1" applyFill="1" applyBorder="1" applyAlignment="1">
      <alignment horizontal="left" vertical="center"/>
    </xf>
    <xf numFmtId="0" fontId="178" fillId="0" borderId="8" xfId="154" applyFont="1" applyBorder="1" applyAlignment="1">
      <alignment horizontal="center" vertical="center"/>
    </xf>
    <xf numFmtId="0" fontId="178" fillId="0" borderId="8" xfId="154" applyFont="1" applyBorder="1" applyAlignment="1">
      <alignment horizontal="center" vertical="center" wrapText="1"/>
    </xf>
    <xf numFmtId="195" fontId="176" fillId="0" borderId="8" xfId="154" applyNumberFormat="1" applyFont="1" applyBorder="1" applyAlignment="1">
      <alignment horizontal="center" vertical="center" wrapText="1"/>
    </xf>
    <xf numFmtId="37" fontId="176" fillId="0" borderId="8" xfId="154" applyNumberFormat="1" applyFont="1" applyBorder="1" applyAlignment="1">
      <alignment horizontal="right" vertical="center" wrapText="1"/>
    </xf>
    <xf numFmtId="3" fontId="176" fillId="0" borderId="8" xfId="154" applyNumberFormat="1" applyFont="1" applyBorder="1" applyAlignment="1">
      <alignment horizontal="center" vertical="center" wrapText="1"/>
    </xf>
    <xf numFmtId="0" fontId="175" fillId="0" borderId="8" xfId="154" applyFont="1" applyBorder="1" applyAlignment="1">
      <alignment horizontal="center" vertical="center" wrapText="1"/>
    </xf>
    <xf numFmtId="0" fontId="178" fillId="0" borderId="8" xfId="154" applyFont="1" applyBorder="1" applyAlignment="1">
      <alignment horizontal="left" vertical="top" wrapText="1"/>
    </xf>
    <xf numFmtId="0" fontId="205" fillId="46" borderId="8" xfId="154" applyFont="1" applyFill="1" applyBorder="1" applyAlignment="1">
      <alignment horizontal="center" vertical="center" wrapText="1" readingOrder="1"/>
    </xf>
    <xf numFmtId="0" fontId="175" fillId="46" borderId="8" xfId="154" applyFont="1" applyFill="1" applyBorder="1" applyAlignment="1">
      <alignment horizontal="center" vertical="center" wrapText="1"/>
    </xf>
    <xf numFmtId="0" fontId="214" fillId="0" borderId="27" xfId="154" applyFont="1" applyBorder="1" applyAlignment="1">
      <alignment horizontal="left" vertical="center" wrapText="1" readingOrder="1"/>
    </xf>
    <xf numFmtId="0" fontId="114" fillId="32" borderId="0" xfId="154" applyFont="1" applyFill="1" applyAlignment="1">
      <alignment horizontal="center" vertical="center" wrapText="1" readingOrder="1"/>
    </xf>
    <xf numFmtId="0" fontId="114" fillId="0" borderId="0" xfId="154" applyFont="1" applyAlignment="1">
      <alignment horizontal="left" vertical="center" readingOrder="1"/>
    </xf>
    <xf numFmtId="0" fontId="205" fillId="46" borderId="27" xfId="154" applyFont="1" applyFill="1" applyBorder="1" applyAlignment="1">
      <alignment horizontal="center" vertical="center" wrapText="1" readingOrder="1"/>
    </xf>
    <xf numFmtId="0" fontId="205" fillId="46" borderId="43" xfId="154" applyFont="1" applyFill="1" applyBorder="1" applyAlignment="1">
      <alignment horizontal="center" vertical="center" wrapText="1" readingOrder="1"/>
    </xf>
    <xf numFmtId="0" fontId="114" fillId="46" borderId="8" xfId="154" applyFont="1" applyFill="1" applyBorder="1" applyAlignment="1">
      <alignment horizontal="center" vertical="center" wrapText="1"/>
    </xf>
    <xf numFmtId="0" fontId="179" fillId="0" borderId="0" xfId="0" applyFont="1" applyAlignment="1">
      <alignment horizontal="center" vertical="center"/>
    </xf>
    <xf numFmtId="0" fontId="175" fillId="0" borderId="0" xfId="0" applyFont="1" applyAlignment="1">
      <alignment horizontal="center" vertical="center"/>
    </xf>
    <xf numFmtId="0" fontId="109" fillId="31" borderId="21" xfId="130" applyFont="1" applyFill="1" applyBorder="1" applyAlignment="1">
      <alignment horizontal="center" vertical="center"/>
    </xf>
    <xf numFmtId="0" fontId="109" fillId="31" borderId="23" xfId="130" applyFont="1" applyFill="1" applyBorder="1" applyAlignment="1">
      <alignment horizontal="center" vertical="center"/>
    </xf>
    <xf numFmtId="2" fontId="104" fillId="31" borderId="0" xfId="78" applyNumberFormat="1" applyFont="1" applyFill="1" applyAlignment="1">
      <alignment horizontal="center" vertical="center"/>
    </xf>
    <xf numFmtId="0" fontId="115" fillId="31" borderId="0" xfId="130" applyFont="1" applyFill="1" applyAlignment="1">
      <alignment horizontal="center"/>
    </xf>
    <xf numFmtId="3" fontId="115" fillId="31" borderId="27" xfId="78" applyNumberFormat="1" applyFont="1" applyFill="1" applyBorder="1" applyAlignment="1">
      <alignment horizontal="center" vertical="center" wrapText="1"/>
    </xf>
    <xf numFmtId="3" fontId="115" fillId="31" borderId="43" xfId="78" applyNumberFormat="1" applyFont="1" applyFill="1" applyBorder="1" applyAlignment="1">
      <alignment horizontal="center" vertical="center" wrapText="1"/>
    </xf>
    <xf numFmtId="0" fontId="116" fillId="31" borderId="27" xfId="78" applyFont="1" applyFill="1" applyBorder="1" applyAlignment="1">
      <alignment horizontal="center" vertical="center" wrapText="1"/>
    </xf>
    <xf numFmtId="0" fontId="116" fillId="31" borderId="43" xfId="78" applyFont="1" applyFill="1" applyBorder="1" applyAlignment="1">
      <alignment horizontal="center" vertical="center" wrapText="1"/>
    </xf>
    <xf numFmtId="0" fontId="115" fillId="31" borderId="27" xfId="78" applyFont="1" applyFill="1" applyBorder="1" applyAlignment="1">
      <alignment horizontal="center" vertical="center" wrapText="1"/>
    </xf>
    <xf numFmtId="0" fontId="115" fillId="31" borderId="43" xfId="78" applyFont="1" applyFill="1" applyBorder="1" applyAlignment="1">
      <alignment horizontal="center" vertical="center" wrapText="1"/>
    </xf>
    <xf numFmtId="3" fontId="116" fillId="31" borderId="27" xfId="78" applyNumberFormat="1" applyFont="1" applyFill="1" applyBorder="1" applyAlignment="1">
      <alignment horizontal="center" vertical="center"/>
    </xf>
    <xf numFmtId="3" fontId="116" fillId="31" borderId="43" xfId="78" applyNumberFormat="1" applyFont="1" applyFill="1" applyBorder="1" applyAlignment="1">
      <alignment horizontal="center" vertical="center"/>
    </xf>
    <xf numFmtId="0" fontId="111" fillId="31" borderId="27" xfId="78" applyFont="1" applyFill="1" applyBorder="1" applyAlignment="1">
      <alignment horizontal="left" vertical="center" wrapText="1"/>
    </xf>
    <xf numFmtId="0" fontId="111" fillId="31" borderId="43" xfId="78" applyFont="1" applyFill="1" applyBorder="1" applyAlignment="1">
      <alignment horizontal="left" vertical="center" wrapText="1"/>
    </xf>
    <xf numFmtId="184" fontId="116" fillId="31" borderId="27" xfId="129" applyNumberFormat="1" applyFont="1" applyFill="1" applyBorder="1" applyAlignment="1">
      <alignment horizontal="center" vertical="center" wrapText="1"/>
    </xf>
    <xf numFmtId="184" fontId="116" fillId="31" borderId="43" xfId="129" applyNumberFormat="1" applyFont="1" applyFill="1" applyBorder="1" applyAlignment="1">
      <alignment horizontal="center" vertical="center" wrapText="1"/>
    </xf>
    <xf numFmtId="9" fontId="116" fillId="31" borderId="27" xfId="131" applyFont="1" applyFill="1" applyBorder="1" applyAlignment="1">
      <alignment horizontal="center" vertical="center" wrapText="1"/>
    </xf>
    <xf numFmtId="9" fontId="116" fillId="31" borderId="43" xfId="131" applyFont="1" applyFill="1" applyBorder="1" applyAlignment="1">
      <alignment horizontal="center" vertical="center" wrapText="1"/>
    </xf>
    <xf numFmtId="168" fontId="116" fillId="31" borderId="27" xfId="78" applyNumberFormat="1" applyFont="1" applyFill="1" applyBorder="1" applyAlignment="1">
      <alignment horizontal="center" vertical="center" wrapText="1"/>
    </xf>
    <xf numFmtId="168" fontId="116" fillId="31" borderId="43" xfId="78" applyNumberFormat="1" applyFont="1" applyFill="1" applyBorder="1" applyAlignment="1">
      <alignment horizontal="center" vertical="center" wrapText="1"/>
    </xf>
    <xf numFmtId="0" fontId="109" fillId="31" borderId="21" xfId="111" applyFont="1" applyFill="1" applyBorder="1" applyAlignment="1">
      <alignment horizontal="center" vertical="center"/>
    </xf>
    <xf numFmtId="0" fontId="109" fillId="31" borderId="23" xfId="111" applyFont="1" applyFill="1" applyBorder="1" applyAlignment="1">
      <alignment horizontal="center" vertical="center"/>
    </xf>
    <xf numFmtId="0" fontId="104" fillId="0" borderId="0" xfId="0" applyFont="1" applyAlignment="1">
      <alignment horizontal="center"/>
    </xf>
    <xf numFmtId="0" fontId="111" fillId="0" borderId="27" xfId="84" applyFont="1" applyBorder="1" applyAlignment="1">
      <alignment horizontal="center" vertical="center" wrapText="1"/>
    </xf>
    <xf numFmtId="0" fontId="111" fillId="0" borderId="43" xfId="79" applyFont="1" applyBorder="1" applyAlignment="1">
      <alignment horizontal="center" vertical="center" wrapText="1"/>
    </xf>
    <xf numFmtId="0" fontId="142" fillId="0" borderId="27" xfId="84" applyFont="1" applyBorder="1" applyAlignment="1">
      <alignment horizontal="left" vertical="center" wrapText="1"/>
    </xf>
    <xf numFmtId="0" fontId="142" fillId="0" borderId="43" xfId="79" applyFont="1" applyBorder="1" applyAlignment="1">
      <alignment horizontal="left" vertical="center" wrapText="1"/>
    </xf>
    <xf numFmtId="0" fontId="111" fillId="0" borderId="43" xfId="84" applyFont="1" applyBorder="1" applyAlignment="1">
      <alignment horizontal="center" vertical="center" wrapText="1"/>
    </xf>
    <xf numFmtId="0" fontId="142" fillId="0" borderId="27" xfId="84" applyFont="1" applyBorder="1" applyAlignment="1">
      <alignment horizontal="center" vertical="center" wrapText="1"/>
    </xf>
    <xf numFmtId="0" fontId="142" fillId="0" borderId="43" xfId="84" applyFont="1" applyBorder="1" applyAlignment="1">
      <alignment horizontal="center" vertical="center" wrapText="1"/>
    </xf>
    <xf numFmtId="0" fontId="111" fillId="0" borderId="35" xfId="84" applyFont="1" applyBorder="1" applyAlignment="1">
      <alignment horizontal="center" vertical="center" wrapText="1"/>
    </xf>
    <xf numFmtId="0" fontId="111" fillId="0" borderId="0" xfId="75" applyFont="1" applyAlignment="1" applyProtection="1">
      <alignment horizontal="left" vertical="top" wrapText="1"/>
      <protection locked="0"/>
    </xf>
    <xf numFmtId="0" fontId="121" fillId="0" borderId="0" xfId="76" applyFont="1" applyAlignment="1">
      <alignment horizontal="center" vertical="center"/>
    </xf>
    <xf numFmtId="0" fontId="111" fillId="0" borderId="0" xfId="75" quotePrefix="1" applyFont="1" applyAlignment="1" applyProtection="1">
      <alignment horizontal="left" vertical="top" wrapText="1"/>
      <protection locked="0"/>
    </xf>
    <xf numFmtId="0" fontId="105" fillId="0" borderId="0" xfId="0" applyFont="1" applyAlignment="1" applyProtection="1">
      <alignment horizontal="center" vertical="center"/>
      <protection locked="0"/>
    </xf>
    <xf numFmtId="0" fontId="113" fillId="0" borderId="0" xfId="0" applyFont="1" applyAlignment="1">
      <alignment horizontal="center" wrapText="1"/>
    </xf>
    <xf numFmtId="0" fontId="64" fillId="29" borderId="8" xfId="78" applyFont="1" applyFill="1" applyBorder="1" applyAlignment="1">
      <alignment horizontal="center" vertical="center" wrapText="1"/>
    </xf>
  </cellXfs>
  <cellStyles count="164">
    <cellStyle name="_Tong_muc_dau_tu_(NGO_TAT_TO)_22_01_2011 theo QD PHE DUYET DU AN" xfId="1" xr:uid="{00000000-0005-0000-0000-000000000000}"/>
    <cellStyle name="_Tong_muc_dau_tu_MN_Son_ca_28_12_2010" xfId="2" xr:uid="{00000000-0005-0000-0000-000001000000}"/>
    <cellStyle name="_Tong_muc_dau_tu_tieu_hoc_XTT" xfId="3" xr:uid="{00000000-0005-0000-0000-000002000000}"/>
    <cellStyle name="0,0_x000d__x000a_NA_x000d__x000a_" xfId="159" xr:uid="{ED2F79F4-1AFD-438B-A7FE-2768522DD66D}"/>
    <cellStyle name="20% - Accent1" xfId="4" builtinId="30" customBuiltin="1"/>
    <cellStyle name="20% - Accent2" xfId="5" builtinId="34" customBuiltin="1"/>
    <cellStyle name="20% - Accent3" xfId="6" builtinId="38" customBuiltin="1"/>
    <cellStyle name="20% - Accent4" xfId="7" builtinId="42" customBuiltin="1"/>
    <cellStyle name="20% - Accent5" xfId="8" builtinId="46" customBuiltin="1"/>
    <cellStyle name="20% - Accent6" xfId="9" builtinId="50" customBuiltin="1"/>
    <cellStyle name="40% - Accent1" xfId="10" builtinId="31" customBuiltin="1"/>
    <cellStyle name="40% - Accent2" xfId="11" builtinId="35" customBuiltin="1"/>
    <cellStyle name="40% - Accent3" xfId="12" builtinId="39" customBuiltin="1"/>
    <cellStyle name="40% - Accent4" xfId="13" builtinId="43" customBuiltin="1"/>
    <cellStyle name="40% - Accent5" xfId="14" builtinId="47" customBuiltin="1"/>
    <cellStyle name="40% - Accent6" xfId="15" builtinId="51" customBuiltin="1"/>
    <cellStyle name="60% - Accent1" xfId="16" builtinId="32" customBuiltin="1"/>
    <cellStyle name="60% - Accent2" xfId="17" builtinId="36" customBuiltin="1"/>
    <cellStyle name="60% - Accent3" xfId="18" builtinId="40" customBuiltin="1"/>
    <cellStyle name="60% - Accent4" xfId="19" builtinId="44" customBuiltin="1"/>
    <cellStyle name="60% - Accent5" xfId="20" builtinId="48" customBuiltin="1"/>
    <cellStyle name="60% - Accent6" xfId="21" builtinId="52" customBuiltin="1"/>
    <cellStyle name="Accent1" xfId="22" builtinId="29" customBuiltin="1"/>
    <cellStyle name="Accent2" xfId="23" builtinId="33" customBuiltin="1"/>
    <cellStyle name="Accent3" xfId="24" builtinId="37" customBuiltin="1"/>
    <cellStyle name="Accent4" xfId="25" builtinId="41" customBuiltin="1"/>
    <cellStyle name="Accent5" xfId="26" builtinId="45" customBuiltin="1"/>
    <cellStyle name="Accent6" xfId="27" builtinId="49" customBuiltin="1"/>
    <cellStyle name="Bad" xfId="28" builtinId="27" customBuiltin="1"/>
    <cellStyle name="Calculation" xfId="29" builtinId="22" customBuiltin="1"/>
    <cellStyle name="Comma" xfId="31" builtinId="3"/>
    <cellStyle name="Comma 2" xfId="32" xr:uid="{00000000-0005-0000-0000-00001F000000}"/>
    <cellStyle name="Comma 2 2" xfId="33" xr:uid="{00000000-0005-0000-0000-000020000000}"/>
    <cellStyle name="Comma 2 3" xfId="34" xr:uid="{00000000-0005-0000-0000-000021000000}"/>
    <cellStyle name="Comma 2 4" xfId="150" xr:uid="{43E8EA59-5EE0-4D60-8DF2-805E4EC1D735}"/>
    <cellStyle name="Comma 3" xfId="35" xr:uid="{00000000-0005-0000-0000-000022000000}"/>
    <cellStyle name="Comma 3 2" xfId="36" xr:uid="{00000000-0005-0000-0000-000023000000}"/>
    <cellStyle name="Comma 3 2 2" xfId="141" xr:uid="{00000000-0005-0000-0000-000024000000}"/>
    <cellStyle name="Comma 3 3" xfId="156" xr:uid="{A52FEE11-435A-4714-81CF-E8435F672B06}"/>
    <cellStyle name="Comma 3 4" xfId="125" xr:uid="{00000000-0005-0000-0000-000025000000}"/>
    <cellStyle name="Comma 3 5" xfId="162" xr:uid="{05F3C4E2-B6D0-4E7A-8764-420B1DFDA9AD}"/>
    <cellStyle name="Comma 3_0.GVT_PCCC Nha Be_10112014" xfId="37" xr:uid="{00000000-0005-0000-0000-000026000000}"/>
    <cellStyle name="Comma 4" xfId="38" xr:uid="{00000000-0005-0000-0000-000027000000}"/>
    <cellStyle name="Comma 4 2" xfId="139" xr:uid="{00000000-0005-0000-0000-000028000000}"/>
    <cellStyle name="Comma 5" xfId="39" xr:uid="{00000000-0005-0000-0000-000029000000}"/>
    <cellStyle name="Comma 6" xfId="133" xr:uid="{00000000-0005-0000-0000-00002A000000}"/>
    <cellStyle name="Comma 7" xfId="158" xr:uid="{C12DC9D7-F529-4880-89E2-2C3A241D356F}"/>
    <cellStyle name="Comma 7 3" xfId="126" xr:uid="{00000000-0005-0000-0000-00002B000000}"/>
    <cellStyle name="Comma 9" xfId="110" xr:uid="{00000000-0005-0000-0000-00002C000000}"/>
    <cellStyle name="Comma 9 2" xfId="129" xr:uid="{00000000-0005-0000-0000-00002D000000}"/>
    <cellStyle name="Comma 9 3" xfId="135" xr:uid="{00000000-0005-0000-0000-00002E000000}"/>
    <cellStyle name="Comma 9 3 2" xfId="143" xr:uid="{00000000-0005-0000-0000-00002F000000}"/>
    <cellStyle name="Comma_CUOC 04 K1 lap (cong trinh)_0.GVT_PCCC Nha Be_10112014" xfId="40" xr:uid="{00000000-0005-0000-0000-000030000000}"/>
    <cellStyle name="Comma0" xfId="41" xr:uid="{00000000-0005-0000-0000-000031000000}"/>
    <cellStyle name="Comma0 2" xfId="42" xr:uid="{00000000-0005-0000-0000-000032000000}"/>
    <cellStyle name="Currency 2" xfId="43" xr:uid="{00000000-0005-0000-0000-000033000000}"/>
    <cellStyle name="Currency0" xfId="44" xr:uid="{00000000-0005-0000-0000-000034000000}"/>
    <cellStyle name="Currency0 2" xfId="45" xr:uid="{00000000-0005-0000-0000-000035000000}"/>
    <cellStyle name="Check Cell" xfId="30" builtinId="23" customBuiltin="1"/>
    <cellStyle name="Date" xfId="46" xr:uid="{00000000-0005-0000-0000-000036000000}"/>
    <cellStyle name="Date 2" xfId="47" xr:uid="{00000000-0005-0000-0000-000037000000}"/>
    <cellStyle name="EN CO.," xfId="48" xr:uid="{00000000-0005-0000-0000-000038000000}"/>
    <cellStyle name="Excel Built-in Normal" xfId="49" xr:uid="{00000000-0005-0000-0000-000039000000}"/>
    <cellStyle name="Excel Built-in Normal 2" xfId="155" xr:uid="{87B0D312-3BDD-4CEA-8ED8-82333BD16B43}"/>
    <cellStyle name="Explanatory Text" xfId="50" builtinId="53" customBuiltin="1"/>
    <cellStyle name="Fixed" xfId="51" xr:uid="{00000000-0005-0000-0000-00003B000000}"/>
    <cellStyle name="Fixed 2" xfId="52" xr:uid="{00000000-0005-0000-0000-00003C000000}"/>
    <cellStyle name="Good" xfId="53" builtinId="26" customBuiltin="1"/>
    <cellStyle name="Heading 1" xfId="54" builtinId="16" customBuiltin="1"/>
    <cellStyle name="Heading 2" xfId="55" builtinId="17" customBuiltin="1"/>
    <cellStyle name="Heading 3" xfId="56" builtinId="18" customBuiltin="1"/>
    <cellStyle name="Heading 4" xfId="57" builtinId="19" customBuiltin="1"/>
    <cellStyle name="Hyperlink" xfId="58" builtinId="8"/>
    <cellStyle name="Hyperlink 2" xfId="59" xr:uid="{00000000-0005-0000-0000-000043000000}"/>
    <cellStyle name="Hyperlink 2 2" xfId="123" xr:uid="{00000000-0005-0000-0000-000044000000}"/>
    <cellStyle name="Hyperlink 3" xfId="60" xr:uid="{00000000-0005-0000-0000-000045000000}"/>
    <cellStyle name="Hyperlink 4" xfId="61" xr:uid="{00000000-0005-0000-0000-000046000000}"/>
    <cellStyle name="Input" xfId="62" builtinId="20" customBuiltin="1"/>
    <cellStyle name="Ledger 17 x 11 in" xfId="63" xr:uid="{00000000-0005-0000-0000-000048000000}"/>
    <cellStyle name="Ledger 17 x 11 in 2" xfId="64" xr:uid="{00000000-0005-0000-0000-000049000000}"/>
    <cellStyle name="Ledger 17 x 11 in 2 2" xfId="65" xr:uid="{00000000-0005-0000-0000-00004A000000}"/>
    <cellStyle name="Ledger 17 x 11 in 2 3" xfId="116" xr:uid="{00000000-0005-0000-0000-00004B000000}"/>
    <cellStyle name="Ledger 17 x 11 in 3" xfId="66" xr:uid="{00000000-0005-0000-0000-00004C000000}"/>
    <cellStyle name="Linked Cell" xfId="67" builtinId="24" customBuiltin="1"/>
    <cellStyle name="Neutral" xfId="68" builtinId="28" customBuiltin="1"/>
    <cellStyle name="Normal" xfId="0" builtinId="0"/>
    <cellStyle name="Normal 11" xfId="111" xr:uid="{00000000-0005-0000-0000-000050000000}"/>
    <cellStyle name="Normal 11 2" xfId="130" xr:uid="{00000000-0005-0000-0000-000051000000}"/>
    <cellStyle name="Normal 11 3" xfId="136" xr:uid="{00000000-0005-0000-0000-000052000000}"/>
    <cellStyle name="Normal 11 3 2" xfId="144" xr:uid="{00000000-0005-0000-0000-000053000000}"/>
    <cellStyle name="Normal 2" xfId="69" xr:uid="{00000000-0005-0000-0000-000054000000}"/>
    <cellStyle name="Normal 2 2" xfId="109" xr:uid="{00000000-0005-0000-0000-000055000000}"/>
    <cellStyle name="Normal 2 2 2" xfId="151" xr:uid="{4623CE48-89BE-422D-B038-482F72D2273F}"/>
    <cellStyle name="Normal 2 3" xfId="128" xr:uid="{00000000-0005-0000-0000-000056000000}"/>
    <cellStyle name="Normal 2 4" xfId="132" xr:uid="{00000000-0005-0000-0000-000057000000}"/>
    <cellStyle name="Normal 2 4 2" xfId="142" xr:uid="{00000000-0005-0000-0000-000058000000}"/>
    <cellStyle name="Normal 2 5" xfId="138" xr:uid="{00000000-0005-0000-0000-000059000000}"/>
    <cellStyle name="Normal 2 6" xfId="149" xr:uid="{AD8EFE20-4961-44BF-94F2-F11EAC349D0B}"/>
    <cellStyle name="Normal 2 7" xfId="157" xr:uid="{1BA93DB6-FC58-4748-811B-E9BDC4B258EC}"/>
    <cellStyle name="Normal 2 8" xfId="163" xr:uid="{24C59B37-C283-4793-A9C6-D59369061ED1}"/>
    <cellStyle name="Normal 3" xfId="70" xr:uid="{00000000-0005-0000-0000-00005A000000}"/>
    <cellStyle name="Normal 3 2" xfId="134" xr:uid="{00000000-0005-0000-0000-00005B000000}"/>
    <cellStyle name="Normal 3 3" xfId="127" xr:uid="{00000000-0005-0000-0000-00005C000000}"/>
    <cellStyle name="Normal 3 4" xfId="160" xr:uid="{C554301A-482F-468C-94F7-8C1E5CF27378}"/>
    <cellStyle name="Normal 4" xfId="71" xr:uid="{00000000-0005-0000-0000-00005D000000}"/>
    <cellStyle name="Normal 4 2 2" xfId="124" xr:uid="{00000000-0005-0000-0000-00005E000000}"/>
    <cellStyle name="Normal 4_mypersonnel1" xfId="146" xr:uid="{00000000-0005-0000-0000-00005F000000}"/>
    <cellStyle name="Normal 5" xfId="72" xr:uid="{00000000-0005-0000-0000-000060000000}"/>
    <cellStyle name="Normal 6" xfId="73" xr:uid="{00000000-0005-0000-0000-000061000000}"/>
    <cellStyle name="Normal 67" xfId="113" xr:uid="{00000000-0005-0000-0000-000062000000}"/>
    <cellStyle name="Normal 7" xfId="74" xr:uid="{00000000-0005-0000-0000-000063000000}"/>
    <cellStyle name="Normal 8" xfId="154" xr:uid="{8060EA07-46DC-4865-9323-19D6A53629DF}"/>
    <cellStyle name="Normal 8 2" xfId="117" xr:uid="{00000000-0005-0000-0000-000064000000}"/>
    <cellStyle name="Normal 9" xfId="161" xr:uid="{686DEEAB-7D67-4447-9BC0-2A0990231CCF}"/>
    <cellStyle name="Normal_B¶ng dù to¸n (2)" xfId="148" xr:uid="{33A6473E-DDDC-4F46-BFF7-B9ABA5AA5FE1}"/>
    <cellStyle name="Normal_Bang cuoc van chuyen " xfId="75" xr:uid="{00000000-0005-0000-0000-000065000000}"/>
    <cellStyle name="Normal_Book1" xfId="76" xr:uid="{00000000-0005-0000-0000-000066000000}"/>
    <cellStyle name="Normal_CABIEN4" xfId="77" xr:uid="{00000000-0005-0000-0000-000067000000}"/>
    <cellStyle name="Normal_civis10003-DU AN-BANG TINH(THOI TAM 1) 5 9 2011REV 04" xfId="78" xr:uid="{00000000-0005-0000-0000-000068000000}"/>
    <cellStyle name="Normal_civis10003-DU AN-BANG TINH(THOI TAM 1) 5 9 2011REV 04_civis10003-DU ANTHOI TAM1) 25 11 2011 hieu chinh" xfId="122" xr:uid="{00000000-0005-0000-0000-000069000000}"/>
    <cellStyle name="Normal_CUOC VC" xfId="79" xr:uid="{00000000-0005-0000-0000-00006A000000}"/>
    <cellStyle name="Normal_dutoanbosungN2HOANCHINH" xfId="80" xr:uid="{00000000-0005-0000-0000-00006B000000}"/>
    <cellStyle name="Normal_Dutoan-BSA-Hc" xfId="153" xr:uid="{346B30A8-4B0C-4066-86BC-DA2572E33C2A}"/>
    <cellStyle name="Normal_HP PC Pavilion Dealer 05-07-08_Gia Cost" xfId="119" xr:uid="{00000000-0005-0000-0000-00006C000000}"/>
    <cellStyle name="Normal_NHABIA3" xfId="81" xr:uid="{00000000-0005-0000-0000-00006D000000}"/>
    <cellStyle name="Normal_NHAXUONG" xfId="147" xr:uid="{759FC672-38A4-455C-9A86-15FBD7FBE333}"/>
    <cellStyle name="Normal_santenis" xfId="82" xr:uid="{00000000-0005-0000-0000-00006E000000}"/>
    <cellStyle name="Normal_Sheet1" xfId="83" xr:uid="{00000000-0005-0000-0000-00006F000000}"/>
    <cellStyle name="Normal_TB-HN-12-05-2015" xfId="114" xr:uid="{00000000-0005-0000-0000-000070000000}"/>
    <cellStyle name="Normal_TONG DU TOAN Theo TT03-04-QD10-11- Su dung dinh muc thiet ke moi- Mau moi" xfId="152" xr:uid="{B97716BD-F785-4A10-AF2E-2B2D0023BE90}"/>
    <cellStyle name="Normal_thiet bi 06.07.09" xfId="115" xr:uid="{00000000-0005-0000-0000-000071000000}"/>
    <cellStyle name="Normal_Trang thiet bi Cu Chi" xfId="121" xr:uid="{00000000-0005-0000-0000-000072000000}"/>
    <cellStyle name="Normal_vc" xfId="84" xr:uid="{00000000-0005-0000-0000-000073000000}"/>
    <cellStyle name="Normale 2" xfId="85" xr:uid="{00000000-0005-0000-0000-000074000000}"/>
    <cellStyle name="norman" xfId="86" xr:uid="{00000000-0005-0000-0000-000075000000}"/>
    <cellStyle name="Note" xfId="87" builtinId="10" customBuiltin="1"/>
    <cellStyle name="Output" xfId="88" builtinId="21" customBuiltin="1"/>
    <cellStyle name="Percent" xfId="89" builtinId="5"/>
    <cellStyle name="Percent 2" xfId="90" xr:uid="{00000000-0005-0000-0000-000079000000}"/>
    <cellStyle name="Percent 2 2" xfId="140" xr:uid="{00000000-0005-0000-0000-00007A000000}"/>
    <cellStyle name="Percent 3" xfId="112" xr:uid="{00000000-0005-0000-0000-00007B000000}"/>
    <cellStyle name="Percent 3 2" xfId="131" xr:uid="{00000000-0005-0000-0000-00007C000000}"/>
    <cellStyle name="Percent 3 3" xfId="137" xr:uid="{00000000-0005-0000-0000-00007D000000}"/>
    <cellStyle name="Percent 3 3 2" xfId="145" xr:uid="{00000000-0005-0000-0000-00007E000000}"/>
    <cellStyle name="Style 1" xfId="91" xr:uid="{00000000-0005-0000-0000-00007F000000}"/>
    <cellStyle name="Style 1 2" xfId="92" xr:uid="{00000000-0005-0000-0000-000080000000}"/>
    <cellStyle name="Style 1 2 2" xfId="120" xr:uid="{00000000-0005-0000-0000-000081000000}"/>
    <cellStyle name="Style 1 4" xfId="118" xr:uid="{00000000-0005-0000-0000-000082000000}"/>
    <cellStyle name="Title" xfId="93" builtinId="15" customBuiltin="1"/>
    <cellStyle name="Total" xfId="94" builtinId="25" customBuiltin="1"/>
    <cellStyle name="Total 2" xfId="95" xr:uid="{00000000-0005-0000-0000-000085000000}"/>
    <cellStyle name="Warning Text" xfId="96" builtinId="11" customBuiltin="1"/>
    <cellStyle name="똿뗦먛귟 [0.00]_PRODUCT DETAIL Q1" xfId="97" xr:uid="{00000000-0005-0000-0000-000087000000}"/>
    <cellStyle name="똿뗦먛귟_PRODUCT DETAIL Q1" xfId="98" xr:uid="{00000000-0005-0000-0000-000088000000}"/>
    <cellStyle name="믅됞 [0.00]_PRODUCT DETAIL Q1" xfId="99" xr:uid="{00000000-0005-0000-0000-000089000000}"/>
    <cellStyle name="믅됞_PRODUCT DETAIL Q1" xfId="100" xr:uid="{00000000-0005-0000-0000-00008A000000}"/>
    <cellStyle name="백분율_HOBONG" xfId="101" xr:uid="{00000000-0005-0000-0000-00008B000000}"/>
    <cellStyle name="뷭?_BOOKSHIP" xfId="102" xr:uid="{00000000-0005-0000-0000-00008C000000}"/>
    <cellStyle name="콤마 [0]_00ss ordersheet" xfId="103" xr:uid="{00000000-0005-0000-0000-00008D000000}"/>
    <cellStyle name="콤마_00ss ordersheet" xfId="104" xr:uid="{00000000-0005-0000-0000-00008E000000}"/>
    <cellStyle name="통화 [0]_00ss ordersheet" xfId="105" xr:uid="{00000000-0005-0000-0000-00008F000000}"/>
    <cellStyle name="통화_00ss ordersheet" xfId="106" xr:uid="{00000000-0005-0000-0000-000090000000}"/>
    <cellStyle name="표준_(정보부문)월별인원계획" xfId="107" xr:uid="{00000000-0005-0000-0000-000091000000}"/>
    <cellStyle name="一般_HEE-Hiclass EN_HiClass-EN- all" xfId="108" xr:uid="{00000000-0005-0000-0000-00009200000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theme="0"/>
      </font>
      <fill>
        <patternFill>
          <bgColor rgb="FF339966"/>
        </patternFill>
      </fill>
    </dxf>
  </dxfs>
  <tableStyles count="1" defaultTableStyle="TableStyleMedium9" defaultPivotStyle="PivotStyleLight16">
    <tableStyle name="CustomTableStyle" pivot="0" count="2" xr9:uid="{00000000-0011-0000-FFFF-FFFF00000000}">
      <tableStyleElement type="headerRow" dxfId="80"/>
      <tableStyleElement type="firstRowStripe" dxfId="7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externalLink" Target="externalLinks/externalLink3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externalLink" Target="externalLinks/externalLink2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externalLink" Target="externalLinks/externalLink6.xml"/><Relationship Id="rId118" Type="http://schemas.openxmlformats.org/officeDocument/2006/relationships/externalLink" Target="externalLinks/externalLink11.xml"/><Relationship Id="rId134" Type="http://schemas.openxmlformats.org/officeDocument/2006/relationships/externalLink" Target="externalLinks/externalLink27.xml"/><Relationship Id="rId139" Type="http://schemas.openxmlformats.org/officeDocument/2006/relationships/externalLink" Target="externalLinks/externalLink32.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externalLink" Target="externalLinks/externalLink1.xml"/><Relationship Id="rId124" Type="http://schemas.openxmlformats.org/officeDocument/2006/relationships/externalLink" Target="externalLinks/externalLink17.xml"/><Relationship Id="rId129" Type="http://schemas.openxmlformats.org/officeDocument/2006/relationships/externalLink" Target="externalLinks/externalLink22.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externalLink" Target="externalLinks/externalLink33.xml"/><Relationship Id="rId14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externalLink" Target="externalLinks/externalLink7.xml"/><Relationship Id="rId119" Type="http://schemas.openxmlformats.org/officeDocument/2006/relationships/externalLink" Target="externalLinks/externalLink12.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externalLink" Target="externalLinks/externalLink23.xml"/><Relationship Id="rId135" Type="http://schemas.openxmlformats.org/officeDocument/2006/relationships/externalLink" Target="externalLinks/externalLink28.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3.xml"/><Relationship Id="rId125" Type="http://schemas.openxmlformats.org/officeDocument/2006/relationships/externalLink" Target="externalLinks/externalLink18.xml"/><Relationship Id="rId141" Type="http://schemas.openxmlformats.org/officeDocument/2006/relationships/externalLink" Target="externalLinks/externalLink34.xml"/><Relationship Id="rId14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externalLink" Target="externalLinks/externalLink3.xml"/><Relationship Id="rId115" Type="http://schemas.openxmlformats.org/officeDocument/2006/relationships/externalLink" Target="externalLinks/externalLink8.xml"/><Relationship Id="rId131" Type="http://schemas.openxmlformats.org/officeDocument/2006/relationships/externalLink" Target="externalLinks/externalLink24.xml"/><Relationship Id="rId136" Type="http://schemas.openxmlformats.org/officeDocument/2006/relationships/externalLink" Target="externalLinks/externalLink29.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externalLink" Target="externalLinks/externalLink19.xml"/><Relationship Id="rId14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14.xml"/><Relationship Id="rId142" Type="http://schemas.openxmlformats.org/officeDocument/2006/relationships/externalLink" Target="externalLinks/externalLink35.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externalLink" Target="externalLinks/externalLink9.xml"/><Relationship Id="rId137" Type="http://schemas.openxmlformats.org/officeDocument/2006/relationships/externalLink" Target="externalLinks/externalLink30.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externalLink" Target="externalLinks/externalLink4.xml"/><Relationship Id="rId132" Type="http://schemas.openxmlformats.org/officeDocument/2006/relationships/externalLink" Target="externalLinks/externalLink25.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externalLink" Target="externalLinks/externalLink20.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5.xml"/><Relationship Id="rId143" Type="http://schemas.openxmlformats.org/officeDocument/2006/relationships/externalLink" Target="externalLinks/externalLink36.xml"/><Relationship Id="rId14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externalLink" Target="externalLinks/externalLink5.xml"/><Relationship Id="rId133" Type="http://schemas.openxmlformats.org/officeDocument/2006/relationships/externalLink" Target="externalLinks/externalLink26.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6.xml"/><Relationship Id="rId144" Type="http://schemas.openxmlformats.org/officeDocument/2006/relationships/externalLink" Target="externalLinks/externalLink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17</xdr:col>
      <xdr:colOff>1401792</xdr:colOff>
      <xdr:row>32</xdr:row>
      <xdr:rowOff>26958</xdr:rowOff>
    </xdr:from>
    <xdr:to>
      <xdr:col>20</xdr:col>
      <xdr:colOff>61954</xdr:colOff>
      <xdr:row>32</xdr:row>
      <xdr:rowOff>463838</xdr:rowOff>
    </xdr:to>
    <xdr:pic>
      <xdr:nvPicPr>
        <xdr:cNvPr id="2" name="Picture 1" descr="E:\CongUan2018\Hinh chu ky Uan.jpg">
          <a:extLst>
            <a:ext uri="{FF2B5EF4-FFF2-40B4-BE49-F238E27FC236}">
              <a16:creationId xmlns:a16="http://schemas.microsoft.com/office/drawing/2014/main" id="{00000000-0008-0000-56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50967" y="6170583"/>
          <a:ext cx="1250962" cy="436880"/>
        </a:xfrm>
        <a:prstGeom prst="rect">
          <a:avLst/>
        </a:prstGeom>
        <a:noFill/>
        <a:ln>
          <a:noFill/>
        </a:ln>
        <a:scene3d>
          <a:camera prst="orthographicFront"/>
          <a:lightRig rig="threePt" dir="t"/>
        </a:scene3d>
        <a:sp3d extrusionH="76200">
          <a:extrusionClr>
            <a:schemeClr val="bg1"/>
          </a:extrusionClr>
        </a:sp3d>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21</xdr:row>
          <xdr:rowOff>0</xdr:rowOff>
        </xdr:from>
        <xdr:to>
          <xdr:col>15</xdr:col>
          <xdr:colOff>533400</xdr:colOff>
          <xdr:row>22</xdr:row>
          <xdr:rowOff>190500</xdr:rowOff>
        </xdr:to>
        <xdr:sp macro="" textlink="">
          <xdr:nvSpPr>
            <xdr:cNvPr id="140289" name="Object 1" hidden="1">
              <a:extLst>
                <a:ext uri="{63B3BB69-23CF-44E3-9099-C40C66FF867C}">
                  <a14:compatExt spid="_x0000_s140289"/>
                </a:ext>
                <a:ext uri="{FF2B5EF4-FFF2-40B4-BE49-F238E27FC236}">
                  <a16:creationId xmlns:a16="http://schemas.microsoft.com/office/drawing/2014/main" id="{00000000-0008-0000-5800-000001240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123825</xdr:colOff>
      <xdr:row>43</xdr:row>
      <xdr:rowOff>361950</xdr:rowOff>
    </xdr:from>
    <xdr:to>
      <xdr:col>15</xdr:col>
      <xdr:colOff>171450</xdr:colOff>
      <xdr:row>51</xdr:row>
      <xdr:rowOff>114300</xdr:rowOff>
    </xdr:to>
    <xdr:pic>
      <xdr:nvPicPr>
        <xdr:cNvPr id="2" name="Picture 1">
          <a:extLst>
            <a:ext uri="{FF2B5EF4-FFF2-40B4-BE49-F238E27FC236}">
              <a16:creationId xmlns:a16="http://schemas.microsoft.com/office/drawing/2014/main" id="{00000000-0008-0000-5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12773025"/>
          <a:ext cx="736282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171450</xdr:colOff>
      <xdr:row>72</xdr:row>
      <xdr:rowOff>85725</xdr:rowOff>
    </xdr:from>
    <xdr:to>
      <xdr:col>13</xdr:col>
      <xdr:colOff>419100</xdr:colOff>
      <xdr:row>84</xdr:row>
      <xdr:rowOff>104775</xdr:rowOff>
    </xdr:to>
    <xdr:pic>
      <xdr:nvPicPr>
        <xdr:cNvPr id="3" name="Picture 1">
          <a:extLst>
            <a:ext uri="{FF2B5EF4-FFF2-40B4-BE49-F238E27FC236}">
              <a16:creationId xmlns:a16="http://schemas.microsoft.com/office/drawing/2014/main" id="{00000000-0008-0000-5D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53375" y="19545300"/>
          <a:ext cx="6343650" cy="219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104775</xdr:colOff>
      <xdr:row>48</xdr:row>
      <xdr:rowOff>47625</xdr:rowOff>
    </xdr:from>
    <xdr:to>
      <xdr:col>13</xdr:col>
      <xdr:colOff>352425</xdr:colOff>
      <xdr:row>60</xdr:row>
      <xdr:rowOff>76200</xdr:rowOff>
    </xdr:to>
    <xdr:pic>
      <xdr:nvPicPr>
        <xdr:cNvPr id="4" name="Picture 2">
          <a:extLst>
            <a:ext uri="{FF2B5EF4-FFF2-40B4-BE49-F238E27FC236}">
              <a16:creationId xmlns:a16="http://schemas.microsoft.com/office/drawing/2014/main" id="{00000000-0008-0000-5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86700" y="14173200"/>
          <a:ext cx="6343650" cy="2200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123825</xdr:colOff>
      <xdr:row>43</xdr:row>
      <xdr:rowOff>361950</xdr:rowOff>
    </xdr:from>
    <xdr:to>
      <xdr:col>15</xdr:col>
      <xdr:colOff>171450</xdr:colOff>
      <xdr:row>51</xdr:row>
      <xdr:rowOff>114300</xdr:rowOff>
    </xdr:to>
    <xdr:pic>
      <xdr:nvPicPr>
        <xdr:cNvPr id="2" name="Picture 1">
          <a:extLst>
            <a:ext uri="{FF2B5EF4-FFF2-40B4-BE49-F238E27FC236}">
              <a16:creationId xmlns:a16="http://schemas.microsoft.com/office/drawing/2014/main" id="{00000000-0008-0000-5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12773025"/>
          <a:ext cx="736282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171450</xdr:colOff>
      <xdr:row>72</xdr:row>
      <xdr:rowOff>85725</xdr:rowOff>
    </xdr:from>
    <xdr:to>
      <xdr:col>13</xdr:col>
      <xdr:colOff>419100</xdr:colOff>
      <xdr:row>84</xdr:row>
      <xdr:rowOff>104775</xdr:rowOff>
    </xdr:to>
    <xdr:pic>
      <xdr:nvPicPr>
        <xdr:cNvPr id="3" name="Picture 1">
          <a:extLst>
            <a:ext uri="{FF2B5EF4-FFF2-40B4-BE49-F238E27FC236}">
              <a16:creationId xmlns:a16="http://schemas.microsoft.com/office/drawing/2014/main" id="{00000000-0008-0000-5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53375" y="19545300"/>
          <a:ext cx="6343650" cy="219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104775</xdr:colOff>
      <xdr:row>48</xdr:row>
      <xdr:rowOff>47625</xdr:rowOff>
    </xdr:from>
    <xdr:to>
      <xdr:col>13</xdr:col>
      <xdr:colOff>352425</xdr:colOff>
      <xdr:row>60</xdr:row>
      <xdr:rowOff>76200</xdr:rowOff>
    </xdr:to>
    <xdr:pic>
      <xdr:nvPicPr>
        <xdr:cNvPr id="4" name="Picture 2">
          <a:extLst>
            <a:ext uri="{FF2B5EF4-FFF2-40B4-BE49-F238E27FC236}">
              <a16:creationId xmlns:a16="http://schemas.microsoft.com/office/drawing/2014/main" id="{00000000-0008-0000-5E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86700" y="14173200"/>
          <a:ext cx="6343650" cy="2200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295275</xdr:colOff>
      <xdr:row>93</xdr:row>
      <xdr:rowOff>200025</xdr:rowOff>
    </xdr:from>
    <xdr:to>
      <xdr:col>26</xdr:col>
      <xdr:colOff>333375</xdr:colOff>
      <xdr:row>125</xdr:row>
      <xdr:rowOff>133350</xdr:rowOff>
    </xdr:to>
    <xdr:pic>
      <xdr:nvPicPr>
        <xdr:cNvPr id="36972" name="Picture 1">
          <a:extLst>
            <a:ext uri="{FF2B5EF4-FFF2-40B4-BE49-F238E27FC236}">
              <a16:creationId xmlns:a16="http://schemas.microsoft.com/office/drawing/2014/main" id="{00000000-0008-0000-6400-00006C9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72525" y="26850975"/>
          <a:ext cx="647700" cy="802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190500</xdr:colOff>
          <xdr:row>11</xdr:row>
          <xdr:rowOff>28575</xdr:rowOff>
        </xdr:from>
        <xdr:to>
          <xdr:col>6</xdr:col>
          <xdr:colOff>0</xdr:colOff>
          <xdr:row>12</xdr:row>
          <xdr:rowOff>28575</xdr:rowOff>
        </xdr:to>
        <xdr:sp macro="" textlink="">
          <xdr:nvSpPr>
            <xdr:cNvPr id="18433" name="Object 1" hidden="1">
              <a:extLst>
                <a:ext uri="{63B3BB69-23CF-44E3-9099-C40C66FF867C}">
                  <a14:compatExt spid="_x0000_s18433"/>
                </a:ext>
                <a:ext uri="{FF2B5EF4-FFF2-40B4-BE49-F238E27FC236}">
                  <a16:creationId xmlns:a16="http://schemas.microsoft.com/office/drawing/2014/main" id="{00000000-0008-0000-6600-000001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11</xdr:row>
          <xdr:rowOff>28575</xdr:rowOff>
        </xdr:from>
        <xdr:to>
          <xdr:col>6</xdr:col>
          <xdr:colOff>0</xdr:colOff>
          <xdr:row>12</xdr:row>
          <xdr:rowOff>28575</xdr:rowOff>
        </xdr:to>
        <xdr:sp macro="" textlink="">
          <xdr:nvSpPr>
            <xdr:cNvPr id="18434" name="Object 2" hidden="1">
              <a:extLst>
                <a:ext uri="{63B3BB69-23CF-44E3-9099-C40C66FF867C}">
                  <a14:compatExt spid="_x0000_s18434"/>
                </a:ext>
                <a:ext uri="{FF2B5EF4-FFF2-40B4-BE49-F238E27FC236}">
                  <a16:creationId xmlns:a16="http://schemas.microsoft.com/office/drawing/2014/main" id="{00000000-0008-0000-6600-00000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26</xdr:row>
          <xdr:rowOff>28575</xdr:rowOff>
        </xdr:from>
        <xdr:to>
          <xdr:col>6</xdr:col>
          <xdr:colOff>0</xdr:colOff>
          <xdr:row>27</xdr:row>
          <xdr:rowOff>28575</xdr:rowOff>
        </xdr:to>
        <xdr:sp macro="" textlink="">
          <xdr:nvSpPr>
            <xdr:cNvPr id="18435" name="Object 3" hidden="1">
              <a:extLst>
                <a:ext uri="{63B3BB69-23CF-44E3-9099-C40C66FF867C}">
                  <a14:compatExt spid="_x0000_s18435"/>
                </a:ext>
                <a:ext uri="{FF2B5EF4-FFF2-40B4-BE49-F238E27FC236}">
                  <a16:creationId xmlns:a16="http://schemas.microsoft.com/office/drawing/2014/main" id="{00000000-0008-0000-6600-00000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26</xdr:row>
          <xdr:rowOff>28575</xdr:rowOff>
        </xdr:from>
        <xdr:to>
          <xdr:col>6</xdr:col>
          <xdr:colOff>0</xdr:colOff>
          <xdr:row>27</xdr:row>
          <xdr:rowOff>28575</xdr:rowOff>
        </xdr:to>
        <xdr:sp macro="" textlink="">
          <xdr:nvSpPr>
            <xdr:cNvPr id="18436" name="Object 4" hidden="1">
              <a:extLst>
                <a:ext uri="{63B3BB69-23CF-44E3-9099-C40C66FF867C}">
                  <a14:compatExt spid="_x0000_s18436"/>
                </a:ext>
                <a:ext uri="{FF2B5EF4-FFF2-40B4-BE49-F238E27FC236}">
                  <a16:creationId xmlns:a16="http://schemas.microsoft.com/office/drawing/2014/main" id="{00000000-0008-0000-66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UNG/B&#7878;NH%20VI&#7878;N%20QU&#7842;NG%20B&#204;NH-XU&#7844;T%20H&#7890;%20S&#416;/DT-BVBQB-CSII.24.8.23-Kiem%20soat-dcbt/DT-BVBQB-CSII.24.8.23-Kiem%20soat-dcbt/00.TDT-BVDK%20KV%20Bac%20Quang%20Binh.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0.%20CONG%20TY%20SAMCONS\28.%20H&#7890;%20S&#416;%20M&#7898;I%20TH&#416;I%20TAM%20TH&#212;N%20+%20NH&#192;%20V&#258;N%20H&#211;A\1.%20TH&#7898;I%20TAM%20TH&#212;N\D&#7920;%20TO&#193;N%20M&#7898;I\D&#7921;%20to&#225;n%20Th&#7899;i%20Tam%20Th&#244;n%20-%20Ch&#7841;y%20l&#7841;i%202024\Ch&#7841;y%20n&#259;m%202023\19.%20CAY%20XANH.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D:\HUNG\H&#211;C%20M&#212;N\241016%20THVH%20H&#211;A%20HUY&#7878;N%20H&#211;C%20M&#212;N\240603%20KH&#193;I%20TO&#193;N%20TKCS-TTVH%20HUY&#7878;N\240402%20KH&#193;I%20TO&#193;N%20TTVH%20HUY&#7878;N%20H&#211;C%20M&#212;N\KH&#193;I%20TO&#193;N%20TKCS%20TTVH%20HUY&#7878;N%20H&#211;C%20M&#212;N_Th&#226;m%20&#273;inh%2002052024%20(ch&#244;t).xlsx" TargetMode="External"/><Relationship Id="rId1" Type="http://schemas.openxmlformats.org/officeDocument/2006/relationships/externalLinkPath" Target="/HUNG/H&#211;C%20M&#212;N/241016%20THVH%20H&#211;A%20HUY&#7878;N%20H&#211;C%20M&#212;N/240603%20KH&#193;I%20TO&#193;N%20TKCS-TTVH%20HUY&#7878;N/240402%20KH&#193;I%20TO&#193;N%20TTVH%20HUY&#7878;N%20H&#211;C%20M&#212;N/KH&#193;I%20TO&#193;N%20TKCS%20TTVH%20HUY&#7878;N%20H&#211;C%20M&#212;N_Th&#226;m%20&#273;inh%2002052024%20(ch&#244;t).xlsx" TargetMode="External"/></Relationships>
</file>

<file path=xl/externalLinks/_rels/externalLink12.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241124%20D&#7920;%20TO&#193;N%20TTVH%20H&#211;C%20M&#212;N\241111%20D&#7920;%20TO&#193;N%20TTVH%20H&#211;C%20M&#212;N\1.%20KHOI%20NHA%20VAN%20HOA%2008-10-2024.xlsm" TargetMode="External"/><Relationship Id="rId2" Type="http://schemas.microsoft.com/office/2019/04/relationships/externalLinkLongPath" Target="1.%20KHOI%20NHA%20VAN%20HOA%2008-10-2024.xlsm?178D4D92" TargetMode="External"/><Relationship Id="rId1" Type="http://schemas.openxmlformats.org/officeDocument/2006/relationships/externalLinkPath" Target="file:///\\178D4D92\1.%20KHOI%20NHA%20VAN%20HOA%2008-10-2024.xlsm" TargetMode="External"/></Relationships>
</file>

<file path=xl/externalLinks/_rels/externalLink13.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241124%20D&#7920;%20TO&#193;N%20TTVH%20H&#211;C%20M&#212;N\241111%20D&#7920;%20TO&#193;N%20TTVH%20H&#211;C%20M&#212;N\2.%20KHOI%20NHA%20HANH%20CHINH%2008-10-2024.xlsx" TargetMode="External"/><Relationship Id="rId2" Type="http://schemas.microsoft.com/office/2019/04/relationships/externalLinkLongPath" Target="2.%20KHOI%20NHA%20HANH%20CHINH%2008-10-2024.xlsx?178D4D92" TargetMode="External"/><Relationship Id="rId1" Type="http://schemas.openxmlformats.org/officeDocument/2006/relationships/externalLinkPath" Target="file:///\\178D4D92\2.%20KHOI%20NHA%20HANH%20CHINH%2008-10-2024.xlsx" TargetMode="External"/></Relationships>
</file>

<file path=xl/externalLinks/_rels/externalLink14.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3.%20KHOI%20NHA%20TRIEN%20LAM%2008-10-2024.xlsx" TargetMode="External"/><Relationship Id="rId2" Type="http://schemas.microsoft.com/office/2019/04/relationships/externalLinkLongPath" Target="3.%20KHOI%20NHA%20TRIEN%20LAM%2008-10-2024.xlsx?178D4D92" TargetMode="External"/><Relationship Id="rId1" Type="http://schemas.openxmlformats.org/officeDocument/2006/relationships/externalLinkPath" Target="file:///\\178D4D92\3.%20KHOI%20NHA%20TRIEN%20LAM%2008-10-2024.xlsx" TargetMode="External"/></Relationships>
</file>

<file path=xl/externalLinks/_rels/externalLink15.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4.%20BE%20TU%20HOAI%2008-10-2024.xlsx" TargetMode="External"/><Relationship Id="rId2" Type="http://schemas.microsoft.com/office/2019/04/relationships/externalLinkLongPath" Target="4.%20BE%20TU%20HOAI%2008-10-2024.xlsx?178D4D92" TargetMode="External"/><Relationship Id="rId1" Type="http://schemas.openxmlformats.org/officeDocument/2006/relationships/externalLinkPath" Target="file:///\\178D4D92\4.%20BE%20TU%20HOAI%2008-10-2024.xlsx" TargetMode="External"/></Relationships>
</file>

<file path=xl/externalLinks/_rels/externalLink16.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241023%20D&#7920;%20TO&#193;N%20TTVH%20H&#211;C%20M&#212;N\5.%20BE%20XLNT%2008-10-2024.xlsx" TargetMode="External"/><Relationship Id="rId2" Type="http://schemas.microsoft.com/office/2019/04/relationships/externalLinkLongPath" Target="5.%20BE%20XLNT%2008-10-2024.xlsx?178D4D92" TargetMode="External"/><Relationship Id="rId1" Type="http://schemas.openxmlformats.org/officeDocument/2006/relationships/externalLinkPath" Target="file:///\\178D4D92\5.%20BE%20XLNT%2008-10-2024.xlsx" TargetMode="External"/></Relationships>
</file>

<file path=xl/externalLinks/_rels/externalLink17.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6.%20BE%20NUOC%20NGAM%2008-10-2024.xlsx" TargetMode="External"/><Relationship Id="rId2" Type="http://schemas.microsoft.com/office/2019/04/relationships/externalLinkLongPath" Target="6.%20BE%20NUOC%20NGAM%2008-10-2024.xlsx?178D4D92" TargetMode="External"/><Relationship Id="rId1" Type="http://schemas.openxmlformats.org/officeDocument/2006/relationships/externalLinkPath" Target="file:///\\178D4D92\6.%20BE%20NUOC%20NGAM%2008-10-2024.xlsx" TargetMode="External"/></Relationships>
</file>

<file path=xl/externalLinks/_rels/externalLink18.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7.%20CTN%20KHOI%20NHA%20VAN%20HOA%2008-10-2024.xlsx" TargetMode="External"/><Relationship Id="rId2" Type="http://schemas.microsoft.com/office/2019/04/relationships/externalLinkLongPath" Target="7.%20CTN%20KHOI%20NHA%20VAN%20HOA%2008-10-2024.xlsx?178D4D92" TargetMode="External"/><Relationship Id="rId1" Type="http://schemas.openxmlformats.org/officeDocument/2006/relationships/externalLinkPath" Target="file:///\\178D4D92\7.%20CTN%20KHOI%20NHA%20VAN%20HOA%2008-10-2024.xlsx" TargetMode="External"/></Relationships>
</file>

<file path=xl/externalLinks/_rels/externalLink19.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8.%20CTN%20KHOI%20NHA%20HANH%20CHINH%2008-10-2024.xlsx" TargetMode="External"/><Relationship Id="rId2" Type="http://schemas.microsoft.com/office/2019/04/relationships/externalLinkLongPath" Target="8.%20CTN%20KHOI%20NHA%20HANH%20CHINH%2008-10-2024.xlsx?178D4D92" TargetMode="External"/><Relationship Id="rId1" Type="http://schemas.openxmlformats.org/officeDocument/2006/relationships/externalLinkPath" Target="file:///\\178D4D92\8.%20CTN%20KHOI%20NHA%20HANH%20CHINH%2008-10-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uTHKP\QD792017.xls" TargetMode="External"/></Relationships>
</file>

<file path=xl/externalLinks/_rels/externalLink20.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9.%20CTN%20KHOI%20NHA%20TRIEN%20LAM%2008-10-2024.xlsx" TargetMode="External"/><Relationship Id="rId2" Type="http://schemas.microsoft.com/office/2019/04/relationships/externalLinkLongPath" Target="9.%20CTN%20KHOI%20NHA%20TRIEN%20LAM%2008-10-2024.xlsx?178D4D92" TargetMode="External"/><Relationship Id="rId1" Type="http://schemas.openxmlformats.org/officeDocument/2006/relationships/externalLinkPath" Target="file:///\\178D4D92\9.%20CTN%20KHOI%20NHA%20TRIEN%20LAM%2008-10-2024.xlsx" TargetMode="External"/></Relationships>
</file>

<file path=xl/externalLinks/_rels/externalLink21.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241023%20D&#7920;%20TO&#193;N%20TTVH%20H&#211;C%20M&#212;N\10.%20DIEN%20KHOI%20NHA%20VAN%20HOA%2008-10-2024.xlsx" TargetMode="External"/><Relationship Id="rId2" Type="http://schemas.microsoft.com/office/2019/04/relationships/externalLinkLongPath" Target="10.%20DIEN%20KHOI%20NHA%20VAN%20HOA%2008-10-2024.xlsx?178D4D92" TargetMode="External"/><Relationship Id="rId1" Type="http://schemas.openxmlformats.org/officeDocument/2006/relationships/externalLinkPath" Target="file:///\\178D4D92\10.%20DIEN%20KHOI%20NHA%20VAN%20HOA%2008-10-2024.xlsx" TargetMode="External"/></Relationships>
</file>

<file path=xl/externalLinks/_rels/externalLink22.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11.%20DIEN%20KHOI%20NHA%20HANH%20CHINH%2008-10-2024.xlsx" TargetMode="External"/><Relationship Id="rId2" Type="http://schemas.microsoft.com/office/2019/04/relationships/externalLinkLongPath" Target="11.%20DIEN%20KHOI%20NHA%20HANH%20CHINH%2008-10-2024.xlsx?178D4D92" TargetMode="External"/><Relationship Id="rId1" Type="http://schemas.openxmlformats.org/officeDocument/2006/relationships/externalLinkPath" Target="file:///\\178D4D92\11.%20DIEN%20KHOI%20NHA%20HANH%20CHINH%2008-10-2024.xlsx" TargetMode="External"/></Relationships>
</file>

<file path=xl/externalLinks/_rels/externalLink23.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12.%20DIEN%20KHOI%20NHA%20TRIEN%20LAM%2008-10-2024.xlsx" TargetMode="External"/><Relationship Id="rId2" Type="http://schemas.microsoft.com/office/2019/04/relationships/externalLinkLongPath" Target="12.%20DIEN%20KHOI%20NHA%20TRIEN%20LAM%2008-10-2024.xlsx?178D4D92" TargetMode="External"/><Relationship Id="rId1" Type="http://schemas.openxmlformats.org/officeDocument/2006/relationships/externalLinkPath" Target="file:///\\178D4D92\12.%20DIEN%20KHOI%20NHA%20TRIEN%20LAM%2008-10-2024.xlsx" TargetMode="External"/></Relationships>
</file>

<file path=xl/externalLinks/_rels/externalLink24.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241031%20D&#7920;%20TO&#193;N%20TTVH%20H&#211;C%20M&#212;N\13.%20DKHH%20KHOI%20NHA%20VAN%20HOA%2008-10-2024.xlsx" TargetMode="External"/><Relationship Id="rId2" Type="http://schemas.microsoft.com/office/2019/04/relationships/externalLinkLongPath" Target="13.%20DKHH%20KHOI%20NHA%20VAN%20HOA%2008-10-2024.xlsx?178D4D92" TargetMode="External"/><Relationship Id="rId1" Type="http://schemas.openxmlformats.org/officeDocument/2006/relationships/externalLinkPath" Target="file:///\\178D4D92\13.%20DKHH%20KHOI%20NHA%20VAN%20HOA%2008-10-2024.xlsx" TargetMode="External"/></Relationships>
</file>

<file path=xl/externalLinks/_rels/externalLink25.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241023%20D&#7920;%20TO&#193;N%20TTVH%20H&#211;C%20M&#212;N\14.%20DHKK%20KHOI%20NHA%20CHINH%2008-10-2024.xlsx" TargetMode="External"/><Relationship Id="rId2" Type="http://schemas.microsoft.com/office/2019/04/relationships/externalLinkLongPath" Target="14.%20DHKK%20KHOI%20NHA%20CHINH%2008-10-2024.xlsx?178D4D92" TargetMode="External"/><Relationship Id="rId1" Type="http://schemas.openxmlformats.org/officeDocument/2006/relationships/externalLinkPath" Target="file:///\\178D4D92\14.%20DHKK%20KHOI%20NHA%20CHINH%2008-10-2024.xlsx" TargetMode="External"/></Relationships>
</file>

<file path=xl/externalLinks/_rels/externalLink26.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15.%20DKHH%20KHOI%20NHA%20TRIEN%20LAM%2008-10-2024.xlsx" TargetMode="External"/><Relationship Id="rId2" Type="http://schemas.microsoft.com/office/2019/04/relationships/externalLinkLongPath" Target="15.%20DKHH%20KHOI%20NHA%20TRIEN%20LAM%2008-10-2024.xlsx?178D4D92" TargetMode="External"/><Relationship Id="rId1" Type="http://schemas.openxmlformats.org/officeDocument/2006/relationships/externalLinkPath" Target="file:///\\178D4D92\15.%20DKHH%20KHOI%20NHA%20TRIEN%20LAM%2008-10-2024.xlsx" TargetMode="External"/></Relationships>
</file>

<file path=xl/externalLinks/_rels/externalLink27.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241023%20D&#7920;%20TO&#193;N%20TTVH%20H&#211;C%20M&#212;N\16.%20CTN%20TONG%20THE%2008-10-2024.xlsx" TargetMode="External"/><Relationship Id="rId2" Type="http://schemas.microsoft.com/office/2019/04/relationships/externalLinkLongPath" Target="16.%20CTN%20TONG%20THE%2008-10-2024.xlsx?178D4D92" TargetMode="External"/><Relationship Id="rId1" Type="http://schemas.openxmlformats.org/officeDocument/2006/relationships/externalLinkPath" Target="file:///\\178D4D92\16.%20CTN%20TONG%20THE%2008-10-2024.xlsx" TargetMode="External"/></Relationships>
</file>

<file path=xl/externalLinks/_rels/externalLink28.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241023%20D&#7920;%20TO&#193;N%20TTVH%20H&#211;C%20M&#212;N\17.%20HT%20DIEN%20TONG%20THE%2008-10-2024.xlsx" TargetMode="External"/><Relationship Id="rId2" Type="http://schemas.microsoft.com/office/2019/04/relationships/externalLinkLongPath" Target="17.%20HT%20DIEN%20TONG%20THE%2008-10-2024.xlsx?178D4D92" TargetMode="External"/><Relationship Id="rId1" Type="http://schemas.openxmlformats.org/officeDocument/2006/relationships/externalLinkPath" Target="file:///\\178D4D92\17.%20HT%20DIEN%20TONG%20THE%2008-10-2024.xlsx" TargetMode="External"/></Relationships>
</file>

<file path=xl/externalLinks/_rels/externalLink29.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241023%20D&#7920;%20TO&#193;N%20TTVH%20H&#211;C%20M&#212;N\18.%20HT%20MANG%20-%20DIEN%20%20THOAI-%20IP%20CAMERA%2008-10-2024.xlsx" TargetMode="External"/><Relationship Id="rId2" Type="http://schemas.microsoft.com/office/2019/04/relationships/externalLinkLongPath" Target="18.%20HT%20MANG%20-%20DIEN%20%20THOAI-%20IP%20CAMERA%2008-10-2024.xlsx?178D4D92" TargetMode="External"/><Relationship Id="rId1" Type="http://schemas.openxmlformats.org/officeDocument/2006/relationships/externalLinkPath" Target="file:///\\178D4D92\18.%20HT%20MANG%20-%20DIEN%20%20THOAI-%20IP%20CAMERA%2008-10-20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T2021-Uan/32-Truong%20MN%20VLA-2018/DT-MLVLA-05.03.2022/00-TDT-TMN%20Vinh%20Loc%20A.xlsx" TargetMode="External"/></Relationships>
</file>

<file path=xl/externalLinks/_rels/externalLink30.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19.%20HT%20AM%20THANH%20THONG%20BAO%2008-10-2024.xlsx" TargetMode="External"/><Relationship Id="rId2" Type="http://schemas.microsoft.com/office/2019/04/relationships/externalLinkLongPath" Target="19.%20HT%20AM%20THANH%20THONG%20BAO%2008-10-2024.xlsx?178D4D92" TargetMode="External"/><Relationship Id="rId1" Type="http://schemas.openxmlformats.org/officeDocument/2006/relationships/externalLinkPath" Target="file:///\\178D4D92\19.%20HT%20AM%20THANH%20THONG%20BAO%2008-10-2024.xlsx" TargetMode="External"/></Relationships>
</file>

<file path=xl/externalLinks/_rels/externalLink31.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241124%20D&#7920;%20TO&#193;N%20TTVH%20H&#211;C%20M&#212;N\241111%20D&#7920;%20TO&#193;N%20TTVH%20H&#211;C%20M&#212;N\20.%20DUONG%20NOI%20BO%20+%20BO%20VIA%20+%20SAN%2008-10-2024.xlsx" TargetMode="External"/><Relationship Id="rId2" Type="http://schemas.microsoft.com/office/2019/04/relationships/externalLinkLongPath" Target="20.%20DUONG%20NOI%20BO%20+%20BO%20VIA%20+%20SAN%2008-10-2024.xlsx?178D4D92" TargetMode="External"/><Relationship Id="rId1" Type="http://schemas.openxmlformats.org/officeDocument/2006/relationships/externalLinkPath" Target="file:///\\178D4D92\20.%20DUONG%20NOI%20BO%20+%20BO%20VIA%20+%20SAN%2008-10-2024.xlsx" TargetMode="External"/></Relationships>
</file>

<file path=xl/externalLinks/_rels/externalLink32.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241124%20D&#7920;%20TO&#193;N%20TTVH%20H&#211;C%20M&#212;N\241111%20D&#7920;%20TO&#193;N%20TTVH%20H&#211;C%20M&#212;N\21.%20CAY%20XANH%2008-10-2024.xlsx" TargetMode="External"/><Relationship Id="rId2" Type="http://schemas.microsoft.com/office/2019/04/relationships/externalLinkLongPath" Target="21.%20CAY%20XANH%2008-10-2024.xlsx?178D4D92" TargetMode="External"/><Relationship Id="rId1" Type="http://schemas.openxmlformats.org/officeDocument/2006/relationships/externalLinkPath" Target="file:///\\178D4D92\21.%20CAY%20XANH%2008-10-2024.xlsx" TargetMode="External"/></Relationships>
</file>

<file path=xl/externalLinks/_rels/externalLink33.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8-10-2024\241018%20D&#7920;%20TO&#193;N%20TTVH%20H&#211;C%20M&#212;N\22.%20CONG%20+%20TUONG%20RAO%2008-10-2024.xlsx" TargetMode="External"/><Relationship Id="rId2" Type="http://schemas.microsoft.com/office/2019/04/relationships/externalLinkLongPath" Target="22.%20CONG%20+%20TUONG%20RAO%2008-10-2024.xlsx?178D4D92" TargetMode="External"/><Relationship Id="rId1" Type="http://schemas.openxmlformats.org/officeDocument/2006/relationships/externalLinkPath" Target="file:///\\178D4D92\22.%20CONG%20+%20TUONG%20RAO%2008-10-2024.xlsx" TargetMode="External"/></Relationships>
</file>

<file path=xl/externalLinks/_rels/externalLink34.xml.rels><?xml version="1.0" encoding="UTF-8" standalone="yes"?>
<Relationships xmlns="http://schemas.openxmlformats.org/package/2006/relationships"><Relationship Id="rId3" Type="http://schemas.openxmlformats.org/officeDocument/2006/relationships/externalLinkPath" Target="file:///D:\HUNG\H&#211;C%20M&#212;N\241016%20THVH%20H&#211;A%20HUY&#7878;N%20H&#211;C%20M&#212;N\8-10-2024\241023%20D&#7920;%20TO&#193;N%20TTVH%20H&#211;C%20M&#212;N\23.%20HT%20PCCC%20+%20THONG%20GIO%2021-10-2024.xlsx" TargetMode="External"/><Relationship Id="rId2" Type="http://schemas.microsoft.com/office/2019/04/relationships/externalLinkLongPath" Target="23.%20HT%20PCCC%20+%20THONG%20GIO%2021-10-2024.xlsx?178D4D92" TargetMode="External"/><Relationship Id="rId1" Type="http://schemas.openxmlformats.org/officeDocument/2006/relationships/externalLinkPath" Target="file:///\\178D4D92\23.%20HT%20PCCC%20+%20THONG%20GIO%2021-10-2024.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E:\0.%20CONG%20TY%20SAMCONS\25.%20S&#7916;A%20CH&#7918;A%20H&#200;%202023\B&#225;o%20gi&#225;\vatlieu-goc-2662023.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0.%20CONG%20TY%20SAMCONS\20.%20S&#194;N%20V&#7852;N%20&#272;&#7896;NG%20TH&#7898;I%20T&#7912;\H&#7891;%20s&#417;%20m&#7901;i%20th&#7847;u\06.%20D&#7921;%20to&#225;n%20END%20DPP%201170\B&#7842;N%20G&#7888;C\Du%20toan%20Thoi%20Tu%202966\000%20GIA%20VAT%20TU%201.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Doan\Downloads\DANH%20MUC%20THIET%20BI%20%20BA%20_I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T2016-Uan/Truong%20THCS%20THoi%20Tam%20Thon%20I/HS-15-12-2016-TTT1/DT-TTHCSTTT1-13-1-2017/DT-TTHCS%20TTT1-Excel-KS-13-1-2017/8-HT%20DHKK-TTHCS%20THOI%20TAM%20THON%20I-HM-HC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T2016-Uan/Truong%20THCS%20THoi%20Tam%20Thon%20I/HS-15-12-2016-TTT1/DT-TTHCSTTT1-13-1-2017/DT-TTHCS%20TTT1-Excel-KS-13-1-2017/9-HT%20TTLL-TTHCS%20THOI%20TAM%20THON%20I-HM-HCM.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T2016-Uan/Truong%20THCS%20THoi%20Tam%20Thon%20I/HS-15-12-2016-TTT1/DT-TTHCSTTT1-13-1-2017/DT-TTHCS%20TTT1-Excel-KS-13-1-2017/11-HT%20PCCC-TTHCS%20THOI%20TAM%20THON%20I-HM-HCM.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T2016-Uan/Truong%20THCS%20THoi%20Tam%20Thon%20I/HS-15-12-2016-TTT1/DT-TTHCSTTT1-13-1-2017/DT-TTHCS%20TTT1-Excel-KS-13-1-2017/12-San%20nen-TTHCS%20THOI%20TAM%20THON%20I-HM-HCM.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T2016-Uan/Truong%20THCS%20THoi%20Tam%20Thon%20I/HS-15-12-2016-TTT1/DT-TTHCSTTT1-13-1-2017/DT-TTHCS%20TTT1-Excel-KS-13-1-2017/13-Nha%20xe-TTHCS%20THOI%20TAM%20THON%20I-HM-HC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0.%20CONG%20TY%20SAMCONS\28.%20H&#7890;%20S&#416;%20M&#7898;I%20TH&#416;I%20TAM%20TH&#212;N%20+%20NH&#192;%20V&#258;N%20H&#211;A\1.%20TH&#7898;I%20TAM%20TH&#212;N\D&#7920;%20TO&#193;N%20M&#7898;I\D&#7921;%20to&#225;n%20Th&#7899;i%20Tam%20Th&#244;n%20-%20Ch&#7841;y%20l&#7841;i%202024\Ch&#7841;y%20n&#259;m%202023\12.%20HT%20PCC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Bia"/>
      <sheetName val="2.Cancu"/>
      <sheetName val="3.BiaT"/>
      <sheetName val="4.THKP"/>
      <sheetName val="5.THCPXDTB"/>
      <sheetName val="5.THCPXDTB1"/>
      <sheetName val="6.TB"/>
      <sheetName val="6.DP2"/>
      <sheetName val="6.THCPTBXD"/>
      <sheetName val="7.Thong tin chung"/>
      <sheetName val="CSG Quang Binh"/>
      <sheetName val="SL"/>
      <sheetName val="PL VIII"/>
      <sheetName val="PL1-Thang may"/>
      <sheetName val="PL8-May phat dien"/>
      <sheetName val="PL10-Noi that phong mo"/>
      <sheetName val="PL13-HT goi y ta"/>
      <sheetName val="PL4a"/>
      <sheetName val="NOI SUY"/>
    </sheetNames>
    <sheetDataSet>
      <sheetData sheetId="0"/>
      <sheetData sheetId="1" refreshError="1"/>
      <sheetData sheetId="2"/>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Setting"/>
      <sheetName val="TT17_PL3"/>
      <sheetName val="TT17_PL2"/>
      <sheetName val="QuydoiNC"/>
      <sheetName val="LuongNC"/>
      <sheetName val="TM"/>
      <sheetName val="Du toan"/>
      <sheetName val="Phan tich vat tu"/>
      <sheetName val="Gia tri vat tu"/>
      <sheetName val="Dutoan_Nhom"/>
      <sheetName val="GiaVua"/>
      <sheetName val="THKP"/>
      <sheetName val="THKP_Nhom"/>
      <sheetName val="THKP_Doc"/>
      <sheetName val="Tong hop kinh phi"/>
      <sheetName val="Tong hop kinh phi_KS"/>
      <sheetName val="THKP_KS"/>
      <sheetName val="THKP_DVCI"/>
      <sheetName val="Tong hop kinh phi  _DVCI"/>
      <sheetName val="DGCT_Thugon"/>
      <sheetName val="Don gia chi tiet"/>
      <sheetName val="Du thau"/>
      <sheetName val="DT Goi thau XD"/>
      <sheetName val="DP2C"/>
      <sheetName val="TH_CPXD"/>
      <sheetName val="TH_CPTB"/>
      <sheetName val="DP2A"/>
      <sheetName val="TMDT"/>
      <sheetName val="DP2B"/>
      <sheetName val="Tong hop DT XDCT"/>
      <sheetName val="DT Goi thau TB"/>
      <sheetName val="DP2C_TB"/>
      <sheetName val="DT Goi thau LDTB"/>
      <sheetName val="DP2C_LDTB"/>
      <sheetName val="SBTMDT"/>
      <sheetName val="Bia du toan"/>
      <sheetName val="PTVT_VCLC"/>
      <sheetName val="THVT_VCLC"/>
      <sheetName val="PTVT_BX"/>
      <sheetName val="THVT_BX"/>
      <sheetName val="PTVT_VC"/>
      <sheetName val="THVT_VC"/>
      <sheetName val="Chi phi van chuyen"/>
      <sheetName val="CuocVC"/>
      <sheetName val="CP Khac cuoc VC"/>
      <sheetName val="CPVC _Sieu truong"/>
      <sheetName val="Cuoc Bo sung"/>
      <sheetName val="Chi phi trung chuyen"/>
      <sheetName val="CPVC_DenChanCT"/>
      <sheetName val="CPVC_12"/>
      <sheetName val="CPVC_10"/>
      <sheetName val="CPTC_10"/>
      <sheetName val="Cuoc_10"/>
      <sheetName val="CPVC_588"/>
      <sheetName val="Cuoc_588"/>
      <sheetName val="CPTC_588"/>
      <sheetName val="CTCM_VC"/>
      <sheetName val="BuGCM_VC"/>
      <sheetName val="BuNLTL_VC"/>
      <sheetName val="NC_TC"/>
      <sheetName val="PT_BVC_CV"/>
      <sheetName val="LuongCNXD_Tong"/>
      <sheetName val="LuongCN_XD"/>
      <sheetName val="LuongCN_XD1"/>
      <sheetName val="LuongCN_TT10"/>
      <sheetName val="LuongCN_XD2"/>
      <sheetName val="Phan tich ca may"/>
      <sheetName val="LuongCNLM_Tong"/>
      <sheetName val="LuongCN_LaiMay1"/>
      <sheetName val="LuongCNLM_TT10"/>
      <sheetName val="LuongCN_LaiMay2"/>
      <sheetName val="LuongCN_LaiMay"/>
      <sheetName val="Chiet tinh don gia may"/>
      <sheetName val="Bu gia may"/>
      <sheetName val="Bu NL_TL"/>
      <sheetName val="Dau vao ca may"/>
      <sheetName val="Phan tich bu ca may"/>
      <sheetName val="LuongCN"/>
      <sheetName val="HMC_Goithau"/>
      <sheetName val="CongNhat"/>
      <sheetName val="Tamtinh"/>
      <sheetName val="DGCT_Goithau"/>
      <sheetName val="Duthau_HM"/>
      <sheetName val="HD_Trongoi"/>
      <sheetName val="HD_DGCodinh"/>
      <sheetName val="HD_DGDieuchinh"/>
      <sheetName val="NT_GD"/>
      <sheetName val="QLNT"/>
      <sheetName val="PL03a_A"/>
      <sheetName val="PL08b"/>
      <sheetName val="PL03a"/>
      <sheetName val="QLTU"/>
      <sheetName val="Thamdinh_Dutoan"/>
      <sheetName val="Thamdinh_Phantichvattu"/>
      <sheetName val="Thamtra_GTVT"/>
      <sheetName val="Thamdinh_VL"/>
      <sheetName val="ThamDinh_NC"/>
      <sheetName val="Thamdinh_MTC"/>
      <sheetName val="THCP TVX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32">
          <cell r="F32">
            <v>1216141262.4420259</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Bia"/>
      <sheetName val="3.BiaT"/>
      <sheetName val="BÌA"/>
      <sheetName val="TM"/>
      <sheetName val="DTCBĐT"/>
      <sheetName val="TMĐT"/>
      <sheetName val="XD-TB"/>
      <sheetName val="BCĐXĐT"/>
      <sheetName val="TBGD"/>
      <sheetName val="AT-AS"/>
      <sheetName val="HT ĐHKK&amp;TG"/>
      <sheetName val="PCCC"/>
      <sheetName val="XLNT"/>
      <sheetName val="Đơn giá áp dụng"/>
      <sheetName val="tt"/>
      <sheetName val="Sheet1"/>
      <sheetName val="TRƯỢT GIÁ"/>
      <sheetName val="Thâm địn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2">
          <cell r="H22">
            <v>969982913</v>
          </cell>
        </row>
      </sheetData>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etting"/>
      <sheetName val="THKP"/>
      <sheetName val="Gia tri vat tu"/>
      <sheetName val="Du toan"/>
      <sheetName val="Phan tich vat tu"/>
      <sheetName val="Dutoan_Nhom"/>
      <sheetName val="GiaVua"/>
      <sheetName val="THKP_Nhom"/>
      <sheetName val="THKP_Doc"/>
      <sheetName val="Tong hop kinh phi"/>
      <sheetName val="Tong hop kinh phi_KS"/>
      <sheetName val="THKP_KS"/>
      <sheetName val="THKP_KS_tt17"/>
      <sheetName val="Tong hop kinh phi_KS_tt17"/>
      <sheetName val="THKP_DVCI"/>
      <sheetName val="THKP_DVCI TT14"/>
      <sheetName val="Tong hop kinh phi DVCI TT14"/>
      <sheetName val="Tong hop kinh phi  _DVCI"/>
      <sheetName val="DGCT_Thugon"/>
      <sheetName val="Don gia chi tiet"/>
      <sheetName val="Du thau"/>
      <sheetName val="Bia du toan"/>
      <sheetName val="Config"/>
      <sheetName val="TM"/>
      <sheetName val="DT Goi thau XD"/>
      <sheetName val="CP HMC"/>
      <sheetName val="DP2C"/>
      <sheetName val="TH_CPXD"/>
      <sheetName val="TH_CPTB"/>
      <sheetName val="TMDT"/>
      <sheetName val="DP2A"/>
      <sheetName val="DP2B"/>
      <sheetName val="Tong hop DT XDCT"/>
      <sheetName val="DP2C_TB"/>
      <sheetName val="DT Goi thau TB"/>
      <sheetName val="SBTMDT"/>
      <sheetName val="PTVT_VCLC"/>
      <sheetName val="THVT_VCLC"/>
      <sheetName val="PTVT_BX"/>
      <sheetName val="THVT_BX"/>
      <sheetName val="PTVT_VC"/>
      <sheetName val="THVT_VC"/>
      <sheetName val="Chi phi van chuyen"/>
      <sheetName val="CuocVC"/>
      <sheetName val="CP Khac cuoc VC"/>
      <sheetName val="CPVC _Sieu truong"/>
      <sheetName val="Cuoc Bo sung"/>
      <sheetName val="Chi phi trung chuyen"/>
      <sheetName val="CPVC_DenChanCT"/>
      <sheetName val="CPVC_588"/>
      <sheetName val="CuocDM"/>
      <sheetName val="CPTC_588"/>
      <sheetName val="CTCM_VC"/>
      <sheetName val="BuGCM_VC"/>
      <sheetName val="BuNLTL_VC"/>
      <sheetName val="NC_TC"/>
      <sheetName val="PT_BVC_CV"/>
      <sheetName val="LuongCNXD_Tong"/>
      <sheetName val="LuongCN_XD"/>
      <sheetName val="LuongCN_XD1"/>
      <sheetName val="LuongCN_XD2"/>
      <sheetName val="Phan tich ca may"/>
      <sheetName val="LuongCNLM_Tong"/>
      <sheetName val="LuongCN_LaiMay1"/>
      <sheetName val="LuongCN_LaiMay2"/>
      <sheetName val="LuongCN_LaiMay"/>
      <sheetName val="Chiet tinh don gia may"/>
      <sheetName val="Bu gia may"/>
      <sheetName val="Bu NL_TL"/>
      <sheetName val="Dau vao ca may"/>
      <sheetName val="Phan tich bu ca may"/>
      <sheetName val="LuongCN"/>
      <sheetName val="HMC_Goithau"/>
      <sheetName val="CongNhat"/>
      <sheetName val="Tamtinh"/>
      <sheetName val="DGCT_Goithau"/>
      <sheetName val="Duthau_HM"/>
      <sheetName val="HD_Trongoi"/>
      <sheetName val="HD_DGCodinh"/>
      <sheetName val="HD_DGDieuchinh"/>
      <sheetName val="NT_GD"/>
      <sheetName val="QLNT"/>
      <sheetName val="PL03a_A"/>
      <sheetName val="PL03a"/>
      <sheetName val="QLTU"/>
      <sheetName val="Thamdinh_Dutoan"/>
      <sheetName val="Thamdinh_Phantichvattu"/>
      <sheetName val="Thamtra_GTVT"/>
      <sheetName val="Thamdinh_VL"/>
      <sheetName val="ThamDinh_NC"/>
      <sheetName val="Thamdinh_MTC"/>
    </sheetNames>
    <sheetDataSet>
      <sheetData sheetId="0"/>
      <sheetData sheetId="1">
        <row r="33">
          <cell r="F33">
            <v>15062064552.139397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H21">
            <v>1196999586.9780567</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1285139918.6798341</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281677032.16772449</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390770817.11927366</v>
          </cell>
        </row>
      </sheetData>
      <sheetData sheetId="13"/>
      <sheetData sheetId="14">
        <row r="8">
          <cell r="I8">
            <v>834192000</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658702591.69486034</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355276653.09488833</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36385567.30733835</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KP79"/>
      <sheetName val="Trượt giá"/>
      <sheetName val="Tra Cứu"/>
    </sheetNames>
    <sheetDataSet>
      <sheetData sheetId="0"/>
      <sheetData sheetId="1"/>
      <sheetData sheetId="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15431758.435930384</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H21">
            <v>4354304665.5439177</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103067374.30223122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36779184.277861133</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H21">
            <v>998399874.33597863</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47175235.982357107</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28936317.647392511</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H21">
            <v>1191190145.7300262</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1782018110.0968912</v>
          </cell>
        </row>
      </sheetData>
      <sheetData sheetId="13"/>
      <sheetData sheetId="14">
        <row r="19">
          <cell r="I19">
            <v>1111190400</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H21">
            <v>1468888540.8818955</v>
          </cell>
        </row>
      </sheetData>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Bia"/>
      <sheetName val="2-BiaT"/>
      <sheetName val="3-Cancu"/>
      <sheetName val="4-B THKP"/>
      <sheetName val="5-TGTHMUC"/>
      <sheetName val="6.TB Truong hoc"/>
      <sheetName val="TBA"/>
      <sheetName val="6.1-Goi Thau TCXD"/>
      <sheetName val="6.2-Goi Thau TBCDTH"/>
      <sheetName val="6.3-Goi Thau QLDA"/>
      <sheetName val="6.4-Goi Thau TV"/>
      <sheetName val="6.5-Goi Thau K"/>
      <sheetName val="7.DP2"/>
      <sheetName val="NS"/>
      <sheetName val="DL"/>
      <sheetName val="LOAI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40983189.695399292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3">
          <cell r="H23">
            <v>1125632925.5470793</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H21">
            <v>129976512.16965406</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5">
          <cell r="H25">
            <v>628386225.88996315</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ông trình"/>
      <sheetName val="Giá tháng"/>
      <sheetName val="Đầu vào"/>
      <sheetName val="Nhân công"/>
      <sheetName val="Máy"/>
      <sheetName val="HaoPhiVatTu"/>
      <sheetName val="Tổng hợp VT"/>
      <sheetName val="THVT gộp"/>
      <sheetName val="Cước VC"/>
      <sheetName val="Cước bộ"/>
      <sheetName val="Đơn giá chi tiết"/>
      <sheetName val="Giá tổng hợp"/>
      <sheetName val="THKP hạng mục"/>
      <sheetName val="TH chi phí XD"/>
      <sheetName val="TH chi phí TB"/>
      <sheetName val="HM chung"/>
      <sheetName val="Dự phòng"/>
      <sheetName val="TH kinh phí"/>
      <sheetName val="Chi tiết KL"/>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NhiênLiệu"/>
      <sheetName val="Thẩm định"/>
      <sheetName val="TH chi phí tư vấn"/>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Hệ số Pn"/>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H21">
            <v>2793892797.5386147</v>
          </cell>
        </row>
      </sheetData>
      <sheetData sheetId="13"/>
      <sheetData sheetId="14">
        <row r="27">
          <cell r="I27">
            <v>2409163020</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ngatang"/>
      <sheetName val="Quan 7"/>
      <sheetName val="VC (2)"/>
      <sheetName val="Nhà Bè"/>
      <sheetName val="VC"/>
      <sheetName val="Sheet1 (2)"/>
    </sheetNames>
    <sheetDataSet>
      <sheetData sheetId="0"/>
      <sheetData sheetId="1"/>
      <sheetData sheetId="2"/>
      <sheetData sheetId="3"/>
      <sheetData sheetId="4">
        <row r="16">
          <cell r="P16">
            <v>306832</v>
          </cell>
        </row>
        <row r="22">
          <cell r="P22">
            <v>1749.8150000000001</v>
          </cell>
        </row>
      </sheetData>
      <sheetData sheetId="5"/>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a vat tu"/>
      <sheetName val="GIA VL"/>
      <sheetName val="Gia VL 2891"/>
      <sheetName val="Gia VL 3384"/>
    </sheetNames>
    <sheetDataSet>
      <sheetData sheetId="0"/>
      <sheetData sheetId="1"/>
      <sheetData sheetId="2"/>
      <sheetData sheetId="3">
        <row r="2248">
          <cell r="D2248">
            <v>3810000</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eu"/>
      <sheetName val="bia DT"/>
      <sheetName val="tm"/>
      <sheetName val="Thuyetminh"/>
      <sheetName val="1.Tonghop- heco"/>
      <sheetName val="thdt"/>
      <sheetName val="thvt"/>
      <sheetName val="cuocvc"/>
      <sheetName val="dtct"/>
      <sheetName val="ptvt"/>
      <sheetName val="ptdgdt"/>
      <sheetName val="Tonghop TB"/>
      <sheetName val="Trang Thiet Bi"/>
      <sheetName val="Trang Thiet Bi (GOC)"/>
      <sheetName val="Tram Bien Ap (2)"/>
      <sheetName val="Trang Thiet Bi (2)"/>
      <sheetName val="Thiet bi-Bom r6"/>
      <sheetName val="Thiet bi-tram bien ap, MPD r6"/>
      <sheetName val="Thiet bi-busway R6"/>
      <sheetName val="Thiet bi-DHKK R6"/>
      <sheetName val="Thiet bi-thang may R6"/>
      <sheetName val="THCS (40HS)"/>
      <sheetName val="danh muc day hoc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317">
          <cell r="F317">
            <v>322146000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HDT"/>
      <sheetName val="BANG TIEN LUONG"/>
      <sheetName val="PTVT"/>
      <sheetName val="THVT"/>
    </sheetNames>
    <sheetDataSet>
      <sheetData sheetId="0">
        <row r="17">
          <cell r="D17">
            <v>2123704286.0763223</v>
          </cell>
        </row>
        <row r="22">
          <cell r="D22">
            <v>679060000</v>
          </cell>
        </row>
      </sheetData>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HDT"/>
      <sheetName val="BANG TIEN LUONG"/>
      <sheetName val="PTVT"/>
      <sheetName val="THVT"/>
    </sheetNames>
    <sheetDataSet>
      <sheetData sheetId="0">
        <row r="17">
          <cell r="D17">
            <v>271172532.25868416</v>
          </cell>
        </row>
        <row r="22">
          <cell r="D22">
            <v>74021000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HDT"/>
      <sheetName val="BANG TIEN LUONG"/>
      <sheetName val="PTVT"/>
      <sheetName val="THVT"/>
    </sheetNames>
    <sheetDataSet>
      <sheetData sheetId="0">
        <row r="18">
          <cell r="D18">
            <v>1011342398.7335625</v>
          </cell>
        </row>
        <row r="21">
          <cell r="D21">
            <v>308757460</v>
          </cell>
        </row>
      </sheetData>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XL"/>
      <sheetName val="BANG TIEN LUONG"/>
      <sheetName val="BANG PTVT"/>
      <sheetName val="THVT"/>
      <sheetName val="Sheet1"/>
    </sheetNames>
    <sheetDataSet>
      <sheetData sheetId="0">
        <row r="17">
          <cell r="D17">
            <v>2358431605.6297512</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 XL"/>
      <sheetName val="BANGTIENLUONG"/>
      <sheetName val="PTVT"/>
      <sheetName val="THVT"/>
    </sheetNames>
    <sheetDataSet>
      <sheetData sheetId="0">
        <row r="17">
          <cell r="D17">
            <v>1174692639.2541254</v>
          </cell>
        </row>
      </sheetData>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Setting"/>
      <sheetName val="TT17_PL3"/>
      <sheetName val="TT17_PL2"/>
      <sheetName val="QuydoiNC"/>
      <sheetName val="LuongNC"/>
      <sheetName val="TM"/>
      <sheetName val="TH CHI PHI"/>
      <sheetName val="THCP THIET BI"/>
      <sheetName val="Du toan"/>
      <sheetName val="Phan tich vat tu"/>
      <sheetName val="Gia tri vat tu"/>
      <sheetName val="Dutoan_Nhom"/>
      <sheetName val="GiaVua"/>
      <sheetName val="THKP"/>
      <sheetName val="THKP_Nhom"/>
      <sheetName val="THKP_Doc"/>
      <sheetName val="Tong hop kinh phi"/>
      <sheetName val="Tong hop kinh phi_KS"/>
      <sheetName val="THKP_KS"/>
      <sheetName val="THKP_DVCI"/>
      <sheetName val="Tong hop kinh phi  _DVCI"/>
      <sheetName val="DGCT_Thugon"/>
      <sheetName val="Don gia chi tiet"/>
      <sheetName val="Du thau"/>
      <sheetName val="DT Goi thau XD"/>
      <sheetName val="DP2C"/>
      <sheetName val="TH_CPXD"/>
      <sheetName val="TH_CPTB"/>
      <sheetName val="DP2A"/>
      <sheetName val="TMDT"/>
      <sheetName val="DP2B"/>
      <sheetName val="Tong hop DT XDCT"/>
      <sheetName val="DT Goi thau TB"/>
      <sheetName val="DP2C_TB"/>
      <sheetName val="DT Goi thau LDTB"/>
      <sheetName val="DP2C_LDTB"/>
      <sheetName val="SBTMDT"/>
      <sheetName val="Bia du toan"/>
      <sheetName val="PTVT_VCLC"/>
      <sheetName val="THVT_VCLC"/>
      <sheetName val="PTVT_BX"/>
      <sheetName val="THVT_BX"/>
      <sheetName val="PTVT_VC"/>
      <sheetName val="THVT_VC"/>
      <sheetName val="Chi phi van chuyen"/>
      <sheetName val="CuocVC"/>
      <sheetName val="CP Khac cuoc VC"/>
      <sheetName val="CPVC _Sieu truong"/>
      <sheetName val="Cuoc Bo sung"/>
      <sheetName val="Chi phi trung chuyen"/>
      <sheetName val="CPVC_DenChanCT"/>
      <sheetName val="CPVC_12"/>
      <sheetName val="CPVC_10"/>
      <sheetName val="CPTC_10"/>
      <sheetName val="Cuoc_10"/>
      <sheetName val="CPVC_588"/>
      <sheetName val="Cuoc_588"/>
      <sheetName val="CPTC_588"/>
      <sheetName val="CTCM_VC"/>
      <sheetName val="BuGCM_VC"/>
      <sheetName val="BuNLTL_VC"/>
      <sheetName val="NC_TC"/>
      <sheetName val="PT_BVC_CV"/>
      <sheetName val="LuongCNXD_Tong"/>
      <sheetName val="LuongCN_XD"/>
      <sheetName val="LuongCN_XD1"/>
      <sheetName val="LuongCN_TT10"/>
      <sheetName val="LuongCN_XD2"/>
      <sheetName val="Phan tich ca may"/>
      <sheetName val="LuongCNLM_Tong"/>
      <sheetName val="LuongCN_LaiMay1"/>
      <sheetName val="LuongCNLM_TT10"/>
      <sheetName val="LuongCN_LaiMay2"/>
      <sheetName val="LuongCN_LaiMay"/>
      <sheetName val="Chiet tinh don gia may"/>
      <sheetName val="Bu gia may"/>
      <sheetName val="Bu NL_TL"/>
      <sheetName val="Dau vao ca may"/>
      <sheetName val="Phan tich bu ca may"/>
      <sheetName val="LuongCN"/>
      <sheetName val="HMC_Goithau"/>
      <sheetName val="CongNhat"/>
      <sheetName val="Tamtinh"/>
      <sheetName val="DGCT_Goithau"/>
      <sheetName val="Duthau_HM"/>
      <sheetName val="HD_Trongoi"/>
      <sheetName val="HD_DGCodinh"/>
      <sheetName val="HD_DGDieuchinh"/>
      <sheetName val="NT_GD"/>
      <sheetName val="QLNT"/>
      <sheetName val="PL03a_A"/>
      <sheetName val="PL08b"/>
      <sheetName val="PL03a"/>
      <sheetName val="QLTU"/>
      <sheetName val="Thamdinh_Dutoan"/>
      <sheetName val="Thamdinh_Phantichvattu"/>
      <sheetName val="Thamtra_GTVT"/>
      <sheetName val="Thamdinh_VL"/>
      <sheetName val="ThamDinh_NC"/>
      <sheetName val="Thamdinh_MTC"/>
      <sheetName val="THCP TVXD"/>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C6">
            <v>1535607859.1372466</v>
          </cell>
        </row>
        <row r="7">
          <cell r="C7">
            <v>293188600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1.xml.rels><?xml version="1.0" encoding="UTF-8" standalone="yes"?>
<Relationships xmlns="http://schemas.openxmlformats.org/package/2006/relationships"><Relationship Id="rId26" Type="http://schemas.openxmlformats.org/officeDocument/2006/relationships/hyperlink" Target="https://toavietnam.net/715-dau-phat-nhac-nen-toa-md-200-as.html" TargetMode="External"/><Relationship Id="rId21" Type="http://schemas.openxmlformats.org/officeDocument/2006/relationships/hyperlink" Target="https://dienmayhaianh.vn/bang-gia-tong-hop-ong-dong-may-lanh/" TargetMode="External"/><Relationship Id="rId42" Type="http://schemas.openxmlformats.org/officeDocument/2006/relationships/hyperlink" Target="https://www.sieuthivienthong.com/rack-cabinet-19-inch-27u-series-b-ecp-27u600-b-23533.html" TargetMode="External"/><Relationship Id="rId47" Type="http://schemas.openxmlformats.org/officeDocument/2006/relationships/hyperlink" Target="https://www.anphatpc.com.vn/switch-tp-link-tl-sg1048-48-port-101001000mbps_id11477.html" TargetMode="External"/><Relationship Id="rId63" Type="http://schemas.openxmlformats.org/officeDocument/2006/relationships/hyperlink" Target="https://www.hoangquocbao.com/den-led-nha-xuong/den-led-150w---den-led-nha-xuong--den-led-hightbay-150w/?gad=1&amp;gclid=Cj0KCQjw0tKiBhC6ARIsAAOXutkpA3pS6QNjbdL5Ov5QIcRWzSI5DtPsuxJ6OM6UvyklE8VNFOUMVt0aApVZEALw_wcB" TargetMode="External"/><Relationship Id="rId68" Type="http://schemas.openxmlformats.org/officeDocument/2006/relationships/hyperlink" Target="https://betongmiennam.net/gia-xoa-nen-be-tong" TargetMode="External"/><Relationship Id="rId84" Type="http://schemas.openxmlformats.org/officeDocument/2006/relationships/hyperlink" Target="https://vankhinen.com/van-arv-malaysia/van-phao-pn16-dn50.html" TargetMode="External"/><Relationship Id="rId89" Type="http://schemas.openxmlformats.org/officeDocument/2006/relationships/drawing" Target="../drawings/drawing5.xml"/><Relationship Id="rId16" Type="http://schemas.openxmlformats.org/officeDocument/2006/relationships/hyperlink" Target="https://dienmayhaianh.vn/bang-gia-tong-hop-ong-dong-may-lanh/" TargetMode="External"/><Relationship Id="rId11" Type="http://schemas.openxmlformats.org/officeDocument/2006/relationships/hyperlink" Target="http://komax.net.vn/dong-ho-do-nuoc-sinh-hoat-komax/dong-ho-do-nuoc-dn50-komax-noi-mat-bich.html" TargetMode="External"/><Relationship Id="rId32" Type="http://schemas.openxmlformats.org/officeDocument/2006/relationships/hyperlink" Target="https://daihoaphu.vn/san-pham/hop-nut-nhan-kin-nuoc-ip67-hi-box-dspcg08111b1" TargetMode="External"/><Relationship Id="rId37" Type="http://schemas.openxmlformats.org/officeDocument/2006/relationships/hyperlink" Target="https://dienmaycholon.vn/tivi/android-tivi-itel-32-inch-hd-g3257" TargetMode="External"/><Relationship Id="rId53" Type="http://schemas.openxmlformats.org/officeDocument/2006/relationships/hyperlink" Target="https://thegioicapquang.com.vn/cap-quang-singlemode-4-core-4fo-c-322-328-4991.html" TargetMode="External"/><Relationship Id="rId58" Type="http://schemas.openxmlformats.org/officeDocument/2006/relationships/hyperlink" Target="https://andatphat.com.vn/bao-gia-ong-nhua-xoan-hdpe/?gclid=Cj0KCQjwr82iBhCuARIsAO0EAZwZ_NU24M6X7edErHtqxOu0XKvwFnO7pDmC84clWGxDQxXDKMwpJysaAnxtEALw_wcB" TargetMode="External"/><Relationship Id="rId74" Type="http://schemas.openxmlformats.org/officeDocument/2006/relationships/hyperlink" Target="https://vnsup.com/bo-khuech-dai-am-thanh-mixer-toa-a-2240/?gclid=Cj0KCQjwz8emBhDrARIsANNJjS5mEtkOM21CVmmPCGcbFHoN0NvHfImuO119gNkxotEcFZ9HRQnZzBwaAmm4EALw_wcB" TargetMode="External"/><Relationship Id="rId79" Type="http://schemas.openxmlformats.org/officeDocument/2006/relationships/hyperlink" Target="https://www.anphatpc.com.vn/switch-tp-link-tl-sg1048-48-port-101001000mbps_id11477.html" TargetMode="External"/><Relationship Id="rId5" Type="http://schemas.openxmlformats.org/officeDocument/2006/relationships/hyperlink" Target="https://boninoxdaithanh.com.vn/bon-nuoc-inox-dai-thanh-200/bon-inox-tan-thanh-ngang/bon-inox-tan-thanh-5000l-ngang.html" TargetMode="External"/><Relationship Id="rId90" Type="http://schemas.openxmlformats.org/officeDocument/2006/relationships/vmlDrawing" Target="../drawings/vmlDrawing4.vml"/><Relationship Id="rId14" Type="http://schemas.openxmlformats.org/officeDocument/2006/relationships/hyperlink" Target="https://dienmayhaianh.vn/bang-gia-tong-hop-ong-dong-may-lanh/" TargetMode="External"/><Relationship Id="rId22" Type="http://schemas.openxmlformats.org/officeDocument/2006/relationships/hyperlink" Target="https://codienhaiau.com/product/chong-set-lan-truyen-schneider-a9l40600/?gclid=CjwKCAjwjMiiBhA4EiwAZe6jQ2Fd0uu4UlzUgJy1tt8qJNhTxru7XOHJ5Quqx1WRB-kCY1kXOPlEZhoCdQIQAvD_BwE" TargetMode="External"/><Relationship Id="rId27" Type="http://schemas.openxmlformats.org/officeDocument/2006/relationships/hyperlink" Target="https://toavietnam.net/169-micro-khong-day-cam-tay-uhf-toa-wm-5225.html" TargetMode="External"/><Relationship Id="rId30" Type="http://schemas.openxmlformats.org/officeDocument/2006/relationships/hyperlink" Target="https://www.sieuthivienthong.com/camera-ip-hong-ngoai-khong-day-2.0-megapixel-hikvision-ds-2cv1021g0-idw1d-32712.html" TargetMode="External"/><Relationship Id="rId35" Type="http://schemas.openxmlformats.org/officeDocument/2006/relationships/hyperlink" Target="https://toavietnam.net/222-vanh-loa-nen-toa-th-652.html" TargetMode="External"/><Relationship Id="rId43" Type="http://schemas.openxmlformats.org/officeDocument/2006/relationships/hyperlink" Target="https://www.sieuthivienthong.com/rack-cabinet-19-inch-15u-series-c-ecp-15u600-c-3024.html" TargetMode="External"/><Relationship Id="rId48" Type="http://schemas.openxmlformats.org/officeDocument/2006/relationships/hyperlink" Target="https://www.anphat.vn/san-pham/switch/switch-managed/draytek-vigorswitch-g1080" TargetMode="External"/><Relationship Id="rId56" Type="http://schemas.openxmlformats.org/officeDocument/2006/relationships/hyperlink" Target="https://andatphat.com.vn/bao-gia-ong-nhua-xoan-hdpe/?gclid=Cj0KCQjwr82iBhCuARIsAO0EAZwZ_NU24M6X7edErHtqxOu0XKvwFnO7pDmC84clWGxDQxXDKMwpJysaAnxtEALw_wcB" TargetMode="External"/><Relationship Id="rId64" Type="http://schemas.openxmlformats.org/officeDocument/2006/relationships/hyperlink" Target="https://www.hoangquocbao.com/den-led-nha-xuong/den-led-100w---den-led-nha-xuong--den-led-hightbay-100w/?gad=1&amp;gclid=Cj0KCQjw0tKiBhC6ARIsAAOXutlTfd-RAlGsNkots1BE1buVeAOWytMWDSeqAaxluET7dt-aBce88ZgaAmMOEALw_wcB" TargetMode="External"/><Relationship Id="rId69" Type="http://schemas.openxmlformats.org/officeDocument/2006/relationships/hyperlink" Target="https://www.mpe.com.vn/bong-den-led-tube-nhom-t8-mpe-1m2" TargetMode="External"/><Relationship Id="rId77" Type="http://schemas.openxmlformats.org/officeDocument/2006/relationships/hyperlink" Target="https://camerahik.vn/ds-7616ni-k1b/" TargetMode="External"/><Relationship Id="rId8" Type="http://schemas.openxmlformats.org/officeDocument/2006/relationships/hyperlink" Target="https://www.tdm.vn/pheu-thoat-san-CAESAR-F2323A.html" TargetMode="External"/><Relationship Id="rId51" Type="http://schemas.openxmlformats.org/officeDocument/2006/relationships/hyperlink" Target="https://www.sieuthivienthong.com/ceiling-mount-access-point-ruijie-rg-rap2200f-48262.html" TargetMode="External"/><Relationship Id="rId72" Type="http://schemas.openxmlformats.org/officeDocument/2006/relationships/hyperlink" Target="https://www.sieuthivienthong.com/mixer-amplifier-240w-chon-5-vung-loa-toa-vm-2240-4759.html?gclid=CjwKCAjwjMiiBhA4EiwAZe6jQ8bvLfAfuuP9heFS68BwoDxrBOEJS1gGHPMBNP-8WvgwRg3vSsMDRRoCWDIQAvD_BwE" TargetMode="External"/><Relationship Id="rId80" Type="http://schemas.openxmlformats.org/officeDocument/2006/relationships/hyperlink" Target="https://www.sieuthivienthong.com/tong-dai-panasonic-kx-tes824-05-line-vao-16-may-ra-8215.html?gclid=Cj0KCQjwz8emBhDrARIsANNJjS4dzlmFqRk0Jt7h_xPY31dqR9d43T6QsXBIuSkiczu_UGUNY3NA7zYaAmHfEALw_wcB" TargetMode="External"/><Relationship Id="rId85" Type="http://schemas.openxmlformats.org/officeDocument/2006/relationships/hyperlink" Target="https://vankhinen.com/van-arv-malaysia/van-phao-pn16-dn50.html" TargetMode="External"/><Relationship Id="rId3" Type="http://schemas.openxmlformats.org/officeDocument/2006/relationships/hyperlink" Target="https://www.sieuthivienthong.com/cap-tin-hieu-van-xoan-chong-nhieu-2-lop-16-awg-1-pair-altek-kabel-38726.html" TargetMode="External"/><Relationship Id="rId12" Type="http://schemas.openxmlformats.org/officeDocument/2006/relationships/hyperlink" Target="https://dienmayhaianh.vn/bang-gia-tong-hop-ong-dong-may-lanh/" TargetMode="External"/><Relationship Id="rId17" Type="http://schemas.openxmlformats.org/officeDocument/2006/relationships/hyperlink" Target="https://dienmayhaianh.vn/bang-gia-tong-hop-ong-dong-may-lanh/" TargetMode="External"/><Relationship Id="rId25" Type="http://schemas.openxmlformats.org/officeDocument/2006/relationships/hyperlink" Target="https://www.sieuthivienthong.com/bo-micro-khong-day-1-kenh-toa-ws-420-as-53195.html" TargetMode="External"/><Relationship Id="rId33" Type="http://schemas.openxmlformats.org/officeDocument/2006/relationships/hyperlink" Target="https://thietbiquang.net/hop-phoi-quang-odf-16fo-trong-nha-day-du-phu-kien-c-324-337-5280.html" TargetMode="External"/><Relationship Id="rId38" Type="http://schemas.openxmlformats.org/officeDocument/2006/relationships/hyperlink" Target="https://thegioidien.com/sanpham/5/2926/Bien-dong-bao-ve-PCT-150-5A-CL-5P10-5VA--tron-.aspx" TargetMode="External"/><Relationship Id="rId46" Type="http://schemas.openxmlformats.org/officeDocument/2006/relationships/hyperlink" Target="https://www.anphat.vn/san-pham/switch-poe/aptek-sf1163p-switch-16-port-poe-un-managed" TargetMode="External"/><Relationship Id="rId59" Type="http://schemas.openxmlformats.org/officeDocument/2006/relationships/hyperlink" Target="https://andatphat.com.vn/bao-gia-ong-nhua-xoan-hdpe/?gclid=Cj0KCQjwr82iBhCuARIsAO0EAZwZ_NU24M6X7edErHtqxOu0XKvwFnO7pDmC84clWGxDQxXDKMwpJysaAnxtEALw_wcB" TargetMode="External"/><Relationship Id="rId67" Type="http://schemas.openxmlformats.org/officeDocument/2006/relationships/hyperlink" Target="https://rangdong.com.vn/den-led-am-tran-downlight-12w-pr267.html" TargetMode="External"/><Relationship Id="rId20" Type="http://schemas.openxmlformats.org/officeDocument/2006/relationships/hyperlink" Target="https://dienmayhaianh.vn/bang-gia-tong-hop-ong-dong-may-lanh/" TargetMode="External"/><Relationship Id="rId41" Type="http://schemas.openxmlformats.org/officeDocument/2006/relationships/hyperlink" Target="https://codienhaiau.com/product/tu-bu-samwha-smb-4150250kt-25kvar-3-pha-415v-tu-dau/" TargetMode="External"/><Relationship Id="rId54" Type="http://schemas.openxmlformats.org/officeDocument/2006/relationships/hyperlink" Target="https://www.thegioidien.com/sanpham/5/23177/Bien-dong-do-luong-MCT-150-5A-CL-0-5-5VA--tron-.aspx" TargetMode="External"/><Relationship Id="rId62" Type="http://schemas.openxmlformats.org/officeDocument/2006/relationships/hyperlink" Target="https://www.sieuthivienthong.com/patch-panel-24-port-commscope-cat6-760237040-9-1375055-2-22667.html?gclid=Cj0KCQjwr82iBhCuARIsAO0EAZyaz4wM_VC5QKVN57jmuXhHvj3Mp2o1ZPWUR93b3KnYVGDo7b6KguQaAgS0EALw_wcB" TargetMode="External"/><Relationship Id="rId70" Type="http://schemas.openxmlformats.org/officeDocument/2006/relationships/hyperlink" Target="https://www.mpe.com.vn/bong-den-led-tube-nhom-t8-mpe-1m2" TargetMode="External"/><Relationship Id="rId75" Type="http://schemas.openxmlformats.org/officeDocument/2006/relationships/hyperlink" Target="https://www.sieuthivienthong.com/bo-phat-tin-nhan-khan-cap-toa-fv-200ev-as-22429.html?gclid=Cj0KCQjwz8emBhDrARIsANNJjS5BD11DaxdnJsDgZXrdhKASRNckWfoowqnD5GuvcDmcTw6OM8JyhGAaArsUEALw_wcB" TargetMode="External"/><Relationship Id="rId83" Type="http://schemas.openxmlformats.org/officeDocument/2006/relationships/hyperlink" Target="https://www.tdm.vn/van-xa-bon-tieu-nam-inax-uf-7v.html" TargetMode="External"/><Relationship Id="rId88" Type="http://schemas.openxmlformats.org/officeDocument/2006/relationships/hyperlink" Target="https://lotech.com.vn/Bao-Gia-Vo-Tu-Dien-Composite-3399Sp.html" TargetMode="External"/><Relationship Id="rId91" Type="http://schemas.openxmlformats.org/officeDocument/2006/relationships/comments" Target="../comments4.xml"/><Relationship Id="rId1" Type="http://schemas.openxmlformats.org/officeDocument/2006/relationships/hyperlink" Target="file:///C:\Users\Binh\Documents\Zalo%20Received%20Files\Gia\Bao%20gia%20may%20lanh%20Pana.pdf" TargetMode="External"/><Relationship Id="rId6" Type="http://schemas.openxmlformats.org/officeDocument/2006/relationships/hyperlink" Target="https://www.tdm.vn/bo-xa-lavabo-inax-a-325ps-nhua.html" TargetMode="External"/><Relationship Id="rId15" Type="http://schemas.openxmlformats.org/officeDocument/2006/relationships/hyperlink" Target="https://dienmayhaianh.vn/bang-gia-tong-hop-ong-dong-may-lanh/" TargetMode="External"/><Relationship Id="rId23" Type="http://schemas.openxmlformats.org/officeDocument/2006/relationships/hyperlink" Target="https://vnsup.com/bo-khuech-dai-quan-ly-he-thong-toa-vm-2240/?gclid=CjwKCAjwjMiiBhA4EiwAZe6jQ6iiMOFh8zY6Mby6NcI5VqwWuzkakTVw6gxEyuibJou1FlyTsgVWHBoChVwQAvD_BwE" TargetMode="External"/><Relationship Id="rId28" Type="http://schemas.openxmlformats.org/officeDocument/2006/relationships/hyperlink" Target="https://thietbibenthanh.com/thanh-cai-tu-dien-busbar-5866-15.html" TargetMode="External"/><Relationship Id="rId36" Type="http://schemas.openxmlformats.org/officeDocument/2006/relationships/hyperlink" Target="https://toavietnam.net/183-loa-hop-treo-tuong-10w-toa-bs-1034.html" TargetMode="External"/><Relationship Id="rId49" Type="http://schemas.openxmlformats.org/officeDocument/2006/relationships/hyperlink" Target="https://cellphones.com.vn/router-wifi-tp-link-archer-ax10-wifi-6.html?gclid=CjwKCAjwjMiiBhA4EiwAZe6jQ--GLg5BDoAxfyIv5mBi0csrB7FqDmH87Fs0lZ-y6qS5aRU4bEhm5hoCdtoQAvD_BwE" TargetMode="External"/><Relationship Id="rId57" Type="http://schemas.openxmlformats.org/officeDocument/2006/relationships/hyperlink" Target="https://andatphat.com.vn/bao-gia-ong-nhua-xoan-hdpe/?gclid=Cj0KCQjwr82iBhCuARIsAO0EAZwZ_NU24M6X7edErHtqxOu0XKvwFnO7pDmC84clWGxDQxXDKMwpJysaAnxtEALw_wcB" TargetMode="External"/><Relationship Id="rId10" Type="http://schemas.openxmlformats.org/officeDocument/2006/relationships/hyperlink" Target="https://www.tdm.vn/day-cap-toto-h260033-1.html" TargetMode="External"/><Relationship Id="rId31" Type="http://schemas.openxmlformats.org/officeDocument/2006/relationships/hyperlink" Target="https://codienhaiau.com/product/vo-cau-chi-chint-rt28n-32x-1p-32a-500v/" TargetMode="External"/><Relationship Id="rId44" Type="http://schemas.openxmlformats.org/officeDocument/2006/relationships/hyperlink" Target="https://www.sieuthivienthong.com/tu-treo-tuong-wall-mount-rack-9u-ecp-wm9uw550c-3020.html" TargetMode="External"/><Relationship Id="rId52" Type="http://schemas.openxmlformats.org/officeDocument/2006/relationships/hyperlink" Target="https://phongvu.vn/cap-hdmi-1-4-ugreen-10109-5m--s210200059" TargetMode="External"/><Relationship Id="rId60" Type="http://schemas.openxmlformats.org/officeDocument/2006/relationships/hyperlink" Target="https://andatphat.com.vn/bao-gia-ong-nhua-xoan-hdpe/?gclid=Cj0KCQjwr82iBhCuARIsAO0EAZwZ_NU24M6X7edErHtqxOu0XKvwFnO7pDmC84clWGxDQxXDKMwpJysaAnxtEALw_wcB" TargetMode="External"/><Relationship Id="rId65" Type="http://schemas.openxmlformats.org/officeDocument/2006/relationships/hyperlink" Target="https://rangdong.com.vn/den-led-panel-chieu-thang-60-60-40w-pr1249.html" TargetMode="External"/><Relationship Id="rId73" Type="http://schemas.openxmlformats.org/officeDocument/2006/relationships/hyperlink" Target="https://www.sieuthivienthong.com/mixer-amplifier-240w-chon-5-vung-loa-toa-vm-2240-4759.html?gclid=CjwKCAjwjMiiBhA4EiwAZe6jQ8bvLfAfuuP9heFS68BwoDxrBOEJS1gGHPMBNP-8WvgwRg3vSsMDRRoCWDIQAvD_BwE" TargetMode="External"/><Relationship Id="rId78" Type="http://schemas.openxmlformats.org/officeDocument/2006/relationships/hyperlink" Target="https://www.sieuthivienthong.com/patch-panel-24-port-commscope-cat6-760237040-9-1375055-2-22667.html?gclid=Cj0KCQjwr82iBhCuARIsAO0EAZyaz4wM_VC5QKVN57jmuXhHvj3Mp2o1ZPWUR93b3KnYVGDo7b6KguQaAgS0EALw_wcB" TargetMode="External"/><Relationship Id="rId81" Type="http://schemas.openxmlformats.org/officeDocument/2006/relationships/hyperlink" Target="https://lotech.com.vn/Bao-Gia-Vo-Tu-Dien-Composite-3399Sp.html" TargetMode="External"/><Relationship Id="rId86" Type="http://schemas.openxmlformats.org/officeDocument/2006/relationships/hyperlink" Target="https://www.tdm.vn/voi-sen-inax-bfv-17-4c-lanh.html" TargetMode="External"/><Relationship Id="rId4" Type="http://schemas.openxmlformats.org/officeDocument/2006/relationships/hyperlink" Target="https://boninoxdaithanh.com.vn/bon-nuoc-inox-dai-thanh-200/bon-inox-tan-thanh-ngang/bon-inox-tan-thanh-2000l-ngang.html" TargetMode="External"/><Relationship Id="rId9" Type="http://schemas.openxmlformats.org/officeDocument/2006/relationships/hyperlink" Target="https://www.tdm.vn/van-american-standard-m19225.html" TargetMode="External"/><Relationship Id="rId13" Type="http://schemas.openxmlformats.org/officeDocument/2006/relationships/hyperlink" Target="https://dienmayhaianh.vn/bang-gia-tong-hop-ong-dong-may-lanh/" TargetMode="External"/><Relationship Id="rId18" Type="http://schemas.openxmlformats.org/officeDocument/2006/relationships/hyperlink" Target="https://dienmayhaianh.vn/bang-gia-tong-hop-ong-dong-may-lanh/" TargetMode="External"/><Relationship Id="rId39" Type="http://schemas.openxmlformats.org/officeDocument/2006/relationships/hyperlink" Target="https://thegioidien.com/sanpham/5/2946/Bien-dong-bao-ve-PCT-400-5A-CL-5P10-15VA--tron-.aspx" TargetMode="External"/><Relationship Id="rId34" Type="http://schemas.openxmlformats.org/officeDocument/2006/relationships/hyperlink" Target="https://toavietnam.net/143-loa-am-tran-6w-toa-pc-658r.html" TargetMode="External"/><Relationship Id="rId50" Type="http://schemas.openxmlformats.org/officeDocument/2006/relationships/hyperlink" Target="https://lotech.com.vn/Bao-Gia-Vo-Tu-Dien-Composite-3399Sp.html" TargetMode="External"/><Relationship Id="rId55" Type="http://schemas.openxmlformats.org/officeDocument/2006/relationships/hyperlink" Target="https://thegioidien.com/sanpham/5/3189/Bien-dong-do-luong-MCT-400-5A-CL-1-15VA--tron-.aspx" TargetMode="External"/><Relationship Id="rId76" Type="http://schemas.openxmlformats.org/officeDocument/2006/relationships/hyperlink" Target="https://thietbiquang.net/cap-quang-multimode-8-soi-8-core-8fo--c-322-327-5058.html" TargetMode="External"/><Relationship Id="rId7" Type="http://schemas.openxmlformats.org/officeDocument/2006/relationships/hyperlink" Target="https://www.tdm.vn/thoat-san-CAESAR-ST1212.html" TargetMode="External"/><Relationship Id="rId71" Type="http://schemas.openxmlformats.org/officeDocument/2006/relationships/hyperlink" Target="https://rangdong.com.vn/den-led-am-tran-downlight-12w-pr267.html" TargetMode="External"/><Relationship Id="rId2" Type="http://schemas.openxmlformats.org/officeDocument/2006/relationships/hyperlink" Target="file:///C:\Users\Binh\Documents\Zalo%20Received%20Files\Gia\B&#225;o%20gi&#225;%20&#272;&#232;n%20s&#226;n%20b&#243;ng.pdf" TargetMode="External"/><Relationship Id="rId29" Type="http://schemas.openxmlformats.org/officeDocument/2006/relationships/hyperlink" Target="https://www.sieuthivienthong.com/camera-ip-hong-ngoai-2.0-megapixel-hikvision-ds-2cd2021g1-i-b-26893.html" TargetMode="External"/><Relationship Id="rId24" Type="http://schemas.openxmlformats.org/officeDocument/2006/relationships/hyperlink" Target="https://www.sieuthivienthong.com/nguon-luu-dien-ups-santak-blazer-2200pro-61186.html?gclid=CjwKCAjwjMiiBhA4EiwAZe6jQxp9AbCDDh06OnAzv7TFN3u24xIiuGGTsGQ9iQ4Jra8wLxwx3OROChoCMscQAvD_BwE" TargetMode="External"/><Relationship Id="rId40" Type="http://schemas.openxmlformats.org/officeDocument/2006/relationships/hyperlink" Target="https://www.thegioidien.com/sanpham/5/3236/Electrical-auxiliaries-DRAWOUT--Shunt-trip--2nd-MX---220VAC-DC.aspx" TargetMode="External"/><Relationship Id="rId45" Type="http://schemas.openxmlformats.org/officeDocument/2006/relationships/hyperlink" Target="https://www.sieuthivienthong.com/tong-dai-panasonic-kx-tes824-08-line-vao-24-may-ra-8218.html" TargetMode="External"/><Relationship Id="rId66" Type="http://schemas.openxmlformats.org/officeDocument/2006/relationships/hyperlink" Target="https://daxin.vn/san-pham/den-duong-led-70w-daxinco-kieu-mat-trang/?utm_source=Google%20Shopping&amp;utm_campaign=TEST&amp;utm_medium=cpc&amp;utm_term=5672&amp;gclid=Cj0KCQjw0tKiBhC6ARIsAAOXutlGTLRB39OBi7R8NVeUOnS0X_WJ2oFYQhF1Zirlt4mby9sdM7V3kAEaAkXIEALw_wcB" TargetMode="External"/><Relationship Id="rId87" Type="http://schemas.openxmlformats.org/officeDocument/2006/relationships/hyperlink" Target="https://dienmaygiasi.vn/remote-day-may-lanh-multi-daikin-brc1e62" TargetMode="External"/><Relationship Id="rId61" Type="http://schemas.openxmlformats.org/officeDocument/2006/relationships/hyperlink" Target="https://www.sieuthivienthong.com/patch-panel-24-port-commscope-cat6-760237040-9-1375055-2-22667.html?gclid=Cj0KCQjwr82iBhCuARIsAO0EAZyaz4wM_VC5QKVN57jmuXhHvj3Mp2o1ZPWUR93b3KnYVGDo7b6KguQaAgS0EALw_wcB" TargetMode="External"/><Relationship Id="rId82" Type="http://schemas.openxmlformats.org/officeDocument/2006/relationships/hyperlink" Target="https://lotech.com.vn/Bao-Gia-Vo-Tu-Dien-Composite-3399Sp.html" TargetMode="External"/><Relationship Id="rId19" Type="http://schemas.openxmlformats.org/officeDocument/2006/relationships/hyperlink" Target="https://dienmayhaianh.vn/bang-gia-tong-hop-ong-dong-may-lanh/" TargetMode="External"/></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03.xml.rels><?xml version="1.0" encoding="UTF-8" standalone="yes"?>
<Relationships xmlns="http://schemas.openxmlformats.org/package/2006/relationships"><Relationship Id="rId8" Type="http://schemas.openxmlformats.org/officeDocument/2006/relationships/oleObject" Target="../embeddings/oleObject5.bin"/><Relationship Id="rId3" Type="http://schemas.openxmlformats.org/officeDocument/2006/relationships/vmlDrawing" Target="../drawings/vmlDrawing5.vml"/><Relationship Id="rId7" Type="http://schemas.openxmlformats.org/officeDocument/2006/relationships/oleObject" Target="../embeddings/oleObject4.bin"/><Relationship Id="rId2" Type="http://schemas.openxmlformats.org/officeDocument/2006/relationships/drawing" Target="../drawings/drawing6.xml"/><Relationship Id="rId1" Type="http://schemas.openxmlformats.org/officeDocument/2006/relationships/printerSettings" Target="../printerSettings/printerSettings18.bin"/><Relationship Id="rId6" Type="http://schemas.openxmlformats.org/officeDocument/2006/relationships/oleObject" Target="../embeddings/oleObject3.bin"/><Relationship Id="rId5" Type="http://schemas.openxmlformats.org/officeDocument/2006/relationships/image" Target="../media/image6.emf"/><Relationship Id="rId4" Type="http://schemas.openxmlformats.org/officeDocument/2006/relationships/oleObject" Target="../embeddings/oleObject2.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0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comments" Target="../comments5.xml"/></Relationships>
</file>

<file path=xl/worksheets/_rels/sheet10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comments" Target="../comments6.xml"/></Relationships>
</file>

<file path=xl/worksheets/_rels/sheet107.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0.bin"/><Relationship Id="rId6" Type="http://schemas.openxmlformats.org/officeDocument/2006/relationships/comments" Target="../comments2.xml"/><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e-learning.bkt.net.vn/" TargetMode="External"/></Relationships>
</file>

<file path=xl/worksheets/_rels/sheet9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mpe.com.vn/led-tube-2" TargetMode="External"/></Relationships>
</file>

<file path=xl/worksheets/_rels/sheet9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4.25"/>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92D050"/>
  </sheetPr>
  <dimension ref="A1:IV520"/>
  <sheetViews>
    <sheetView topLeftCell="A245" workbookViewId="0">
      <selection activeCell="E157" sqref="E157"/>
    </sheetView>
  </sheetViews>
  <sheetFormatPr defaultColWidth="8.5703125" defaultRowHeight="16.5"/>
  <cols>
    <col min="1" max="1" width="5" style="684" bestFit="1" customWidth="1"/>
    <col min="2" max="2" width="35.7109375" style="683" customWidth="1"/>
    <col min="3" max="3" width="6.28515625" style="683" customWidth="1"/>
    <col min="4" max="4" width="12.140625" style="685" customWidth="1"/>
    <col min="5" max="5" width="12.5703125" style="685" bestFit="1" customWidth="1"/>
    <col min="6" max="6" width="49.140625" style="683" customWidth="1"/>
    <col min="7" max="7" width="22.5703125" style="686" customWidth="1"/>
    <col min="8" max="8" width="23.28515625" style="682" customWidth="1"/>
    <col min="9" max="9" width="21.85546875" style="682" bestFit="1" customWidth="1"/>
    <col min="10" max="12" width="8.5703125" style="682"/>
    <col min="13" max="55" width="8.5703125" style="683"/>
    <col min="56" max="16384" width="8.5703125" style="684"/>
  </cols>
  <sheetData>
    <row r="1" spans="1:55" ht="26.25" customHeight="1">
      <c r="A1" s="1739" t="s">
        <v>2054</v>
      </c>
      <c r="B1" s="1739"/>
      <c r="C1" s="1739"/>
      <c r="D1" s="1739"/>
      <c r="E1" s="1739"/>
      <c r="F1" s="1739"/>
      <c r="G1" s="1739"/>
    </row>
    <row r="2" spans="1:55" ht="15" customHeight="1" thickBot="1"/>
    <row r="3" spans="1:55" s="693" customFormat="1" ht="36.75" customHeight="1">
      <c r="A3" s="687" t="s">
        <v>761</v>
      </c>
      <c r="B3" s="688" t="s">
        <v>2055</v>
      </c>
      <c r="C3" s="688" t="s">
        <v>766</v>
      </c>
      <c r="D3" s="688" t="s">
        <v>2056</v>
      </c>
      <c r="E3" s="688" t="s">
        <v>2057</v>
      </c>
      <c r="F3" s="689" t="s">
        <v>2058</v>
      </c>
      <c r="G3" s="690" t="s">
        <v>898</v>
      </c>
      <c r="H3" s="691"/>
      <c r="I3" s="691"/>
      <c r="J3" s="691"/>
      <c r="K3" s="691"/>
      <c r="L3" s="691"/>
      <c r="M3" s="692"/>
      <c r="N3" s="692"/>
      <c r="O3" s="692"/>
      <c r="P3" s="692"/>
      <c r="Q3" s="692"/>
      <c r="R3" s="692"/>
      <c r="S3" s="692"/>
      <c r="T3" s="692"/>
      <c r="U3" s="692"/>
      <c r="V3" s="692"/>
      <c r="W3" s="692"/>
      <c r="X3" s="692"/>
      <c r="Y3" s="692"/>
      <c r="Z3" s="692"/>
      <c r="AA3" s="692"/>
      <c r="AB3" s="692"/>
      <c r="AC3" s="692"/>
      <c r="AD3" s="692"/>
      <c r="AE3" s="692"/>
      <c r="AF3" s="692"/>
      <c r="AG3" s="692"/>
      <c r="AH3" s="692"/>
      <c r="AI3" s="692"/>
      <c r="AJ3" s="692"/>
      <c r="AK3" s="692"/>
      <c r="AL3" s="692"/>
      <c r="AM3" s="692"/>
      <c r="AN3" s="692"/>
      <c r="AO3" s="692"/>
      <c r="AP3" s="692"/>
      <c r="AQ3" s="692"/>
      <c r="AR3" s="692"/>
      <c r="AS3" s="692"/>
      <c r="AT3" s="692"/>
      <c r="AU3" s="692"/>
      <c r="AV3" s="692"/>
      <c r="AW3" s="692"/>
      <c r="AX3" s="692"/>
      <c r="AY3" s="692"/>
      <c r="AZ3" s="692"/>
      <c r="BA3" s="692"/>
      <c r="BB3" s="692"/>
      <c r="BC3" s="692"/>
    </row>
    <row r="4" spans="1:55" s="702" customFormat="1" ht="35.1" customHeight="1">
      <c r="A4" s="694">
        <v>1</v>
      </c>
      <c r="B4" s="695" t="s">
        <v>2059</v>
      </c>
      <c r="C4" s="696" t="s">
        <v>685</v>
      </c>
      <c r="D4" s="697">
        <v>15000</v>
      </c>
      <c r="E4" s="697">
        <v>15000</v>
      </c>
      <c r="F4" s="698" t="s">
        <v>2060</v>
      </c>
      <c r="G4" s="699"/>
      <c r="H4" s="700"/>
      <c r="I4" s="700" t="s">
        <v>2061</v>
      </c>
      <c r="J4" s="700"/>
      <c r="K4" s="700"/>
      <c r="L4" s="700"/>
      <c r="M4" s="701"/>
      <c r="N4" s="701"/>
      <c r="O4" s="701"/>
      <c r="P4" s="701"/>
      <c r="Q4" s="701"/>
      <c r="R4" s="701"/>
      <c r="S4" s="701"/>
      <c r="T4" s="701"/>
      <c r="U4" s="701"/>
      <c r="V4" s="701"/>
      <c r="W4" s="701"/>
      <c r="X4" s="701"/>
      <c r="Y4" s="701"/>
      <c r="Z4" s="701"/>
      <c r="AA4" s="701"/>
      <c r="AB4" s="701"/>
      <c r="AC4" s="701"/>
      <c r="AD4" s="701"/>
      <c r="AE4" s="701"/>
      <c r="AF4" s="701"/>
      <c r="AG4" s="701"/>
      <c r="AH4" s="701"/>
      <c r="AI4" s="701"/>
      <c r="AJ4" s="701"/>
      <c r="AK4" s="701"/>
      <c r="AL4" s="701"/>
      <c r="AM4" s="701"/>
      <c r="AN4" s="701"/>
      <c r="AO4" s="701"/>
      <c r="AP4" s="701"/>
      <c r="AQ4" s="701"/>
      <c r="AR4" s="701"/>
      <c r="AS4" s="701"/>
      <c r="AT4" s="701"/>
      <c r="AU4" s="701"/>
      <c r="AV4" s="701"/>
      <c r="AW4" s="701"/>
      <c r="AX4" s="701"/>
      <c r="AY4" s="701"/>
      <c r="AZ4" s="701"/>
      <c r="BA4" s="701"/>
      <c r="BB4" s="701"/>
      <c r="BC4" s="701"/>
    </row>
    <row r="5" spans="1:55" s="702" customFormat="1" ht="35.1" customHeight="1">
      <c r="A5" s="703">
        <v>2</v>
      </c>
      <c r="B5" s="704" t="s">
        <v>2062</v>
      </c>
      <c r="C5" s="705" t="s">
        <v>655</v>
      </c>
      <c r="D5" s="706">
        <v>16000</v>
      </c>
      <c r="E5" s="706">
        <v>16000</v>
      </c>
      <c r="F5" s="707" t="s">
        <v>2060</v>
      </c>
      <c r="G5" s="699"/>
      <c r="H5" s="700"/>
      <c r="I5" s="700" t="s">
        <v>2061</v>
      </c>
      <c r="J5" s="700"/>
      <c r="K5" s="700"/>
      <c r="L5" s="700"/>
      <c r="M5" s="701"/>
      <c r="N5" s="701"/>
      <c r="O5" s="701"/>
      <c r="P5" s="701"/>
      <c r="Q5" s="701"/>
      <c r="R5" s="701"/>
      <c r="S5" s="701"/>
      <c r="T5" s="701"/>
      <c r="U5" s="701"/>
      <c r="V5" s="701"/>
      <c r="W5" s="701"/>
      <c r="X5" s="701"/>
      <c r="Y5" s="701"/>
      <c r="Z5" s="701"/>
      <c r="AA5" s="701"/>
      <c r="AB5" s="701"/>
      <c r="AC5" s="701"/>
      <c r="AD5" s="701"/>
      <c r="AE5" s="701"/>
      <c r="AF5" s="701"/>
      <c r="AG5" s="701"/>
      <c r="AH5" s="701"/>
      <c r="AI5" s="701"/>
      <c r="AJ5" s="701"/>
      <c r="AK5" s="701"/>
      <c r="AL5" s="701"/>
      <c r="AM5" s="701"/>
      <c r="AN5" s="701"/>
      <c r="AO5" s="701"/>
      <c r="AP5" s="701"/>
      <c r="AQ5" s="701"/>
      <c r="AR5" s="701"/>
      <c r="AS5" s="701"/>
      <c r="AT5" s="701"/>
      <c r="AU5" s="701"/>
      <c r="AV5" s="701"/>
      <c r="AW5" s="701"/>
      <c r="AX5" s="701"/>
      <c r="AY5" s="701"/>
      <c r="AZ5" s="701"/>
      <c r="BA5" s="701"/>
      <c r="BB5" s="701"/>
      <c r="BC5" s="701"/>
    </row>
    <row r="6" spans="1:55" s="702" customFormat="1" ht="35.1" customHeight="1">
      <c r="A6" s="703">
        <v>3</v>
      </c>
      <c r="B6" s="704" t="s">
        <v>2063</v>
      </c>
      <c r="C6" s="705" t="s">
        <v>655</v>
      </c>
      <c r="D6" s="706">
        <v>5500</v>
      </c>
      <c r="E6" s="706">
        <v>5500</v>
      </c>
      <c r="F6" s="707" t="s">
        <v>2060</v>
      </c>
      <c r="G6" s="699"/>
      <c r="H6" s="700"/>
      <c r="I6" s="700" t="s">
        <v>2061</v>
      </c>
      <c r="J6" s="700"/>
      <c r="K6" s="700"/>
      <c r="L6" s="700"/>
      <c r="M6" s="701"/>
      <c r="N6" s="701"/>
      <c r="O6" s="701"/>
      <c r="P6" s="701"/>
      <c r="Q6" s="701"/>
      <c r="R6" s="701"/>
      <c r="S6" s="701"/>
      <c r="T6" s="701"/>
      <c r="U6" s="701"/>
      <c r="V6" s="701"/>
      <c r="W6" s="701"/>
      <c r="X6" s="701"/>
      <c r="Y6" s="701"/>
      <c r="Z6" s="701"/>
      <c r="AA6" s="701"/>
      <c r="AB6" s="701"/>
      <c r="AC6" s="701"/>
      <c r="AD6" s="701"/>
      <c r="AE6" s="701"/>
      <c r="AF6" s="701"/>
      <c r="AG6" s="701"/>
      <c r="AH6" s="701"/>
      <c r="AI6" s="701"/>
      <c r="AJ6" s="701"/>
      <c r="AK6" s="701"/>
      <c r="AL6" s="701"/>
      <c r="AM6" s="701"/>
      <c r="AN6" s="701"/>
      <c r="AO6" s="701"/>
      <c r="AP6" s="701"/>
      <c r="AQ6" s="701"/>
      <c r="AR6" s="701"/>
      <c r="AS6" s="701"/>
      <c r="AT6" s="701"/>
      <c r="AU6" s="701"/>
      <c r="AV6" s="701"/>
      <c r="AW6" s="701"/>
      <c r="AX6" s="701"/>
      <c r="AY6" s="701"/>
      <c r="AZ6" s="701"/>
      <c r="BA6" s="701"/>
      <c r="BB6" s="701"/>
      <c r="BC6" s="701"/>
    </row>
    <row r="7" spans="1:55" s="702" customFormat="1" ht="35.1" customHeight="1">
      <c r="A7" s="703">
        <v>4</v>
      </c>
      <c r="B7" s="704" t="s">
        <v>2064</v>
      </c>
      <c r="C7" s="705" t="s">
        <v>685</v>
      </c>
      <c r="D7" s="706">
        <v>5000</v>
      </c>
      <c r="E7" s="706">
        <v>5000</v>
      </c>
      <c r="F7" s="707" t="s">
        <v>2060</v>
      </c>
      <c r="G7" s="699"/>
      <c r="H7" s="700"/>
      <c r="I7" s="700" t="s">
        <v>2061</v>
      </c>
      <c r="J7" s="700"/>
      <c r="K7" s="700"/>
      <c r="L7" s="700"/>
      <c r="M7" s="701"/>
      <c r="N7" s="701"/>
      <c r="O7" s="701"/>
      <c r="P7" s="701"/>
      <c r="Q7" s="701"/>
      <c r="R7" s="701"/>
      <c r="S7" s="701"/>
      <c r="T7" s="701"/>
      <c r="U7" s="701"/>
      <c r="V7" s="701"/>
      <c r="W7" s="701"/>
      <c r="X7" s="701"/>
      <c r="Y7" s="701"/>
      <c r="Z7" s="701"/>
      <c r="AA7" s="701"/>
      <c r="AB7" s="701"/>
      <c r="AC7" s="701"/>
      <c r="AD7" s="701"/>
      <c r="AE7" s="701"/>
      <c r="AF7" s="701"/>
      <c r="AG7" s="701"/>
      <c r="AH7" s="701"/>
      <c r="AI7" s="701"/>
      <c r="AJ7" s="701"/>
      <c r="AK7" s="701"/>
      <c r="AL7" s="701"/>
      <c r="AM7" s="701"/>
      <c r="AN7" s="701"/>
      <c r="AO7" s="701"/>
      <c r="AP7" s="701"/>
      <c r="AQ7" s="701"/>
      <c r="AR7" s="701"/>
      <c r="AS7" s="701"/>
      <c r="AT7" s="701"/>
      <c r="AU7" s="701"/>
      <c r="AV7" s="701"/>
      <c r="AW7" s="701"/>
      <c r="AX7" s="701"/>
      <c r="AY7" s="701"/>
      <c r="AZ7" s="701"/>
      <c r="BA7" s="701"/>
      <c r="BB7" s="701"/>
      <c r="BC7" s="701"/>
    </row>
    <row r="8" spans="1:55" s="702" customFormat="1" ht="45">
      <c r="A8" s="703">
        <v>5</v>
      </c>
      <c r="B8" s="704" t="s">
        <v>2065</v>
      </c>
      <c r="C8" s="705" t="s">
        <v>677</v>
      </c>
      <c r="D8" s="706">
        <v>3125000</v>
      </c>
      <c r="E8" s="706">
        <v>3125000</v>
      </c>
      <c r="F8" s="707" t="s">
        <v>2066</v>
      </c>
      <c r="G8" s="699"/>
      <c r="H8" s="700"/>
      <c r="I8" s="700" t="s">
        <v>2061</v>
      </c>
      <c r="J8" s="700"/>
      <c r="K8" s="700"/>
      <c r="L8" s="700"/>
      <c r="M8" s="701"/>
      <c r="N8" s="701"/>
      <c r="O8" s="701"/>
      <c r="P8" s="701"/>
      <c r="Q8" s="701"/>
      <c r="R8" s="701"/>
      <c r="S8" s="701"/>
      <c r="T8" s="701"/>
      <c r="U8" s="701"/>
      <c r="V8" s="701"/>
      <c r="W8" s="701"/>
      <c r="X8" s="701"/>
      <c r="Y8" s="701"/>
      <c r="Z8" s="701"/>
      <c r="AA8" s="701"/>
      <c r="AB8" s="701"/>
      <c r="AC8" s="701"/>
      <c r="AD8" s="701"/>
      <c r="AE8" s="701"/>
      <c r="AF8" s="701"/>
      <c r="AG8" s="701"/>
      <c r="AH8" s="701"/>
      <c r="AI8" s="701"/>
      <c r="AJ8" s="701"/>
      <c r="AK8" s="701"/>
      <c r="AL8" s="701"/>
      <c r="AM8" s="701"/>
      <c r="AN8" s="701"/>
      <c r="AO8" s="701"/>
      <c r="AP8" s="701"/>
      <c r="AQ8" s="701"/>
      <c r="AR8" s="701"/>
      <c r="AS8" s="701"/>
      <c r="AT8" s="701"/>
      <c r="AU8" s="701"/>
      <c r="AV8" s="701"/>
      <c r="AW8" s="701"/>
      <c r="AX8" s="701"/>
      <c r="AY8" s="701"/>
      <c r="AZ8" s="701"/>
      <c r="BA8" s="701"/>
      <c r="BB8" s="701"/>
      <c r="BC8" s="701"/>
    </row>
    <row r="9" spans="1:55" s="702" customFormat="1" ht="45">
      <c r="A9" s="703">
        <v>6</v>
      </c>
      <c r="B9" s="704" t="s">
        <v>2067</v>
      </c>
      <c r="C9" s="705" t="s">
        <v>655</v>
      </c>
      <c r="D9" s="708">
        <v>350000</v>
      </c>
      <c r="E9" s="708">
        <v>350000</v>
      </c>
      <c r="F9" s="707" t="s">
        <v>2068</v>
      </c>
      <c r="G9" s="699"/>
      <c r="H9" s="700"/>
      <c r="I9" s="700" t="s">
        <v>2061</v>
      </c>
      <c r="J9" s="700"/>
      <c r="K9" s="700"/>
      <c r="L9" s="700"/>
      <c r="M9" s="701"/>
      <c r="N9" s="701"/>
      <c r="O9" s="701"/>
      <c r="P9" s="701"/>
      <c r="Q9" s="701"/>
      <c r="R9" s="701"/>
      <c r="S9" s="701"/>
      <c r="T9" s="701"/>
      <c r="U9" s="701"/>
      <c r="V9" s="701"/>
      <c r="W9" s="701"/>
      <c r="X9" s="701"/>
      <c r="Y9" s="701"/>
      <c r="Z9" s="701"/>
      <c r="AA9" s="701"/>
      <c r="AB9" s="701"/>
      <c r="AC9" s="701"/>
      <c r="AD9" s="701"/>
      <c r="AE9" s="701"/>
      <c r="AF9" s="701"/>
      <c r="AG9" s="701"/>
      <c r="AH9" s="701"/>
      <c r="AI9" s="701"/>
      <c r="AJ9" s="701"/>
      <c r="AK9" s="701"/>
      <c r="AL9" s="701"/>
      <c r="AM9" s="701"/>
      <c r="AN9" s="701"/>
      <c r="AO9" s="701"/>
      <c r="AP9" s="701"/>
      <c r="AQ9" s="701"/>
      <c r="AR9" s="701"/>
      <c r="AS9" s="701"/>
      <c r="AT9" s="701"/>
      <c r="AU9" s="701"/>
      <c r="AV9" s="701"/>
      <c r="AW9" s="701"/>
      <c r="AX9" s="701"/>
      <c r="AY9" s="701"/>
      <c r="AZ9" s="701"/>
      <c r="BA9" s="701"/>
      <c r="BB9" s="701"/>
      <c r="BC9" s="701"/>
    </row>
    <row r="10" spans="1:55" s="702" customFormat="1" ht="45">
      <c r="A10" s="703">
        <v>7</v>
      </c>
      <c r="B10" s="704" t="s">
        <v>2069</v>
      </c>
      <c r="C10" s="705" t="s">
        <v>655</v>
      </c>
      <c r="D10" s="706">
        <v>50000</v>
      </c>
      <c r="E10" s="706">
        <v>50000</v>
      </c>
      <c r="F10" s="707" t="s">
        <v>2068</v>
      </c>
      <c r="G10" s="699"/>
      <c r="H10" s="700"/>
      <c r="I10" s="700" t="s">
        <v>2061</v>
      </c>
      <c r="J10" s="700"/>
      <c r="K10" s="700"/>
      <c r="L10" s="700"/>
      <c r="M10" s="701"/>
      <c r="N10" s="701"/>
      <c r="O10" s="701"/>
      <c r="P10" s="701"/>
      <c r="Q10" s="701"/>
      <c r="R10" s="701"/>
      <c r="S10" s="701"/>
      <c r="T10" s="701"/>
      <c r="U10" s="701"/>
      <c r="V10" s="701"/>
      <c r="W10" s="701"/>
      <c r="X10" s="701"/>
      <c r="Y10" s="701"/>
      <c r="Z10" s="701"/>
      <c r="AA10" s="701"/>
      <c r="AB10" s="701"/>
      <c r="AC10" s="701"/>
      <c r="AD10" s="701"/>
      <c r="AE10" s="701"/>
      <c r="AF10" s="701"/>
      <c r="AG10" s="701"/>
      <c r="AH10" s="701"/>
      <c r="AI10" s="701"/>
      <c r="AJ10" s="701"/>
      <c r="AK10" s="701"/>
      <c r="AL10" s="701"/>
      <c r="AM10" s="701"/>
      <c r="AN10" s="701"/>
      <c r="AO10" s="701"/>
      <c r="AP10" s="701"/>
      <c r="AQ10" s="701"/>
      <c r="AR10" s="701"/>
      <c r="AS10" s="701"/>
      <c r="AT10" s="701"/>
      <c r="AU10" s="701"/>
      <c r="AV10" s="701"/>
      <c r="AW10" s="701"/>
      <c r="AX10" s="701"/>
      <c r="AY10" s="701"/>
      <c r="AZ10" s="701"/>
      <c r="BA10" s="701"/>
      <c r="BB10" s="701"/>
      <c r="BC10" s="701"/>
    </row>
    <row r="11" spans="1:55" s="702" customFormat="1" ht="45">
      <c r="A11" s="703">
        <v>8</v>
      </c>
      <c r="B11" s="704" t="s">
        <v>2070</v>
      </c>
      <c r="C11" s="705" t="s">
        <v>624</v>
      </c>
      <c r="D11" s="706">
        <v>10000000</v>
      </c>
      <c r="E11" s="706">
        <v>10000000</v>
      </c>
      <c r="F11" s="707" t="s">
        <v>2071</v>
      </c>
      <c r="G11" s="699"/>
      <c r="H11" s="700"/>
      <c r="I11" s="700" t="s">
        <v>2061</v>
      </c>
      <c r="J11" s="700"/>
      <c r="K11" s="700"/>
      <c r="L11" s="700"/>
      <c r="M11" s="701"/>
      <c r="N11" s="701"/>
      <c r="O11" s="701"/>
      <c r="P11" s="701"/>
      <c r="Q11" s="701"/>
      <c r="R11" s="701"/>
      <c r="S11" s="701"/>
      <c r="T11" s="701"/>
      <c r="U11" s="701"/>
      <c r="V11" s="701"/>
      <c r="W11" s="701"/>
      <c r="X11" s="701"/>
      <c r="Y11" s="701"/>
      <c r="Z11" s="701"/>
      <c r="AA11" s="701"/>
      <c r="AB11" s="701"/>
      <c r="AC11" s="701"/>
      <c r="AD11" s="701"/>
      <c r="AE11" s="701"/>
      <c r="AF11" s="701"/>
      <c r="AG11" s="701"/>
      <c r="AH11" s="701"/>
      <c r="AI11" s="701"/>
      <c r="AJ11" s="701"/>
      <c r="AK11" s="701"/>
      <c r="AL11" s="701"/>
      <c r="AM11" s="701"/>
      <c r="AN11" s="701"/>
      <c r="AO11" s="701"/>
      <c r="AP11" s="701"/>
      <c r="AQ11" s="701"/>
      <c r="AR11" s="701"/>
      <c r="AS11" s="701"/>
      <c r="AT11" s="701"/>
      <c r="AU11" s="701"/>
      <c r="AV11" s="701"/>
      <c r="AW11" s="701"/>
      <c r="AX11" s="701"/>
      <c r="AY11" s="701"/>
      <c r="AZ11" s="701"/>
      <c r="BA11" s="701"/>
      <c r="BB11" s="701"/>
      <c r="BC11" s="701"/>
    </row>
    <row r="12" spans="1:55" s="702" customFormat="1" ht="45">
      <c r="A12" s="703">
        <v>9</v>
      </c>
      <c r="B12" s="704" t="s">
        <v>2072</v>
      </c>
      <c r="C12" s="705" t="s">
        <v>624</v>
      </c>
      <c r="D12" s="706">
        <v>26500000</v>
      </c>
      <c r="E12" s="706">
        <v>26500000</v>
      </c>
      <c r="F12" s="707" t="s">
        <v>2073</v>
      </c>
      <c r="G12" s="699"/>
      <c r="H12" s="700"/>
      <c r="I12" s="700" t="s">
        <v>2061</v>
      </c>
      <c r="J12" s="700"/>
      <c r="K12" s="700"/>
      <c r="L12" s="700"/>
      <c r="M12" s="701"/>
      <c r="N12" s="701"/>
      <c r="O12" s="701"/>
      <c r="P12" s="701"/>
      <c r="Q12" s="701"/>
      <c r="R12" s="701"/>
      <c r="S12" s="701"/>
      <c r="T12" s="701"/>
      <c r="U12" s="701"/>
      <c r="V12" s="701"/>
      <c r="W12" s="701"/>
      <c r="X12" s="701"/>
      <c r="Y12" s="701"/>
      <c r="Z12" s="701"/>
      <c r="AA12" s="701"/>
      <c r="AB12" s="701"/>
      <c r="AC12" s="701"/>
      <c r="AD12" s="701"/>
      <c r="AE12" s="701"/>
      <c r="AF12" s="701"/>
      <c r="AG12" s="701"/>
      <c r="AH12" s="701"/>
      <c r="AI12" s="701"/>
      <c r="AJ12" s="701"/>
      <c r="AK12" s="701"/>
      <c r="AL12" s="701"/>
      <c r="AM12" s="701"/>
      <c r="AN12" s="701"/>
      <c r="AO12" s="701"/>
      <c r="AP12" s="701"/>
      <c r="AQ12" s="701"/>
      <c r="AR12" s="701"/>
      <c r="AS12" s="701"/>
      <c r="AT12" s="701"/>
      <c r="AU12" s="701"/>
      <c r="AV12" s="701"/>
      <c r="AW12" s="701"/>
      <c r="AX12" s="701"/>
      <c r="AY12" s="701"/>
      <c r="AZ12" s="701"/>
      <c r="BA12" s="701"/>
      <c r="BB12" s="701"/>
      <c r="BC12" s="701"/>
    </row>
    <row r="13" spans="1:55" s="702" customFormat="1" ht="45">
      <c r="A13" s="703">
        <v>10</v>
      </c>
      <c r="B13" s="704" t="s">
        <v>2074</v>
      </c>
      <c r="C13" s="705" t="s">
        <v>677</v>
      </c>
      <c r="D13" s="706">
        <v>5000</v>
      </c>
      <c r="E13" s="706">
        <v>5000</v>
      </c>
      <c r="F13" s="707" t="s">
        <v>2068</v>
      </c>
      <c r="G13" s="699"/>
      <c r="H13" s="700"/>
      <c r="I13" s="700" t="s">
        <v>2061</v>
      </c>
      <c r="J13" s="700"/>
      <c r="K13" s="700"/>
      <c r="L13" s="700"/>
      <c r="M13" s="701"/>
      <c r="N13" s="701"/>
      <c r="O13" s="701"/>
      <c r="P13" s="701"/>
      <c r="Q13" s="701"/>
      <c r="R13" s="701"/>
      <c r="S13" s="701"/>
      <c r="T13" s="701"/>
      <c r="U13" s="701"/>
      <c r="V13" s="701"/>
      <c r="W13" s="701"/>
      <c r="X13" s="701"/>
      <c r="Y13" s="701"/>
      <c r="Z13" s="701"/>
      <c r="AA13" s="701"/>
      <c r="AB13" s="701"/>
      <c r="AC13" s="701"/>
      <c r="AD13" s="701"/>
      <c r="AE13" s="701"/>
      <c r="AF13" s="701"/>
      <c r="AG13" s="701"/>
      <c r="AH13" s="701"/>
      <c r="AI13" s="701"/>
      <c r="AJ13" s="701"/>
      <c r="AK13" s="701"/>
      <c r="AL13" s="701"/>
      <c r="AM13" s="701"/>
      <c r="AN13" s="701"/>
      <c r="AO13" s="701"/>
      <c r="AP13" s="701"/>
      <c r="AQ13" s="701"/>
      <c r="AR13" s="701"/>
      <c r="AS13" s="701"/>
      <c r="AT13" s="701"/>
      <c r="AU13" s="701"/>
      <c r="AV13" s="701"/>
      <c r="AW13" s="701"/>
      <c r="AX13" s="701"/>
      <c r="AY13" s="701"/>
      <c r="AZ13" s="701"/>
      <c r="BA13" s="701"/>
      <c r="BB13" s="701"/>
      <c r="BC13" s="701"/>
    </row>
    <row r="14" spans="1:55" s="702" customFormat="1" ht="35.1" customHeight="1">
      <c r="A14" s="703">
        <v>11</v>
      </c>
      <c r="B14" s="704" t="s">
        <v>1908</v>
      </c>
      <c r="C14" s="705" t="s">
        <v>655</v>
      </c>
      <c r="D14" s="706">
        <v>10000</v>
      </c>
      <c r="E14" s="706">
        <v>10000</v>
      </c>
      <c r="F14" s="707" t="s">
        <v>2075</v>
      </c>
      <c r="G14" s="699"/>
      <c r="H14" s="700"/>
      <c r="I14" s="700" t="s">
        <v>2061</v>
      </c>
      <c r="J14" s="700"/>
      <c r="K14" s="700"/>
      <c r="L14" s="700"/>
      <c r="M14" s="701"/>
      <c r="N14" s="701"/>
      <c r="O14" s="701"/>
      <c r="P14" s="701"/>
      <c r="Q14" s="701"/>
      <c r="R14" s="701"/>
      <c r="S14" s="701"/>
      <c r="T14" s="701"/>
      <c r="U14" s="701"/>
      <c r="V14" s="701"/>
      <c r="W14" s="701"/>
      <c r="X14" s="701"/>
      <c r="Y14" s="701"/>
      <c r="Z14" s="701"/>
      <c r="AA14" s="701"/>
      <c r="AB14" s="701"/>
      <c r="AC14" s="701"/>
      <c r="AD14" s="701"/>
      <c r="AE14" s="701"/>
      <c r="AF14" s="701"/>
      <c r="AG14" s="701"/>
      <c r="AH14" s="701"/>
      <c r="AI14" s="701"/>
      <c r="AJ14" s="701"/>
      <c r="AK14" s="701"/>
      <c r="AL14" s="701"/>
      <c r="AM14" s="701"/>
      <c r="AN14" s="701"/>
      <c r="AO14" s="701"/>
      <c r="AP14" s="701"/>
      <c r="AQ14" s="701"/>
      <c r="AR14" s="701"/>
      <c r="AS14" s="701"/>
      <c r="AT14" s="701"/>
      <c r="AU14" s="701"/>
      <c r="AV14" s="701"/>
      <c r="AW14" s="701"/>
      <c r="AX14" s="701"/>
      <c r="AY14" s="701"/>
      <c r="AZ14" s="701"/>
      <c r="BA14" s="701"/>
      <c r="BB14" s="701"/>
      <c r="BC14" s="701"/>
    </row>
    <row r="15" spans="1:55" s="702" customFormat="1" ht="35.1" customHeight="1">
      <c r="A15" s="703">
        <v>12</v>
      </c>
      <c r="B15" s="704" t="s">
        <v>1758</v>
      </c>
      <c r="C15" s="705" t="s">
        <v>655</v>
      </c>
      <c r="D15" s="706">
        <v>10000</v>
      </c>
      <c r="E15" s="706">
        <v>10000</v>
      </c>
      <c r="F15" s="707" t="s">
        <v>2075</v>
      </c>
      <c r="G15" s="699"/>
      <c r="H15" s="700"/>
      <c r="I15" s="700" t="s">
        <v>2061</v>
      </c>
      <c r="J15" s="700"/>
      <c r="K15" s="700"/>
      <c r="L15" s="700"/>
      <c r="M15" s="701"/>
      <c r="N15" s="701"/>
      <c r="O15" s="701"/>
      <c r="P15" s="701"/>
      <c r="Q15" s="701"/>
      <c r="R15" s="701"/>
      <c r="S15" s="701"/>
      <c r="T15" s="701"/>
      <c r="U15" s="701"/>
      <c r="V15" s="701"/>
      <c r="W15" s="701"/>
      <c r="X15" s="701"/>
      <c r="Y15" s="701"/>
      <c r="Z15" s="701"/>
      <c r="AA15" s="701"/>
      <c r="AB15" s="701"/>
      <c r="AC15" s="701"/>
      <c r="AD15" s="701"/>
      <c r="AE15" s="701"/>
      <c r="AF15" s="701"/>
      <c r="AG15" s="701"/>
      <c r="AH15" s="701"/>
      <c r="AI15" s="701"/>
      <c r="AJ15" s="701"/>
      <c r="AK15" s="701"/>
      <c r="AL15" s="701"/>
      <c r="AM15" s="701"/>
      <c r="AN15" s="701"/>
      <c r="AO15" s="701"/>
      <c r="AP15" s="701"/>
      <c r="AQ15" s="701"/>
      <c r="AR15" s="701"/>
      <c r="AS15" s="701"/>
      <c r="AT15" s="701"/>
      <c r="AU15" s="701"/>
      <c r="AV15" s="701"/>
      <c r="AW15" s="701"/>
      <c r="AX15" s="701"/>
      <c r="AY15" s="701"/>
      <c r="AZ15" s="701"/>
      <c r="BA15" s="701"/>
      <c r="BB15" s="701"/>
      <c r="BC15" s="701"/>
    </row>
    <row r="16" spans="1:55" s="702" customFormat="1" ht="35.1" customHeight="1">
      <c r="A16" s="703">
        <v>13</v>
      </c>
      <c r="B16" s="704" t="s">
        <v>2076</v>
      </c>
      <c r="C16" s="705" t="s">
        <v>726</v>
      </c>
      <c r="D16" s="706">
        <f>ROUND(1250000/1.1,0)</f>
        <v>1136364</v>
      </c>
      <c r="E16" s="706">
        <f>ROUND(1250000/1.1,0)</f>
        <v>1136364</v>
      </c>
      <c r="F16" s="707" t="s">
        <v>2077</v>
      </c>
      <c r="G16" s="699"/>
      <c r="H16" s="700"/>
      <c r="I16" s="700" t="s">
        <v>2061</v>
      </c>
      <c r="J16" s="700"/>
      <c r="K16" s="700"/>
      <c r="L16" s="700"/>
      <c r="M16" s="701"/>
      <c r="N16" s="701"/>
      <c r="O16" s="701"/>
      <c r="P16" s="701"/>
      <c r="Q16" s="701"/>
      <c r="R16" s="701"/>
      <c r="S16" s="701"/>
      <c r="T16" s="701"/>
      <c r="U16" s="701"/>
      <c r="V16" s="701"/>
      <c r="W16" s="701"/>
      <c r="X16" s="701"/>
      <c r="Y16" s="701"/>
      <c r="Z16" s="701"/>
      <c r="AA16" s="701"/>
      <c r="AB16" s="701"/>
      <c r="AC16" s="701"/>
      <c r="AD16" s="701"/>
      <c r="AE16" s="701"/>
      <c r="AF16" s="701"/>
      <c r="AG16" s="701"/>
      <c r="AH16" s="701"/>
      <c r="AI16" s="701"/>
      <c r="AJ16" s="701"/>
      <c r="AK16" s="701"/>
      <c r="AL16" s="701"/>
      <c r="AM16" s="701"/>
      <c r="AN16" s="701"/>
      <c r="AO16" s="701"/>
      <c r="AP16" s="701"/>
      <c r="AQ16" s="701"/>
      <c r="AR16" s="701"/>
      <c r="AS16" s="701"/>
      <c r="AT16" s="701"/>
      <c r="AU16" s="701"/>
      <c r="AV16" s="701"/>
      <c r="AW16" s="701"/>
      <c r="AX16" s="701"/>
      <c r="AY16" s="701"/>
      <c r="AZ16" s="701"/>
      <c r="BA16" s="701"/>
      <c r="BB16" s="701"/>
      <c r="BC16" s="701"/>
    </row>
    <row r="17" spans="1:55" s="702" customFormat="1" ht="35.1" customHeight="1">
      <c r="A17" s="703">
        <v>14</v>
      </c>
      <c r="B17" s="704" t="s">
        <v>2078</v>
      </c>
      <c r="C17" s="705" t="s">
        <v>2079</v>
      </c>
      <c r="D17" s="706">
        <v>455000</v>
      </c>
      <c r="E17" s="706">
        <v>455000</v>
      </c>
      <c r="F17" s="707" t="s">
        <v>2077</v>
      </c>
      <c r="G17" s="699"/>
      <c r="H17" s="700"/>
      <c r="I17" s="700" t="s">
        <v>2061</v>
      </c>
      <c r="J17" s="700"/>
      <c r="K17" s="700"/>
      <c r="L17" s="700"/>
      <c r="M17" s="701"/>
      <c r="N17" s="701"/>
      <c r="O17" s="701"/>
      <c r="P17" s="701"/>
      <c r="Q17" s="701"/>
      <c r="R17" s="701"/>
      <c r="S17" s="701"/>
      <c r="T17" s="701"/>
      <c r="U17" s="701"/>
      <c r="V17" s="701"/>
      <c r="W17" s="701"/>
      <c r="X17" s="701"/>
      <c r="Y17" s="701"/>
      <c r="Z17" s="701"/>
      <c r="AA17" s="701"/>
      <c r="AB17" s="701"/>
      <c r="AC17" s="701"/>
      <c r="AD17" s="701"/>
      <c r="AE17" s="701"/>
      <c r="AF17" s="701"/>
      <c r="AG17" s="701"/>
      <c r="AH17" s="701"/>
      <c r="AI17" s="701"/>
      <c r="AJ17" s="701"/>
      <c r="AK17" s="701"/>
      <c r="AL17" s="701"/>
      <c r="AM17" s="701"/>
      <c r="AN17" s="701"/>
      <c r="AO17" s="701"/>
      <c r="AP17" s="701"/>
      <c r="AQ17" s="701"/>
      <c r="AR17" s="701"/>
      <c r="AS17" s="701"/>
      <c r="AT17" s="701"/>
      <c r="AU17" s="701"/>
      <c r="AV17" s="701"/>
      <c r="AW17" s="701"/>
      <c r="AX17" s="701"/>
      <c r="AY17" s="701"/>
      <c r="AZ17" s="701"/>
      <c r="BA17" s="701"/>
      <c r="BB17" s="701"/>
      <c r="BC17" s="701"/>
    </row>
    <row r="18" spans="1:55" s="702" customFormat="1" ht="35.1" customHeight="1">
      <c r="A18" s="703">
        <v>15</v>
      </c>
      <c r="B18" s="704" t="s">
        <v>2080</v>
      </c>
      <c r="C18" s="705" t="s">
        <v>2079</v>
      </c>
      <c r="D18" s="706">
        <v>645000</v>
      </c>
      <c r="E18" s="706">
        <v>645000</v>
      </c>
      <c r="F18" s="707" t="s">
        <v>2077</v>
      </c>
      <c r="G18" s="699"/>
      <c r="H18" s="700"/>
      <c r="I18" s="700" t="s">
        <v>2061</v>
      </c>
      <c r="J18" s="700"/>
      <c r="K18" s="700"/>
      <c r="L18" s="700"/>
      <c r="M18" s="701"/>
      <c r="N18" s="701"/>
      <c r="O18" s="701"/>
      <c r="P18" s="701"/>
      <c r="Q18" s="701"/>
      <c r="R18" s="701"/>
      <c r="S18" s="701"/>
      <c r="T18" s="701"/>
      <c r="U18" s="701"/>
      <c r="V18" s="701"/>
      <c r="W18" s="701"/>
      <c r="X18" s="701"/>
      <c r="Y18" s="701"/>
      <c r="Z18" s="701"/>
      <c r="AA18" s="701"/>
      <c r="AB18" s="701"/>
      <c r="AC18" s="701"/>
      <c r="AD18" s="701"/>
      <c r="AE18" s="701"/>
      <c r="AF18" s="701"/>
      <c r="AG18" s="701"/>
      <c r="AH18" s="701"/>
      <c r="AI18" s="701"/>
      <c r="AJ18" s="701"/>
      <c r="AK18" s="701"/>
      <c r="AL18" s="701"/>
      <c r="AM18" s="701"/>
      <c r="AN18" s="701"/>
      <c r="AO18" s="701"/>
      <c r="AP18" s="701"/>
      <c r="AQ18" s="701"/>
      <c r="AR18" s="701"/>
      <c r="AS18" s="701"/>
      <c r="AT18" s="701"/>
      <c r="AU18" s="701"/>
      <c r="AV18" s="701"/>
      <c r="AW18" s="701"/>
      <c r="AX18" s="701"/>
      <c r="AY18" s="701"/>
      <c r="AZ18" s="701"/>
      <c r="BA18" s="701"/>
      <c r="BB18" s="701"/>
      <c r="BC18" s="701"/>
    </row>
    <row r="19" spans="1:55" s="702" customFormat="1" ht="35.1" customHeight="1">
      <c r="A19" s="703">
        <v>16</v>
      </c>
      <c r="B19" s="704" t="s">
        <v>2081</v>
      </c>
      <c r="C19" s="705" t="s">
        <v>726</v>
      </c>
      <c r="D19" s="706">
        <v>4995000</v>
      </c>
      <c r="E19" s="706">
        <v>4995000</v>
      </c>
      <c r="F19" s="707" t="s">
        <v>2082</v>
      </c>
      <c r="G19" s="699"/>
      <c r="H19" s="700"/>
      <c r="I19" s="700" t="s">
        <v>2061</v>
      </c>
      <c r="J19" s="700"/>
      <c r="K19" s="700"/>
      <c r="L19" s="700"/>
      <c r="M19" s="701"/>
      <c r="N19" s="701"/>
      <c r="O19" s="701"/>
      <c r="P19" s="701"/>
      <c r="Q19" s="701"/>
      <c r="R19" s="701"/>
      <c r="S19" s="701"/>
      <c r="T19" s="701"/>
      <c r="U19" s="701"/>
      <c r="V19" s="701"/>
      <c r="W19" s="701"/>
      <c r="X19" s="701"/>
      <c r="Y19" s="701"/>
      <c r="Z19" s="701"/>
      <c r="AA19" s="701"/>
      <c r="AB19" s="701"/>
      <c r="AC19" s="701"/>
      <c r="AD19" s="701"/>
      <c r="AE19" s="701"/>
      <c r="AF19" s="701"/>
      <c r="AG19" s="701"/>
      <c r="AH19" s="701"/>
      <c r="AI19" s="701"/>
      <c r="AJ19" s="701"/>
      <c r="AK19" s="701"/>
      <c r="AL19" s="701"/>
      <c r="AM19" s="701"/>
      <c r="AN19" s="701"/>
      <c r="AO19" s="701"/>
      <c r="AP19" s="701"/>
      <c r="AQ19" s="701"/>
      <c r="AR19" s="701"/>
      <c r="AS19" s="701"/>
      <c r="AT19" s="701"/>
      <c r="AU19" s="701"/>
      <c r="AV19" s="701"/>
      <c r="AW19" s="701"/>
      <c r="AX19" s="701"/>
      <c r="AY19" s="701"/>
      <c r="AZ19" s="701"/>
      <c r="BA19" s="701"/>
      <c r="BB19" s="701"/>
      <c r="BC19" s="701"/>
    </row>
    <row r="20" spans="1:55" s="702" customFormat="1" ht="35.1" customHeight="1">
      <c r="A20" s="703">
        <v>17</v>
      </c>
      <c r="B20" s="704" t="s">
        <v>2083</v>
      </c>
      <c r="C20" s="705" t="s">
        <v>655</v>
      </c>
      <c r="D20" s="706">
        <v>61900</v>
      </c>
      <c r="E20" s="706">
        <v>61900</v>
      </c>
      <c r="F20" s="707" t="s">
        <v>2084</v>
      </c>
      <c r="G20" s="699"/>
      <c r="H20" s="700"/>
      <c r="I20" s="700"/>
      <c r="J20" s="700"/>
      <c r="K20" s="700"/>
      <c r="L20" s="700"/>
      <c r="M20" s="701"/>
      <c r="N20" s="701"/>
      <c r="O20" s="701"/>
      <c r="P20" s="701"/>
      <c r="Q20" s="701"/>
      <c r="R20" s="701"/>
      <c r="S20" s="701"/>
      <c r="T20" s="701"/>
      <c r="U20" s="701"/>
      <c r="V20" s="701"/>
      <c r="W20" s="701"/>
      <c r="X20" s="701"/>
      <c r="Y20" s="701"/>
      <c r="Z20" s="701"/>
      <c r="AA20" s="701"/>
      <c r="AB20" s="701"/>
      <c r="AC20" s="701"/>
      <c r="AD20" s="701"/>
      <c r="AE20" s="701"/>
      <c r="AF20" s="701"/>
      <c r="AG20" s="701"/>
      <c r="AH20" s="701"/>
      <c r="AI20" s="701"/>
      <c r="AJ20" s="701"/>
      <c r="AK20" s="701"/>
      <c r="AL20" s="701"/>
      <c r="AM20" s="701"/>
      <c r="AN20" s="701"/>
      <c r="AO20" s="701"/>
      <c r="AP20" s="701"/>
      <c r="AQ20" s="701"/>
      <c r="AR20" s="701"/>
      <c r="AS20" s="701"/>
      <c r="AT20" s="701"/>
      <c r="AU20" s="701"/>
      <c r="AV20" s="701"/>
      <c r="AW20" s="701"/>
      <c r="AX20" s="701"/>
      <c r="AY20" s="701"/>
      <c r="AZ20" s="701"/>
      <c r="BA20" s="701"/>
      <c r="BB20" s="701"/>
      <c r="BC20" s="701"/>
    </row>
    <row r="21" spans="1:55" s="702" customFormat="1" ht="35.1" customHeight="1">
      <c r="A21" s="703">
        <v>18</v>
      </c>
      <c r="B21" s="704" t="s">
        <v>2085</v>
      </c>
      <c r="C21" s="705" t="s">
        <v>655</v>
      </c>
      <c r="D21" s="706">
        <v>12300</v>
      </c>
      <c r="E21" s="706">
        <v>12300</v>
      </c>
      <c r="F21" s="707" t="s">
        <v>2084</v>
      </c>
      <c r="G21" s="699"/>
      <c r="H21" s="700"/>
      <c r="I21" s="700"/>
      <c r="J21" s="700"/>
      <c r="K21" s="700"/>
      <c r="L21" s="700"/>
      <c r="M21" s="701"/>
      <c r="N21" s="701"/>
      <c r="O21" s="701"/>
      <c r="P21" s="701"/>
      <c r="Q21" s="701"/>
      <c r="R21" s="701"/>
      <c r="S21" s="701"/>
      <c r="T21" s="701"/>
      <c r="U21" s="701"/>
      <c r="V21" s="701"/>
      <c r="W21" s="701"/>
      <c r="X21" s="701"/>
      <c r="Y21" s="701"/>
      <c r="Z21" s="701"/>
      <c r="AA21" s="701"/>
      <c r="AB21" s="701"/>
      <c r="AC21" s="701"/>
      <c r="AD21" s="701"/>
      <c r="AE21" s="701"/>
      <c r="AF21" s="701"/>
      <c r="AG21" s="701"/>
      <c r="AH21" s="701"/>
      <c r="AI21" s="701"/>
      <c r="AJ21" s="701"/>
      <c r="AK21" s="701"/>
      <c r="AL21" s="701"/>
      <c r="AM21" s="701"/>
      <c r="AN21" s="701"/>
      <c r="AO21" s="701"/>
      <c r="AP21" s="701"/>
      <c r="AQ21" s="701"/>
      <c r="AR21" s="701"/>
      <c r="AS21" s="701"/>
      <c r="AT21" s="701"/>
      <c r="AU21" s="701"/>
      <c r="AV21" s="701"/>
      <c r="AW21" s="701"/>
      <c r="AX21" s="701"/>
      <c r="AY21" s="701"/>
      <c r="AZ21" s="701"/>
      <c r="BA21" s="701"/>
      <c r="BB21" s="701"/>
      <c r="BC21" s="701"/>
    </row>
    <row r="22" spans="1:55" s="702" customFormat="1" ht="35.1" customHeight="1">
      <c r="A22" s="703">
        <v>19</v>
      </c>
      <c r="B22" s="704" t="s">
        <v>2086</v>
      </c>
      <c r="C22" s="705" t="s">
        <v>655</v>
      </c>
      <c r="D22" s="706">
        <v>28800</v>
      </c>
      <c r="E22" s="706">
        <v>28800</v>
      </c>
      <c r="F22" s="707" t="s">
        <v>2084</v>
      </c>
      <c r="G22" s="699"/>
      <c r="H22" s="700"/>
      <c r="I22" s="700"/>
      <c r="J22" s="700"/>
      <c r="K22" s="700"/>
      <c r="L22" s="700"/>
      <c r="M22" s="701"/>
      <c r="N22" s="701"/>
      <c r="O22" s="701"/>
      <c r="P22" s="701"/>
      <c r="Q22" s="701"/>
      <c r="R22" s="701"/>
      <c r="S22" s="701"/>
      <c r="T22" s="701"/>
      <c r="U22" s="701"/>
      <c r="V22" s="701"/>
      <c r="W22" s="701"/>
      <c r="X22" s="701"/>
      <c r="Y22" s="701"/>
      <c r="Z22" s="701"/>
      <c r="AA22" s="701"/>
      <c r="AB22" s="701"/>
      <c r="AC22" s="701"/>
      <c r="AD22" s="701"/>
      <c r="AE22" s="701"/>
      <c r="AF22" s="701"/>
      <c r="AG22" s="701"/>
      <c r="AH22" s="701"/>
      <c r="AI22" s="701"/>
      <c r="AJ22" s="701"/>
      <c r="AK22" s="701"/>
      <c r="AL22" s="701"/>
      <c r="AM22" s="701"/>
      <c r="AN22" s="701"/>
      <c r="AO22" s="701"/>
      <c r="AP22" s="701"/>
      <c r="AQ22" s="701"/>
      <c r="AR22" s="701"/>
      <c r="AS22" s="701"/>
      <c r="AT22" s="701"/>
      <c r="AU22" s="701"/>
      <c r="AV22" s="701"/>
      <c r="AW22" s="701"/>
      <c r="AX22" s="701"/>
      <c r="AY22" s="701"/>
      <c r="AZ22" s="701"/>
      <c r="BA22" s="701"/>
      <c r="BB22" s="701"/>
      <c r="BC22" s="701"/>
    </row>
    <row r="23" spans="1:55" s="702" customFormat="1" ht="35.1" customHeight="1">
      <c r="A23" s="703">
        <v>20</v>
      </c>
      <c r="B23" s="704" t="s">
        <v>2087</v>
      </c>
      <c r="C23" s="705" t="s">
        <v>624</v>
      </c>
      <c r="D23" s="706">
        <f>ROUND(210000/1.1,0)</f>
        <v>190909</v>
      </c>
      <c r="E23" s="709">
        <f>ROUND(300000/1.1,0)</f>
        <v>272727</v>
      </c>
      <c r="F23" s="707" t="s">
        <v>2088</v>
      </c>
      <c r="G23" s="699"/>
      <c r="H23" s="700"/>
      <c r="I23" s="700" t="s">
        <v>2061</v>
      </c>
      <c r="J23" s="700"/>
      <c r="K23" s="700"/>
      <c r="L23" s="700"/>
      <c r="M23" s="701"/>
      <c r="N23" s="701"/>
      <c r="O23" s="701"/>
      <c r="P23" s="701"/>
      <c r="Q23" s="701"/>
      <c r="R23" s="701"/>
      <c r="S23" s="701"/>
      <c r="T23" s="701"/>
      <c r="U23" s="701"/>
      <c r="V23" s="701"/>
      <c r="W23" s="701"/>
      <c r="X23" s="701"/>
      <c r="Y23" s="701"/>
      <c r="Z23" s="701"/>
      <c r="AA23" s="701"/>
      <c r="AB23" s="701"/>
      <c r="AC23" s="701"/>
      <c r="AD23" s="701"/>
      <c r="AE23" s="701"/>
      <c r="AF23" s="701"/>
      <c r="AG23" s="701"/>
      <c r="AH23" s="701"/>
      <c r="AI23" s="701"/>
      <c r="AJ23" s="701"/>
      <c r="AK23" s="701"/>
      <c r="AL23" s="701"/>
      <c r="AM23" s="701"/>
      <c r="AN23" s="701"/>
      <c r="AO23" s="701"/>
      <c r="AP23" s="701"/>
      <c r="AQ23" s="701"/>
      <c r="AR23" s="701"/>
      <c r="AS23" s="701"/>
      <c r="AT23" s="701"/>
      <c r="AU23" s="701"/>
      <c r="AV23" s="701"/>
      <c r="AW23" s="701"/>
      <c r="AX23" s="701"/>
      <c r="AY23" s="701"/>
      <c r="AZ23" s="701"/>
      <c r="BA23" s="701"/>
      <c r="BB23" s="701"/>
      <c r="BC23" s="701"/>
    </row>
    <row r="24" spans="1:55" s="702" customFormat="1" ht="35.1" customHeight="1">
      <c r="A24" s="703">
        <v>21</v>
      </c>
      <c r="B24" s="704" t="s">
        <v>2089</v>
      </c>
      <c r="C24" s="705" t="s">
        <v>1730</v>
      </c>
      <c r="D24" s="706">
        <f>ROUND(11180/1.1,0)</f>
        <v>10164</v>
      </c>
      <c r="E24" s="706">
        <f>ROUND(11180/1.1,0)</f>
        <v>10164</v>
      </c>
      <c r="F24" s="707" t="s">
        <v>2090</v>
      </c>
      <c r="G24" s="699"/>
      <c r="H24" s="700"/>
      <c r="I24" s="700" t="s">
        <v>2061</v>
      </c>
      <c r="J24" s="700"/>
      <c r="K24" s="700"/>
      <c r="L24" s="700"/>
      <c r="M24" s="701"/>
      <c r="N24" s="701"/>
      <c r="O24" s="701"/>
      <c r="P24" s="701"/>
      <c r="Q24" s="701"/>
      <c r="R24" s="701"/>
      <c r="S24" s="701"/>
      <c r="T24" s="701"/>
      <c r="U24" s="701"/>
      <c r="V24" s="701"/>
      <c r="W24" s="701"/>
      <c r="X24" s="701"/>
      <c r="Y24" s="701"/>
      <c r="Z24" s="701"/>
      <c r="AA24" s="701"/>
      <c r="AB24" s="701"/>
      <c r="AC24" s="701"/>
      <c r="AD24" s="701"/>
      <c r="AE24" s="701"/>
      <c r="AF24" s="701"/>
      <c r="AG24" s="701"/>
      <c r="AH24" s="701"/>
      <c r="AI24" s="701"/>
      <c r="AJ24" s="701"/>
      <c r="AK24" s="701"/>
      <c r="AL24" s="701"/>
      <c r="AM24" s="701"/>
      <c r="AN24" s="701"/>
      <c r="AO24" s="701"/>
      <c r="AP24" s="701"/>
      <c r="AQ24" s="701"/>
      <c r="AR24" s="701"/>
      <c r="AS24" s="701"/>
      <c r="AT24" s="701"/>
      <c r="AU24" s="701"/>
      <c r="AV24" s="701"/>
      <c r="AW24" s="701"/>
      <c r="AX24" s="701"/>
      <c r="AY24" s="701"/>
      <c r="AZ24" s="701"/>
      <c r="BA24" s="701"/>
      <c r="BB24" s="701"/>
      <c r="BC24" s="701"/>
    </row>
    <row r="25" spans="1:55" s="702" customFormat="1" ht="35.1" customHeight="1">
      <c r="A25" s="703">
        <v>22</v>
      </c>
      <c r="B25" s="704" t="s">
        <v>2091</v>
      </c>
      <c r="C25" s="705" t="s">
        <v>1730</v>
      </c>
      <c r="D25" s="706">
        <f>ROUND(13880/1.1,0)</f>
        <v>12618</v>
      </c>
      <c r="E25" s="706">
        <f>ROUND(13880/1.1,0)</f>
        <v>12618</v>
      </c>
      <c r="F25" s="707" t="s">
        <v>2090</v>
      </c>
      <c r="G25" s="699"/>
      <c r="H25" s="700"/>
      <c r="I25" s="700" t="s">
        <v>2061</v>
      </c>
      <c r="J25" s="700"/>
      <c r="K25" s="700"/>
      <c r="L25" s="700"/>
      <c r="M25" s="701"/>
      <c r="N25" s="701"/>
      <c r="O25" s="701"/>
      <c r="P25" s="701"/>
      <c r="Q25" s="701"/>
      <c r="R25" s="701"/>
      <c r="S25" s="701"/>
      <c r="T25" s="701"/>
      <c r="U25" s="701"/>
      <c r="V25" s="701"/>
      <c r="W25" s="701"/>
      <c r="X25" s="701"/>
      <c r="Y25" s="701"/>
      <c r="Z25" s="701"/>
      <c r="AA25" s="701"/>
      <c r="AB25" s="701"/>
      <c r="AC25" s="701"/>
      <c r="AD25" s="701"/>
      <c r="AE25" s="701"/>
      <c r="AF25" s="701"/>
      <c r="AG25" s="701"/>
      <c r="AH25" s="701"/>
      <c r="AI25" s="701"/>
      <c r="AJ25" s="701"/>
      <c r="AK25" s="701"/>
      <c r="AL25" s="701"/>
      <c r="AM25" s="701"/>
      <c r="AN25" s="701"/>
      <c r="AO25" s="701"/>
      <c r="AP25" s="701"/>
      <c r="AQ25" s="701"/>
      <c r="AR25" s="701"/>
      <c r="AS25" s="701"/>
      <c r="AT25" s="701"/>
      <c r="AU25" s="701"/>
      <c r="AV25" s="701"/>
      <c r="AW25" s="701"/>
      <c r="AX25" s="701"/>
      <c r="AY25" s="701"/>
      <c r="AZ25" s="701"/>
      <c r="BA25" s="701"/>
      <c r="BB25" s="701"/>
      <c r="BC25" s="701"/>
    </row>
    <row r="26" spans="1:55" s="702" customFormat="1" ht="35.1" customHeight="1">
      <c r="A26" s="703">
        <v>23</v>
      </c>
      <c r="B26" s="704" t="s">
        <v>2092</v>
      </c>
      <c r="C26" s="705" t="s">
        <v>1722</v>
      </c>
      <c r="D26" s="706">
        <v>0</v>
      </c>
      <c r="E26" s="706">
        <v>500000</v>
      </c>
      <c r="F26" s="707"/>
      <c r="G26" s="699" t="s">
        <v>2093</v>
      </c>
      <c r="H26" s="700"/>
      <c r="I26" s="700"/>
      <c r="J26" s="700"/>
      <c r="K26" s="700"/>
      <c r="L26" s="700"/>
      <c r="M26" s="701"/>
      <c r="N26" s="701"/>
      <c r="O26" s="701"/>
      <c r="P26" s="701"/>
      <c r="Q26" s="701"/>
      <c r="R26" s="701"/>
      <c r="S26" s="701"/>
      <c r="T26" s="701"/>
      <c r="U26" s="701"/>
      <c r="V26" s="701"/>
      <c r="W26" s="701"/>
      <c r="X26" s="701"/>
      <c r="Y26" s="701"/>
      <c r="Z26" s="701"/>
      <c r="AA26" s="701"/>
      <c r="AB26" s="701"/>
      <c r="AC26" s="701"/>
      <c r="AD26" s="701"/>
      <c r="AE26" s="701"/>
      <c r="AF26" s="701"/>
      <c r="AG26" s="701"/>
      <c r="AH26" s="701"/>
      <c r="AI26" s="701"/>
      <c r="AJ26" s="701"/>
      <c r="AK26" s="701"/>
      <c r="AL26" s="701"/>
      <c r="AM26" s="701"/>
      <c r="AN26" s="701"/>
      <c r="AO26" s="701"/>
      <c r="AP26" s="701"/>
      <c r="AQ26" s="701"/>
      <c r="AR26" s="701"/>
      <c r="AS26" s="701"/>
      <c r="AT26" s="701"/>
      <c r="AU26" s="701"/>
      <c r="AV26" s="701"/>
      <c r="AW26" s="701"/>
      <c r="AX26" s="701"/>
      <c r="AY26" s="701"/>
      <c r="AZ26" s="701"/>
      <c r="BA26" s="701"/>
      <c r="BB26" s="701"/>
      <c r="BC26" s="701"/>
    </row>
    <row r="27" spans="1:55" s="702" customFormat="1" ht="35.1" customHeight="1">
      <c r="A27" s="703">
        <v>24</v>
      </c>
      <c r="B27" s="704" t="s">
        <v>1764</v>
      </c>
      <c r="C27" s="705" t="s">
        <v>655</v>
      </c>
      <c r="D27" s="708">
        <v>15000</v>
      </c>
      <c r="E27" s="708">
        <v>15000</v>
      </c>
      <c r="F27" s="707" t="s">
        <v>2094</v>
      </c>
      <c r="G27" s="699"/>
      <c r="H27" s="700"/>
      <c r="I27" s="700" t="s">
        <v>2061</v>
      </c>
      <c r="J27" s="700"/>
      <c r="K27" s="700"/>
      <c r="L27" s="700"/>
      <c r="M27" s="701"/>
      <c r="N27" s="701"/>
      <c r="O27" s="701"/>
      <c r="P27" s="701"/>
      <c r="Q27" s="701"/>
      <c r="R27" s="701"/>
      <c r="S27" s="701"/>
      <c r="T27" s="701"/>
      <c r="U27" s="701"/>
      <c r="V27" s="701"/>
      <c r="W27" s="701"/>
      <c r="X27" s="701"/>
      <c r="Y27" s="701"/>
      <c r="Z27" s="701"/>
      <c r="AA27" s="701"/>
      <c r="AB27" s="701"/>
      <c r="AC27" s="701"/>
      <c r="AD27" s="701"/>
      <c r="AE27" s="701"/>
      <c r="AF27" s="701"/>
      <c r="AG27" s="701"/>
      <c r="AH27" s="701"/>
      <c r="AI27" s="701"/>
      <c r="AJ27" s="701"/>
      <c r="AK27" s="701"/>
      <c r="AL27" s="701"/>
      <c r="AM27" s="701"/>
      <c r="AN27" s="701"/>
      <c r="AO27" s="701"/>
      <c r="AP27" s="701"/>
      <c r="AQ27" s="701"/>
      <c r="AR27" s="701"/>
      <c r="AS27" s="701"/>
      <c r="AT27" s="701"/>
      <c r="AU27" s="701"/>
      <c r="AV27" s="701"/>
      <c r="AW27" s="701"/>
      <c r="AX27" s="701"/>
      <c r="AY27" s="701"/>
      <c r="AZ27" s="701"/>
      <c r="BA27" s="701"/>
      <c r="BB27" s="701"/>
      <c r="BC27" s="701"/>
    </row>
    <row r="28" spans="1:55" s="702" customFormat="1" ht="35.1" customHeight="1">
      <c r="A28" s="703">
        <v>25</v>
      </c>
      <c r="B28" s="704" t="s">
        <v>2095</v>
      </c>
      <c r="C28" s="705" t="s">
        <v>624</v>
      </c>
      <c r="D28" s="708">
        <v>26000</v>
      </c>
      <c r="E28" s="708">
        <v>26000</v>
      </c>
      <c r="F28" s="707" t="s">
        <v>2094</v>
      </c>
      <c r="G28" s="699"/>
      <c r="H28" s="700"/>
      <c r="I28" s="700" t="s">
        <v>2061</v>
      </c>
      <c r="J28" s="700"/>
      <c r="K28" s="700"/>
      <c r="L28" s="700"/>
      <c r="M28" s="701"/>
      <c r="N28" s="701"/>
      <c r="O28" s="701"/>
      <c r="P28" s="701"/>
      <c r="Q28" s="701"/>
      <c r="R28" s="701"/>
      <c r="S28" s="701"/>
      <c r="T28" s="701"/>
      <c r="U28" s="701"/>
      <c r="V28" s="701"/>
      <c r="W28" s="701"/>
      <c r="X28" s="701"/>
      <c r="Y28" s="701"/>
      <c r="Z28" s="701"/>
      <c r="AA28" s="701"/>
      <c r="AB28" s="701"/>
      <c r="AC28" s="701"/>
      <c r="AD28" s="701"/>
      <c r="AE28" s="701"/>
      <c r="AF28" s="701"/>
      <c r="AG28" s="701"/>
      <c r="AH28" s="701"/>
      <c r="AI28" s="701"/>
      <c r="AJ28" s="701"/>
      <c r="AK28" s="701"/>
      <c r="AL28" s="701"/>
      <c r="AM28" s="701"/>
      <c r="AN28" s="701"/>
      <c r="AO28" s="701"/>
      <c r="AP28" s="701"/>
      <c r="AQ28" s="701"/>
      <c r="AR28" s="701"/>
      <c r="AS28" s="701"/>
      <c r="AT28" s="701"/>
      <c r="AU28" s="701"/>
      <c r="AV28" s="701"/>
      <c r="AW28" s="701"/>
      <c r="AX28" s="701"/>
      <c r="AY28" s="701"/>
      <c r="AZ28" s="701"/>
      <c r="BA28" s="701"/>
      <c r="BB28" s="701"/>
      <c r="BC28" s="701"/>
    </row>
    <row r="29" spans="1:55" s="702" customFormat="1" ht="35.1" customHeight="1">
      <c r="A29" s="703">
        <v>26</v>
      </c>
      <c r="B29" s="704" t="s">
        <v>2096</v>
      </c>
      <c r="C29" s="705" t="s">
        <v>655</v>
      </c>
      <c r="D29" s="706">
        <v>8000</v>
      </c>
      <c r="E29" s="706">
        <v>8000</v>
      </c>
      <c r="F29" s="707" t="s">
        <v>2094</v>
      </c>
      <c r="G29" s="699"/>
      <c r="H29" s="700"/>
      <c r="I29" s="700" t="s">
        <v>2061</v>
      </c>
      <c r="J29" s="700"/>
      <c r="K29" s="700"/>
      <c r="L29" s="700"/>
      <c r="M29" s="701"/>
      <c r="N29" s="701"/>
      <c r="O29" s="701"/>
      <c r="P29" s="701"/>
      <c r="Q29" s="701"/>
      <c r="R29" s="701"/>
      <c r="S29" s="701"/>
      <c r="T29" s="701"/>
      <c r="U29" s="701"/>
      <c r="V29" s="701"/>
      <c r="W29" s="701"/>
      <c r="X29" s="701"/>
      <c r="Y29" s="701"/>
      <c r="Z29" s="701"/>
      <c r="AA29" s="701"/>
      <c r="AB29" s="701"/>
      <c r="AC29" s="701"/>
      <c r="AD29" s="701"/>
      <c r="AE29" s="701"/>
      <c r="AF29" s="701"/>
      <c r="AG29" s="701"/>
      <c r="AH29" s="701"/>
      <c r="AI29" s="701"/>
      <c r="AJ29" s="701"/>
      <c r="AK29" s="701"/>
      <c r="AL29" s="701"/>
      <c r="AM29" s="701"/>
      <c r="AN29" s="701"/>
      <c r="AO29" s="701"/>
      <c r="AP29" s="701"/>
      <c r="AQ29" s="701"/>
      <c r="AR29" s="701"/>
      <c r="AS29" s="701"/>
      <c r="AT29" s="701"/>
      <c r="AU29" s="701"/>
      <c r="AV29" s="701"/>
      <c r="AW29" s="701"/>
      <c r="AX29" s="701"/>
      <c r="AY29" s="701"/>
      <c r="AZ29" s="701"/>
      <c r="BA29" s="701"/>
      <c r="BB29" s="701"/>
      <c r="BC29" s="701"/>
    </row>
    <row r="30" spans="1:55" s="702" customFormat="1" ht="35.1" customHeight="1">
      <c r="A30" s="703">
        <v>27</v>
      </c>
      <c r="B30" s="704" t="s">
        <v>2097</v>
      </c>
      <c r="C30" s="705" t="s">
        <v>655</v>
      </c>
      <c r="D30" s="706">
        <v>10000</v>
      </c>
      <c r="E30" s="706">
        <v>10000</v>
      </c>
      <c r="F30" s="707" t="s">
        <v>2094</v>
      </c>
      <c r="G30" s="699"/>
      <c r="H30" s="700"/>
      <c r="I30" s="700" t="s">
        <v>2061</v>
      </c>
      <c r="J30" s="700"/>
      <c r="K30" s="700"/>
      <c r="L30" s="700"/>
      <c r="M30" s="701"/>
      <c r="N30" s="701"/>
      <c r="O30" s="701"/>
      <c r="P30" s="701"/>
      <c r="Q30" s="701"/>
      <c r="R30" s="701"/>
      <c r="S30" s="701"/>
      <c r="T30" s="701"/>
      <c r="U30" s="701"/>
      <c r="V30" s="701"/>
      <c r="W30" s="701"/>
      <c r="X30" s="701"/>
      <c r="Y30" s="701"/>
      <c r="Z30" s="701"/>
      <c r="AA30" s="701"/>
      <c r="AB30" s="701"/>
      <c r="AC30" s="701"/>
      <c r="AD30" s="701"/>
      <c r="AE30" s="701"/>
      <c r="AF30" s="701"/>
      <c r="AG30" s="701"/>
      <c r="AH30" s="701"/>
      <c r="AI30" s="701"/>
      <c r="AJ30" s="701"/>
      <c r="AK30" s="701"/>
      <c r="AL30" s="701"/>
      <c r="AM30" s="701"/>
      <c r="AN30" s="701"/>
      <c r="AO30" s="701"/>
      <c r="AP30" s="701"/>
      <c r="AQ30" s="701"/>
      <c r="AR30" s="701"/>
      <c r="AS30" s="701"/>
      <c r="AT30" s="701"/>
      <c r="AU30" s="701"/>
      <c r="AV30" s="701"/>
      <c r="AW30" s="701"/>
      <c r="AX30" s="701"/>
      <c r="AY30" s="701"/>
      <c r="AZ30" s="701"/>
      <c r="BA30" s="701"/>
      <c r="BB30" s="701"/>
      <c r="BC30" s="701"/>
    </row>
    <row r="31" spans="1:55" s="702" customFormat="1" ht="35.1" customHeight="1">
      <c r="A31" s="703">
        <v>28</v>
      </c>
      <c r="B31" s="704" t="s">
        <v>2098</v>
      </c>
      <c r="C31" s="705" t="s">
        <v>655</v>
      </c>
      <c r="D31" s="706">
        <v>15000</v>
      </c>
      <c r="E31" s="706">
        <v>15000</v>
      </c>
      <c r="F31" s="707"/>
      <c r="G31" s="699"/>
      <c r="H31" s="700"/>
      <c r="I31" s="700" t="s">
        <v>2099</v>
      </c>
      <c r="J31" s="700"/>
      <c r="K31" s="700"/>
      <c r="L31" s="700"/>
      <c r="M31" s="701"/>
      <c r="N31" s="701"/>
      <c r="O31" s="701"/>
      <c r="P31" s="701"/>
      <c r="Q31" s="701"/>
      <c r="R31" s="701"/>
      <c r="S31" s="701"/>
      <c r="T31" s="701"/>
      <c r="U31" s="701"/>
      <c r="V31" s="701"/>
      <c r="W31" s="701"/>
      <c r="X31" s="701"/>
      <c r="Y31" s="701"/>
      <c r="Z31" s="701"/>
      <c r="AA31" s="701"/>
      <c r="AB31" s="701"/>
      <c r="AC31" s="701"/>
      <c r="AD31" s="701"/>
      <c r="AE31" s="701"/>
      <c r="AF31" s="701"/>
      <c r="AG31" s="701"/>
      <c r="AH31" s="701"/>
      <c r="AI31" s="701"/>
      <c r="AJ31" s="701"/>
      <c r="AK31" s="701"/>
      <c r="AL31" s="701"/>
      <c r="AM31" s="701"/>
      <c r="AN31" s="701"/>
      <c r="AO31" s="701"/>
      <c r="AP31" s="701"/>
      <c r="AQ31" s="701"/>
      <c r="AR31" s="701"/>
      <c r="AS31" s="701"/>
      <c r="AT31" s="701"/>
      <c r="AU31" s="701"/>
      <c r="AV31" s="701"/>
      <c r="AW31" s="701"/>
      <c r="AX31" s="701"/>
      <c r="AY31" s="701"/>
      <c r="AZ31" s="701"/>
      <c r="BA31" s="701"/>
      <c r="BB31" s="701"/>
      <c r="BC31" s="701"/>
    </row>
    <row r="32" spans="1:55" s="702" customFormat="1" ht="35.1" customHeight="1">
      <c r="A32" s="703">
        <v>29</v>
      </c>
      <c r="B32" s="704" t="s">
        <v>2100</v>
      </c>
      <c r="C32" s="705" t="s">
        <v>655</v>
      </c>
      <c r="D32" s="706">
        <v>50000</v>
      </c>
      <c r="E32" s="706">
        <v>50000</v>
      </c>
      <c r="F32" s="707"/>
      <c r="G32" s="699"/>
      <c r="H32" s="700"/>
      <c r="I32" s="700" t="s">
        <v>2099</v>
      </c>
      <c r="J32" s="700"/>
      <c r="K32" s="700"/>
      <c r="L32" s="700"/>
      <c r="M32" s="701"/>
      <c r="N32" s="701"/>
      <c r="O32" s="701"/>
      <c r="P32" s="701"/>
      <c r="Q32" s="701"/>
      <c r="R32" s="701"/>
      <c r="S32" s="701"/>
      <c r="T32" s="701"/>
      <c r="U32" s="701"/>
      <c r="V32" s="701"/>
      <c r="W32" s="701"/>
      <c r="X32" s="701"/>
      <c r="Y32" s="701"/>
      <c r="Z32" s="701"/>
      <c r="AA32" s="701"/>
      <c r="AB32" s="701"/>
      <c r="AC32" s="701"/>
      <c r="AD32" s="701"/>
      <c r="AE32" s="701"/>
      <c r="AF32" s="701"/>
      <c r="AG32" s="701"/>
      <c r="AH32" s="701"/>
      <c r="AI32" s="701"/>
      <c r="AJ32" s="701"/>
      <c r="AK32" s="701"/>
      <c r="AL32" s="701"/>
      <c r="AM32" s="701"/>
      <c r="AN32" s="701"/>
      <c r="AO32" s="701"/>
      <c r="AP32" s="701"/>
      <c r="AQ32" s="701"/>
      <c r="AR32" s="701"/>
      <c r="AS32" s="701"/>
      <c r="AT32" s="701"/>
      <c r="AU32" s="701"/>
      <c r="AV32" s="701"/>
      <c r="AW32" s="701"/>
      <c r="AX32" s="701"/>
      <c r="AY32" s="701"/>
      <c r="AZ32" s="701"/>
      <c r="BA32" s="701"/>
      <c r="BB32" s="701"/>
      <c r="BC32" s="701"/>
    </row>
    <row r="33" spans="1:55" s="702" customFormat="1" ht="45">
      <c r="A33" s="703">
        <v>30</v>
      </c>
      <c r="B33" s="704" t="s">
        <v>2101</v>
      </c>
      <c r="C33" s="705" t="s">
        <v>2102</v>
      </c>
      <c r="D33" s="706">
        <v>500000</v>
      </c>
      <c r="E33" s="706">
        <v>500000</v>
      </c>
      <c r="F33" s="707" t="s">
        <v>2068</v>
      </c>
      <c r="G33" s="699"/>
      <c r="H33" s="700"/>
      <c r="I33" s="700" t="s">
        <v>2061</v>
      </c>
      <c r="J33" s="700"/>
      <c r="K33" s="700"/>
      <c r="L33" s="700"/>
      <c r="M33" s="701"/>
      <c r="N33" s="701"/>
      <c r="O33" s="701"/>
      <c r="P33" s="701"/>
      <c r="Q33" s="701"/>
      <c r="R33" s="701"/>
      <c r="S33" s="701"/>
      <c r="T33" s="701"/>
      <c r="U33" s="701"/>
      <c r="V33" s="701"/>
      <c r="W33" s="701"/>
      <c r="X33" s="701"/>
      <c r="Y33" s="701"/>
      <c r="Z33" s="701"/>
      <c r="AA33" s="701"/>
      <c r="AB33" s="701"/>
      <c r="AC33" s="701"/>
      <c r="AD33" s="701"/>
      <c r="AE33" s="701"/>
      <c r="AF33" s="701"/>
      <c r="AG33" s="701"/>
      <c r="AH33" s="701"/>
      <c r="AI33" s="701"/>
      <c r="AJ33" s="701"/>
      <c r="AK33" s="701"/>
      <c r="AL33" s="701"/>
      <c r="AM33" s="701"/>
      <c r="AN33" s="701"/>
      <c r="AO33" s="701"/>
      <c r="AP33" s="701"/>
      <c r="AQ33" s="701"/>
      <c r="AR33" s="701"/>
      <c r="AS33" s="701"/>
      <c r="AT33" s="701"/>
      <c r="AU33" s="701"/>
      <c r="AV33" s="701"/>
      <c r="AW33" s="701"/>
      <c r="AX33" s="701"/>
      <c r="AY33" s="701"/>
      <c r="AZ33" s="701"/>
      <c r="BA33" s="701"/>
      <c r="BB33" s="701"/>
      <c r="BC33" s="701"/>
    </row>
    <row r="34" spans="1:55" s="702" customFormat="1" ht="35.1" customHeight="1">
      <c r="A34" s="703">
        <v>31</v>
      </c>
      <c r="B34" s="704" t="s">
        <v>2103</v>
      </c>
      <c r="C34" s="705" t="s">
        <v>685</v>
      </c>
      <c r="D34" s="706">
        <v>6240</v>
      </c>
      <c r="E34" s="706">
        <v>6240</v>
      </c>
      <c r="F34" s="707" t="s">
        <v>2104</v>
      </c>
      <c r="G34" s="699"/>
      <c r="H34" s="700"/>
      <c r="I34" s="700"/>
      <c r="J34" s="700"/>
      <c r="K34" s="700"/>
      <c r="L34" s="700"/>
      <c r="M34" s="701"/>
      <c r="N34" s="701"/>
      <c r="O34" s="701"/>
      <c r="P34" s="701"/>
      <c r="Q34" s="701"/>
      <c r="R34" s="701"/>
      <c r="S34" s="701"/>
      <c r="T34" s="701"/>
      <c r="U34" s="701"/>
      <c r="V34" s="701"/>
      <c r="W34" s="701"/>
      <c r="X34" s="701"/>
      <c r="Y34" s="701"/>
      <c r="Z34" s="701"/>
      <c r="AA34" s="701"/>
      <c r="AB34" s="701"/>
      <c r="AC34" s="701"/>
      <c r="AD34" s="701"/>
      <c r="AE34" s="701"/>
      <c r="AF34" s="701"/>
      <c r="AG34" s="701"/>
      <c r="AH34" s="701"/>
      <c r="AI34" s="701"/>
      <c r="AJ34" s="701"/>
      <c r="AK34" s="701"/>
      <c r="AL34" s="701"/>
      <c r="AM34" s="701"/>
      <c r="AN34" s="701"/>
      <c r="AO34" s="701"/>
      <c r="AP34" s="701"/>
      <c r="AQ34" s="701"/>
      <c r="AR34" s="701"/>
      <c r="AS34" s="701"/>
      <c r="AT34" s="701"/>
      <c r="AU34" s="701"/>
      <c r="AV34" s="701"/>
      <c r="AW34" s="701"/>
      <c r="AX34" s="701"/>
      <c r="AY34" s="701"/>
      <c r="AZ34" s="701"/>
      <c r="BA34" s="701"/>
      <c r="BB34" s="701"/>
      <c r="BC34" s="701"/>
    </row>
    <row r="35" spans="1:55" s="702" customFormat="1" ht="35.1" customHeight="1">
      <c r="A35" s="703">
        <v>32</v>
      </c>
      <c r="B35" s="704" t="s">
        <v>2105</v>
      </c>
      <c r="C35" s="705" t="s">
        <v>685</v>
      </c>
      <c r="D35" s="706">
        <v>10180</v>
      </c>
      <c r="E35" s="706">
        <v>10180</v>
      </c>
      <c r="F35" s="707" t="s">
        <v>2104</v>
      </c>
      <c r="G35" s="699"/>
      <c r="H35" s="700"/>
      <c r="I35" s="700"/>
      <c r="J35" s="700"/>
      <c r="K35" s="700"/>
      <c r="L35" s="700"/>
      <c r="M35" s="701"/>
      <c r="N35" s="701"/>
      <c r="O35" s="701"/>
      <c r="P35" s="701"/>
      <c r="Q35" s="701"/>
      <c r="R35" s="701"/>
      <c r="S35" s="701"/>
      <c r="T35" s="701"/>
      <c r="U35" s="701"/>
      <c r="V35" s="701"/>
      <c r="W35" s="701"/>
      <c r="X35" s="701"/>
      <c r="Y35" s="701"/>
      <c r="Z35" s="701"/>
      <c r="AA35" s="701"/>
      <c r="AB35" s="701"/>
      <c r="AC35" s="701"/>
      <c r="AD35" s="701"/>
      <c r="AE35" s="701"/>
      <c r="AF35" s="701"/>
      <c r="AG35" s="701"/>
      <c r="AH35" s="701"/>
      <c r="AI35" s="701"/>
      <c r="AJ35" s="701"/>
      <c r="AK35" s="701"/>
      <c r="AL35" s="701"/>
      <c r="AM35" s="701"/>
      <c r="AN35" s="701"/>
      <c r="AO35" s="701"/>
      <c r="AP35" s="701"/>
      <c r="AQ35" s="701"/>
      <c r="AR35" s="701"/>
      <c r="AS35" s="701"/>
      <c r="AT35" s="701"/>
      <c r="AU35" s="701"/>
      <c r="AV35" s="701"/>
      <c r="AW35" s="701"/>
      <c r="AX35" s="701"/>
      <c r="AY35" s="701"/>
      <c r="AZ35" s="701"/>
      <c r="BA35" s="701"/>
      <c r="BB35" s="701"/>
      <c r="BC35" s="701"/>
    </row>
    <row r="36" spans="1:55" s="702" customFormat="1" ht="35.1" customHeight="1">
      <c r="A36" s="703">
        <v>33</v>
      </c>
      <c r="B36" s="704" t="s">
        <v>2106</v>
      </c>
      <c r="C36" s="705" t="s">
        <v>685</v>
      </c>
      <c r="D36" s="706">
        <v>15410</v>
      </c>
      <c r="E36" s="706">
        <v>15410</v>
      </c>
      <c r="F36" s="707" t="s">
        <v>2104</v>
      </c>
      <c r="G36" s="699"/>
      <c r="H36" s="700"/>
      <c r="I36" s="700"/>
      <c r="J36" s="700"/>
      <c r="K36" s="700"/>
      <c r="L36" s="700"/>
      <c r="M36" s="701"/>
      <c r="N36" s="701"/>
      <c r="O36" s="701"/>
      <c r="P36" s="701"/>
      <c r="Q36" s="701"/>
      <c r="R36" s="701"/>
      <c r="S36" s="701"/>
      <c r="T36" s="701"/>
      <c r="U36" s="701"/>
      <c r="V36" s="701"/>
      <c r="W36" s="701"/>
      <c r="X36" s="701"/>
      <c r="Y36" s="701"/>
      <c r="Z36" s="701"/>
      <c r="AA36" s="701"/>
      <c r="AB36" s="701"/>
      <c r="AC36" s="701"/>
      <c r="AD36" s="701"/>
      <c r="AE36" s="701"/>
      <c r="AF36" s="701"/>
      <c r="AG36" s="701"/>
      <c r="AH36" s="701"/>
      <c r="AI36" s="701"/>
      <c r="AJ36" s="701"/>
      <c r="AK36" s="701"/>
      <c r="AL36" s="701"/>
      <c r="AM36" s="701"/>
      <c r="AN36" s="701"/>
      <c r="AO36" s="701"/>
      <c r="AP36" s="701"/>
      <c r="AQ36" s="701"/>
      <c r="AR36" s="701"/>
      <c r="AS36" s="701"/>
      <c r="AT36" s="701"/>
      <c r="AU36" s="701"/>
      <c r="AV36" s="701"/>
      <c r="AW36" s="701"/>
      <c r="AX36" s="701"/>
      <c r="AY36" s="701"/>
      <c r="AZ36" s="701"/>
      <c r="BA36" s="701"/>
      <c r="BB36" s="701"/>
      <c r="BC36" s="701"/>
    </row>
    <row r="37" spans="1:55" s="702" customFormat="1" ht="35.1" customHeight="1">
      <c r="A37" s="703">
        <v>34</v>
      </c>
      <c r="B37" s="704" t="s">
        <v>2107</v>
      </c>
      <c r="C37" s="705" t="s">
        <v>685</v>
      </c>
      <c r="D37" s="706">
        <v>22610</v>
      </c>
      <c r="E37" s="706">
        <v>22610</v>
      </c>
      <c r="F37" s="707" t="s">
        <v>2104</v>
      </c>
      <c r="G37" s="699"/>
      <c r="H37" s="700"/>
      <c r="I37" s="700"/>
      <c r="J37" s="700"/>
      <c r="K37" s="700"/>
      <c r="L37" s="700"/>
      <c r="M37" s="701"/>
      <c r="N37" s="701"/>
      <c r="O37" s="701"/>
      <c r="P37" s="701"/>
      <c r="Q37" s="701"/>
      <c r="R37" s="701"/>
      <c r="S37" s="701"/>
      <c r="T37" s="701"/>
      <c r="U37" s="701"/>
      <c r="V37" s="701"/>
      <c r="W37" s="701"/>
      <c r="X37" s="701"/>
      <c r="Y37" s="701"/>
      <c r="Z37" s="701"/>
      <c r="AA37" s="701"/>
      <c r="AB37" s="701"/>
      <c r="AC37" s="701"/>
      <c r="AD37" s="701"/>
      <c r="AE37" s="701"/>
      <c r="AF37" s="701"/>
      <c r="AG37" s="701"/>
      <c r="AH37" s="701"/>
      <c r="AI37" s="701"/>
      <c r="AJ37" s="701"/>
      <c r="AK37" s="701"/>
      <c r="AL37" s="701"/>
      <c r="AM37" s="701"/>
      <c r="AN37" s="701"/>
      <c r="AO37" s="701"/>
      <c r="AP37" s="701"/>
      <c r="AQ37" s="701"/>
      <c r="AR37" s="701"/>
      <c r="AS37" s="701"/>
      <c r="AT37" s="701"/>
      <c r="AU37" s="701"/>
      <c r="AV37" s="701"/>
      <c r="AW37" s="701"/>
      <c r="AX37" s="701"/>
      <c r="AY37" s="701"/>
      <c r="AZ37" s="701"/>
      <c r="BA37" s="701"/>
      <c r="BB37" s="701"/>
      <c r="BC37" s="701"/>
    </row>
    <row r="38" spans="1:55" s="702" customFormat="1" ht="35.1" customHeight="1">
      <c r="A38" s="703">
        <v>35</v>
      </c>
      <c r="B38" s="704" t="s">
        <v>2108</v>
      </c>
      <c r="C38" s="705" t="s">
        <v>685</v>
      </c>
      <c r="D38" s="706">
        <v>37460</v>
      </c>
      <c r="E38" s="706">
        <v>37460</v>
      </c>
      <c r="F38" s="707" t="s">
        <v>2104</v>
      </c>
      <c r="G38" s="699"/>
      <c r="H38" s="700"/>
      <c r="I38" s="700"/>
      <c r="J38" s="700"/>
      <c r="K38" s="700"/>
      <c r="L38" s="700"/>
      <c r="M38" s="701"/>
      <c r="N38" s="701"/>
      <c r="O38" s="701"/>
      <c r="P38" s="701"/>
      <c r="Q38" s="701"/>
      <c r="R38" s="701"/>
      <c r="S38" s="701"/>
      <c r="T38" s="701"/>
      <c r="U38" s="701"/>
      <c r="V38" s="701"/>
      <c r="W38" s="701"/>
      <c r="X38" s="701"/>
      <c r="Y38" s="701"/>
      <c r="Z38" s="701"/>
      <c r="AA38" s="701"/>
      <c r="AB38" s="701"/>
      <c r="AC38" s="701"/>
      <c r="AD38" s="701"/>
      <c r="AE38" s="701"/>
      <c r="AF38" s="701"/>
      <c r="AG38" s="701"/>
      <c r="AH38" s="701"/>
      <c r="AI38" s="701"/>
      <c r="AJ38" s="701"/>
      <c r="AK38" s="701"/>
      <c r="AL38" s="701"/>
      <c r="AM38" s="701"/>
      <c r="AN38" s="701"/>
      <c r="AO38" s="701"/>
      <c r="AP38" s="701"/>
      <c r="AQ38" s="701"/>
      <c r="AR38" s="701"/>
      <c r="AS38" s="701"/>
      <c r="AT38" s="701"/>
      <c r="AU38" s="701"/>
      <c r="AV38" s="701"/>
      <c r="AW38" s="701"/>
      <c r="AX38" s="701"/>
      <c r="AY38" s="701"/>
      <c r="AZ38" s="701"/>
      <c r="BA38" s="701"/>
      <c r="BB38" s="701"/>
      <c r="BC38" s="701"/>
    </row>
    <row r="39" spans="1:55" s="702" customFormat="1" ht="35.1" customHeight="1">
      <c r="A39" s="703">
        <v>36</v>
      </c>
      <c r="B39" s="704" t="s">
        <v>2109</v>
      </c>
      <c r="C39" s="705" t="s">
        <v>685</v>
      </c>
      <c r="D39" s="706">
        <v>57040</v>
      </c>
      <c r="E39" s="706">
        <v>57040</v>
      </c>
      <c r="F39" s="707" t="s">
        <v>2104</v>
      </c>
      <c r="G39" s="699"/>
      <c r="H39" s="700"/>
      <c r="I39" s="700"/>
      <c r="J39" s="700"/>
      <c r="K39" s="700"/>
      <c r="L39" s="700"/>
      <c r="M39" s="701"/>
      <c r="N39" s="701"/>
      <c r="O39" s="701"/>
      <c r="P39" s="701"/>
      <c r="Q39" s="701"/>
      <c r="R39" s="701"/>
      <c r="S39" s="701"/>
      <c r="T39" s="701"/>
      <c r="U39" s="701"/>
      <c r="V39" s="701"/>
      <c r="W39" s="701"/>
      <c r="X39" s="701"/>
      <c r="Y39" s="701"/>
      <c r="Z39" s="701"/>
      <c r="AA39" s="701"/>
      <c r="AB39" s="701"/>
      <c r="AC39" s="701"/>
      <c r="AD39" s="701"/>
      <c r="AE39" s="701"/>
      <c r="AF39" s="701"/>
      <c r="AG39" s="701"/>
      <c r="AH39" s="701"/>
      <c r="AI39" s="701"/>
      <c r="AJ39" s="701"/>
      <c r="AK39" s="701"/>
      <c r="AL39" s="701"/>
      <c r="AM39" s="701"/>
      <c r="AN39" s="701"/>
      <c r="AO39" s="701"/>
      <c r="AP39" s="701"/>
      <c r="AQ39" s="701"/>
      <c r="AR39" s="701"/>
      <c r="AS39" s="701"/>
      <c r="AT39" s="701"/>
      <c r="AU39" s="701"/>
      <c r="AV39" s="701"/>
      <c r="AW39" s="701"/>
      <c r="AX39" s="701"/>
      <c r="AY39" s="701"/>
      <c r="AZ39" s="701"/>
      <c r="BA39" s="701"/>
      <c r="BB39" s="701"/>
      <c r="BC39" s="701"/>
    </row>
    <row r="40" spans="1:55" s="701" customFormat="1" ht="35.1" customHeight="1">
      <c r="A40" s="710">
        <v>37</v>
      </c>
      <c r="B40" s="704" t="s">
        <v>2110</v>
      </c>
      <c r="C40" s="705" t="s">
        <v>685</v>
      </c>
      <c r="D40" s="706">
        <v>89440</v>
      </c>
      <c r="E40" s="706">
        <v>89440</v>
      </c>
      <c r="F40" s="707" t="s">
        <v>2104</v>
      </c>
      <c r="G40" s="699"/>
      <c r="H40" s="700"/>
      <c r="I40" s="700"/>
      <c r="J40" s="700"/>
      <c r="K40" s="700"/>
      <c r="L40" s="700"/>
    </row>
    <row r="41" spans="1:55" s="702" customFormat="1" ht="35.1" customHeight="1">
      <c r="A41" s="703">
        <v>38</v>
      </c>
      <c r="B41" s="704" t="s">
        <v>2111</v>
      </c>
      <c r="C41" s="705" t="s">
        <v>685</v>
      </c>
      <c r="D41" s="706">
        <v>123750</v>
      </c>
      <c r="E41" s="706">
        <v>123750</v>
      </c>
      <c r="F41" s="707" t="s">
        <v>2104</v>
      </c>
      <c r="G41" s="699"/>
      <c r="H41" s="700"/>
      <c r="I41" s="700"/>
      <c r="J41" s="700"/>
      <c r="K41" s="700"/>
      <c r="L41" s="700"/>
      <c r="M41" s="701"/>
      <c r="N41" s="701"/>
      <c r="O41" s="701"/>
      <c r="P41" s="701"/>
      <c r="Q41" s="701"/>
      <c r="R41" s="701"/>
      <c r="S41" s="701"/>
      <c r="T41" s="701"/>
      <c r="U41" s="701"/>
      <c r="V41" s="701"/>
      <c r="W41" s="701"/>
      <c r="X41" s="701"/>
      <c r="Y41" s="701"/>
      <c r="Z41" s="701"/>
      <c r="AA41" s="701"/>
      <c r="AB41" s="701"/>
      <c r="AC41" s="701"/>
      <c r="AD41" s="701"/>
      <c r="AE41" s="701"/>
      <c r="AF41" s="701"/>
      <c r="AG41" s="701"/>
      <c r="AH41" s="701"/>
      <c r="AI41" s="701"/>
      <c r="AJ41" s="701"/>
      <c r="AK41" s="701"/>
      <c r="AL41" s="701"/>
      <c r="AM41" s="701"/>
      <c r="AN41" s="701"/>
      <c r="AO41" s="701"/>
      <c r="AP41" s="701"/>
      <c r="AQ41" s="701"/>
      <c r="AR41" s="701"/>
      <c r="AS41" s="701"/>
      <c r="AT41" s="701"/>
      <c r="AU41" s="701"/>
      <c r="AV41" s="701"/>
      <c r="AW41" s="701"/>
      <c r="AX41" s="701"/>
      <c r="AY41" s="701"/>
      <c r="AZ41" s="701"/>
      <c r="BA41" s="701"/>
      <c r="BB41" s="701"/>
      <c r="BC41" s="701"/>
    </row>
    <row r="42" spans="1:55" s="702" customFormat="1" ht="35.1" customHeight="1">
      <c r="A42" s="703">
        <v>39</v>
      </c>
      <c r="B42" s="704" t="s">
        <v>2112</v>
      </c>
      <c r="C42" s="705" t="s">
        <v>685</v>
      </c>
      <c r="D42" s="706">
        <v>169310</v>
      </c>
      <c r="E42" s="706">
        <v>169310</v>
      </c>
      <c r="F42" s="707" t="s">
        <v>2104</v>
      </c>
      <c r="G42" s="699"/>
      <c r="H42" s="700"/>
      <c r="I42" s="700"/>
      <c r="J42" s="700"/>
      <c r="K42" s="700"/>
      <c r="L42" s="700"/>
      <c r="M42" s="701"/>
      <c r="N42" s="701"/>
      <c r="O42" s="701"/>
      <c r="P42" s="701"/>
      <c r="Q42" s="701"/>
      <c r="R42" s="701"/>
      <c r="S42" s="701"/>
      <c r="T42" s="701"/>
      <c r="U42" s="701"/>
      <c r="V42" s="701"/>
      <c r="W42" s="701"/>
      <c r="X42" s="701"/>
      <c r="Y42" s="701"/>
      <c r="Z42" s="701"/>
      <c r="AA42" s="701"/>
      <c r="AB42" s="701"/>
      <c r="AC42" s="701"/>
      <c r="AD42" s="701"/>
      <c r="AE42" s="701"/>
      <c r="AF42" s="701"/>
      <c r="AG42" s="701"/>
      <c r="AH42" s="701"/>
      <c r="AI42" s="701"/>
      <c r="AJ42" s="701"/>
      <c r="AK42" s="701"/>
      <c r="AL42" s="701"/>
      <c r="AM42" s="701"/>
      <c r="AN42" s="701"/>
      <c r="AO42" s="701"/>
      <c r="AP42" s="701"/>
      <c r="AQ42" s="701"/>
      <c r="AR42" s="701"/>
      <c r="AS42" s="701"/>
      <c r="AT42" s="701"/>
      <c r="AU42" s="701"/>
      <c r="AV42" s="701"/>
      <c r="AW42" s="701"/>
      <c r="AX42" s="701"/>
      <c r="AY42" s="701"/>
      <c r="AZ42" s="701"/>
      <c r="BA42" s="701"/>
      <c r="BB42" s="701"/>
      <c r="BC42" s="701"/>
    </row>
    <row r="43" spans="1:55" s="702" customFormat="1" ht="35.1" customHeight="1">
      <c r="A43" s="703">
        <v>40</v>
      </c>
      <c r="B43" s="704" t="s">
        <v>2113</v>
      </c>
      <c r="C43" s="705" t="s">
        <v>685</v>
      </c>
      <c r="D43" s="706">
        <v>29360</v>
      </c>
      <c r="E43" s="706">
        <v>29360</v>
      </c>
      <c r="F43" s="707" t="s">
        <v>2104</v>
      </c>
      <c r="G43" s="699"/>
      <c r="H43" s="700"/>
      <c r="I43" s="700"/>
      <c r="J43" s="700"/>
      <c r="K43" s="700"/>
      <c r="L43" s="700"/>
      <c r="M43" s="701"/>
      <c r="N43" s="701"/>
      <c r="O43" s="701"/>
      <c r="P43" s="701"/>
      <c r="Q43" s="701"/>
      <c r="R43" s="701"/>
      <c r="S43" s="701"/>
      <c r="T43" s="701"/>
      <c r="U43" s="701"/>
      <c r="V43" s="701"/>
      <c r="W43" s="701"/>
      <c r="X43" s="701"/>
      <c r="Y43" s="701"/>
      <c r="Z43" s="701"/>
      <c r="AA43" s="701"/>
      <c r="AB43" s="701"/>
      <c r="AC43" s="701"/>
      <c r="AD43" s="701"/>
      <c r="AE43" s="701"/>
      <c r="AF43" s="701"/>
      <c r="AG43" s="701"/>
      <c r="AH43" s="701"/>
      <c r="AI43" s="701"/>
      <c r="AJ43" s="701"/>
      <c r="AK43" s="701"/>
      <c r="AL43" s="701"/>
      <c r="AM43" s="701"/>
      <c r="AN43" s="701"/>
      <c r="AO43" s="701"/>
      <c r="AP43" s="701"/>
      <c r="AQ43" s="701"/>
      <c r="AR43" s="701"/>
      <c r="AS43" s="701"/>
      <c r="AT43" s="701"/>
      <c r="AU43" s="701"/>
      <c r="AV43" s="701"/>
      <c r="AW43" s="701"/>
      <c r="AX43" s="701"/>
      <c r="AY43" s="701"/>
      <c r="AZ43" s="701"/>
      <c r="BA43" s="701"/>
      <c r="BB43" s="701"/>
      <c r="BC43" s="701"/>
    </row>
    <row r="44" spans="1:55" s="702" customFormat="1" ht="35.1" customHeight="1">
      <c r="A44" s="703">
        <v>41</v>
      </c>
      <c r="B44" s="704" t="s">
        <v>2114</v>
      </c>
      <c r="C44" s="705" t="s">
        <v>685</v>
      </c>
      <c r="D44" s="706">
        <v>42530</v>
      </c>
      <c r="E44" s="706">
        <v>42530</v>
      </c>
      <c r="F44" s="707" t="s">
        <v>2104</v>
      </c>
      <c r="G44" s="699"/>
      <c r="H44" s="700"/>
      <c r="I44" s="700"/>
      <c r="J44" s="700"/>
      <c r="K44" s="700"/>
      <c r="L44" s="700"/>
      <c r="M44" s="701"/>
      <c r="N44" s="701"/>
      <c r="O44" s="701"/>
      <c r="P44" s="701"/>
      <c r="Q44" s="701"/>
      <c r="R44" s="701"/>
      <c r="S44" s="701"/>
      <c r="T44" s="701"/>
      <c r="U44" s="701"/>
      <c r="V44" s="701"/>
      <c r="W44" s="701"/>
      <c r="X44" s="701"/>
      <c r="Y44" s="701"/>
      <c r="Z44" s="701"/>
      <c r="AA44" s="701"/>
      <c r="AB44" s="701"/>
      <c r="AC44" s="701"/>
      <c r="AD44" s="701"/>
      <c r="AE44" s="701"/>
      <c r="AF44" s="701"/>
      <c r="AG44" s="701"/>
      <c r="AH44" s="701"/>
      <c r="AI44" s="701"/>
      <c r="AJ44" s="701"/>
      <c r="AK44" s="701"/>
      <c r="AL44" s="701"/>
      <c r="AM44" s="701"/>
      <c r="AN44" s="701"/>
      <c r="AO44" s="701"/>
      <c r="AP44" s="701"/>
      <c r="AQ44" s="701"/>
      <c r="AR44" s="701"/>
      <c r="AS44" s="701"/>
      <c r="AT44" s="701"/>
      <c r="AU44" s="701"/>
      <c r="AV44" s="701"/>
      <c r="AW44" s="701"/>
      <c r="AX44" s="701"/>
      <c r="AY44" s="701"/>
      <c r="AZ44" s="701"/>
      <c r="BA44" s="701"/>
      <c r="BB44" s="701"/>
      <c r="BC44" s="701"/>
    </row>
    <row r="45" spans="1:55" s="702" customFormat="1" ht="35.1" customHeight="1">
      <c r="A45" s="703">
        <v>42</v>
      </c>
      <c r="B45" s="704" t="s">
        <v>2115</v>
      </c>
      <c r="C45" s="705" t="s">
        <v>685</v>
      </c>
      <c r="D45" s="706">
        <v>58730</v>
      </c>
      <c r="E45" s="706">
        <v>58730</v>
      </c>
      <c r="F45" s="707" t="s">
        <v>2104</v>
      </c>
      <c r="G45" s="699"/>
      <c r="H45" s="700"/>
      <c r="I45" s="700"/>
      <c r="J45" s="700"/>
      <c r="K45" s="700"/>
      <c r="L45" s="700"/>
      <c r="M45" s="701"/>
      <c r="N45" s="701"/>
      <c r="O45" s="701"/>
      <c r="P45" s="701"/>
      <c r="Q45" s="701"/>
      <c r="R45" s="701"/>
      <c r="S45" s="701"/>
      <c r="T45" s="701"/>
      <c r="U45" s="701"/>
      <c r="V45" s="701"/>
      <c r="W45" s="701"/>
      <c r="X45" s="701"/>
      <c r="Y45" s="701"/>
      <c r="Z45" s="701"/>
      <c r="AA45" s="701"/>
      <c r="AB45" s="701"/>
      <c r="AC45" s="701"/>
      <c r="AD45" s="701"/>
      <c r="AE45" s="701"/>
      <c r="AF45" s="701"/>
      <c r="AG45" s="701"/>
      <c r="AH45" s="701"/>
      <c r="AI45" s="701"/>
      <c r="AJ45" s="701"/>
      <c r="AK45" s="701"/>
      <c r="AL45" s="701"/>
      <c r="AM45" s="701"/>
      <c r="AN45" s="701"/>
      <c r="AO45" s="701"/>
      <c r="AP45" s="701"/>
      <c r="AQ45" s="701"/>
      <c r="AR45" s="701"/>
      <c r="AS45" s="701"/>
      <c r="AT45" s="701"/>
      <c r="AU45" s="701"/>
      <c r="AV45" s="701"/>
      <c r="AW45" s="701"/>
      <c r="AX45" s="701"/>
      <c r="AY45" s="701"/>
      <c r="AZ45" s="701"/>
      <c r="BA45" s="701"/>
      <c r="BB45" s="701"/>
      <c r="BC45" s="701"/>
    </row>
    <row r="46" spans="1:55" s="702" customFormat="1" ht="35.1" customHeight="1">
      <c r="A46" s="703">
        <v>43</v>
      </c>
      <c r="B46" s="704" t="s">
        <v>2116</v>
      </c>
      <c r="C46" s="705" t="s">
        <v>685</v>
      </c>
      <c r="D46" s="706">
        <v>94840</v>
      </c>
      <c r="E46" s="706">
        <v>94840</v>
      </c>
      <c r="F46" s="707" t="s">
        <v>2104</v>
      </c>
      <c r="G46" s="699"/>
      <c r="H46" s="700"/>
      <c r="I46" s="700"/>
      <c r="J46" s="700"/>
      <c r="K46" s="700"/>
      <c r="L46" s="700"/>
      <c r="M46" s="701"/>
      <c r="N46" s="701"/>
      <c r="O46" s="701"/>
      <c r="P46" s="701"/>
      <c r="Q46" s="701"/>
      <c r="R46" s="701"/>
      <c r="S46" s="701"/>
      <c r="T46" s="701"/>
      <c r="U46" s="701"/>
      <c r="V46" s="701"/>
      <c r="W46" s="701"/>
      <c r="X46" s="701"/>
      <c r="Y46" s="701"/>
      <c r="Z46" s="701"/>
      <c r="AA46" s="701"/>
      <c r="AB46" s="701"/>
      <c r="AC46" s="701"/>
      <c r="AD46" s="701"/>
      <c r="AE46" s="701"/>
      <c r="AF46" s="701"/>
      <c r="AG46" s="701"/>
      <c r="AH46" s="701"/>
      <c r="AI46" s="701"/>
      <c r="AJ46" s="701"/>
      <c r="AK46" s="701"/>
      <c r="AL46" s="701"/>
      <c r="AM46" s="701"/>
      <c r="AN46" s="701"/>
      <c r="AO46" s="701"/>
      <c r="AP46" s="701"/>
      <c r="AQ46" s="701"/>
      <c r="AR46" s="701"/>
      <c r="AS46" s="701"/>
      <c r="AT46" s="701"/>
      <c r="AU46" s="701"/>
      <c r="AV46" s="701"/>
      <c r="AW46" s="701"/>
      <c r="AX46" s="701"/>
      <c r="AY46" s="701"/>
      <c r="AZ46" s="701"/>
      <c r="BA46" s="701"/>
      <c r="BB46" s="701"/>
      <c r="BC46" s="701"/>
    </row>
    <row r="47" spans="1:55" s="702" customFormat="1" ht="35.1" customHeight="1">
      <c r="A47" s="703">
        <v>44</v>
      </c>
      <c r="B47" s="704" t="s">
        <v>2117</v>
      </c>
      <c r="C47" s="705" t="s">
        <v>685</v>
      </c>
      <c r="D47" s="706">
        <v>81680</v>
      </c>
      <c r="E47" s="706">
        <v>81680</v>
      </c>
      <c r="F47" s="707" t="s">
        <v>2104</v>
      </c>
      <c r="G47" s="699"/>
      <c r="H47" s="700"/>
      <c r="I47" s="700"/>
      <c r="J47" s="700"/>
      <c r="K47" s="700"/>
      <c r="L47" s="700"/>
      <c r="M47" s="701"/>
      <c r="N47" s="701"/>
      <c r="O47" s="701"/>
      <c r="P47" s="701"/>
      <c r="Q47" s="701"/>
      <c r="R47" s="701"/>
      <c r="S47" s="701"/>
      <c r="T47" s="701"/>
      <c r="U47" s="701"/>
      <c r="V47" s="701"/>
      <c r="W47" s="701"/>
      <c r="X47" s="701"/>
      <c r="Y47" s="701"/>
      <c r="Z47" s="701"/>
      <c r="AA47" s="701"/>
      <c r="AB47" s="701"/>
      <c r="AC47" s="701"/>
      <c r="AD47" s="701"/>
      <c r="AE47" s="701"/>
      <c r="AF47" s="701"/>
      <c r="AG47" s="701"/>
      <c r="AH47" s="701"/>
      <c r="AI47" s="701"/>
      <c r="AJ47" s="701"/>
      <c r="AK47" s="701"/>
      <c r="AL47" s="701"/>
      <c r="AM47" s="701"/>
      <c r="AN47" s="701"/>
      <c r="AO47" s="701"/>
      <c r="AP47" s="701"/>
      <c r="AQ47" s="701"/>
      <c r="AR47" s="701"/>
      <c r="AS47" s="701"/>
      <c r="AT47" s="701"/>
      <c r="AU47" s="701"/>
      <c r="AV47" s="701"/>
      <c r="AW47" s="701"/>
      <c r="AX47" s="701"/>
      <c r="AY47" s="701"/>
      <c r="AZ47" s="701"/>
      <c r="BA47" s="701"/>
      <c r="BB47" s="701"/>
      <c r="BC47" s="701"/>
    </row>
    <row r="48" spans="1:55" s="702" customFormat="1" ht="35.1" customHeight="1">
      <c r="A48" s="703">
        <v>45</v>
      </c>
      <c r="B48" s="704" t="s">
        <v>2118</v>
      </c>
      <c r="C48" s="705" t="s">
        <v>685</v>
      </c>
      <c r="D48" s="706">
        <v>131850</v>
      </c>
      <c r="E48" s="706">
        <v>131850</v>
      </c>
      <c r="F48" s="707" t="s">
        <v>2104</v>
      </c>
      <c r="G48" s="699"/>
      <c r="H48" s="700"/>
      <c r="I48" s="700"/>
      <c r="J48" s="700"/>
      <c r="K48" s="700"/>
      <c r="L48" s="700"/>
      <c r="M48" s="701"/>
      <c r="N48" s="701"/>
      <c r="O48" s="701"/>
      <c r="P48" s="701"/>
      <c r="Q48" s="701"/>
      <c r="R48" s="701"/>
      <c r="S48" s="701"/>
      <c r="T48" s="701"/>
      <c r="U48" s="701"/>
      <c r="V48" s="701"/>
      <c r="W48" s="701"/>
      <c r="X48" s="701"/>
      <c r="Y48" s="701"/>
      <c r="Z48" s="701"/>
      <c r="AA48" s="701"/>
      <c r="AB48" s="701"/>
      <c r="AC48" s="701"/>
      <c r="AD48" s="701"/>
      <c r="AE48" s="701"/>
      <c r="AF48" s="701"/>
      <c r="AG48" s="701"/>
      <c r="AH48" s="701"/>
      <c r="AI48" s="701"/>
      <c r="AJ48" s="701"/>
      <c r="AK48" s="701"/>
      <c r="AL48" s="701"/>
      <c r="AM48" s="701"/>
      <c r="AN48" s="701"/>
      <c r="AO48" s="701"/>
      <c r="AP48" s="701"/>
      <c r="AQ48" s="701"/>
      <c r="AR48" s="701"/>
      <c r="AS48" s="701"/>
      <c r="AT48" s="701"/>
      <c r="AU48" s="701"/>
      <c r="AV48" s="701"/>
      <c r="AW48" s="701"/>
      <c r="AX48" s="701"/>
      <c r="AY48" s="701"/>
      <c r="AZ48" s="701"/>
      <c r="BA48" s="701"/>
      <c r="BB48" s="701"/>
      <c r="BC48" s="701"/>
    </row>
    <row r="49" spans="1:55" s="701" customFormat="1" ht="35.1" customHeight="1">
      <c r="A49" s="710">
        <v>46</v>
      </c>
      <c r="B49" s="704" t="s">
        <v>2119</v>
      </c>
      <c r="C49" s="705" t="s">
        <v>685</v>
      </c>
      <c r="D49" s="706">
        <v>39150</v>
      </c>
      <c r="E49" s="706">
        <v>39150</v>
      </c>
      <c r="F49" s="707" t="s">
        <v>2104</v>
      </c>
      <c r="G49" s="699"/>
      <c r="H49" s="700"/>
      <c r="I49" s="700"/>
      <c r="J49" s="700"/>
      <c r="K49" s="700"/>
      <c r="L49" s="700"/>
    </row>
    <row r="50" spans="1:55" s="701" customFormat="1" ht="35.1" customHeight="1">
      <c r="A50" s="710">
        <v>47</v>
      </c>
      <c r="B50" s="704" t="s">
        <v>2120</v>
      </c>
      <c r="C50" s="705" t="s">
        <v>685</v>
      </c>
      <c r="D50" s="706">
        <v>57380</v>
      </c>
      <c r="E50" s="706">
        <v>57380</v>
      </c>
      <c r="F50" s="707" t="s">
        <v>2104</v>
      </c>
      <c r="G50" s="699"/>
      <c r="H50" s="700"/>
      <c r="I50" s="700"/>
      <c r="J50" s="700"/>
      <c r="K50" s="700"/>
      <c r="L50" s="700"/>
    </row>
    <row r="51" spans="1:55" s="702" customFormat="1" ht="35.1" customHeight="1">
      <c r="A51" s="703">
        <v>48</v>
      </c>
      <c r="B51" s="704" t="s">
        <v>2121</v>
      </c>
      <c r="C51" s="705" t="s">
        <v>685</v>
      </c>
      <c r="D51" s="706">
        <v>49840</v>
      </c>
      <c r="E51" s="706">
        <v>49840</v>
      </c>
      <c r="F51" s="707" t="s">
        <v>2104</v>
      </c>
      <c r="G51" s="699"/>
      <c r="H51" s="700"/>
      <c r="I51" s="700"/>
      <c r="J51" s="700"/>
      <c r="K51" s="700"/>
      <c r="L51" s="700"/>
      <c r="M51" s="701"/>
      <c r="N51" s="701"/>
      <c r="O51" s="701"/>
      <c r="P51" s="701"/>
      <c r="Q51" s="701"/>
      <c r="R51" s="701"/>
      <c r="S51" s="701"/>
      <c r="T51" s="701"/>
      <c r="U51" s="701"/>
      <c r="V51" s="701"/>
      <c r="W51" s="701"/>
      <c r="X51" s="701"/>
      <c r="Y51" s="701"/>
      <c r="Z51" s="701"/>
      <c r="AA51" s="701"/>
      <c r="AB51" s="701"/>
      <c r="AC51" s="701"/>
      <c r="AD51" s="701"/>
      <c r="AE51" s="701"/>
      <c r="AF51" s="701"/>
      <c r="AG51" s="701"/>
      <c r="AH51" s="701"/>
      <c r="AI51" s="701"/>
      <c r="AJ51" s="701"/>
      <c r="AK51" s="701"/>
      <c r="AL51" s="701"/>
      <c r="AM51" s="701"/>
      <c r="AN51" s="701"/>
      <c r="AO51" s="701"/>
      <c r="AP51" s="701"/>
      <c r="AQ51" s="701"/>
      <c r="AR51" s="701"/>
      <c r="AS51" s="701"/>
      <c r="AT51" s="701"/>
      <c r="AU51" s="701"/>
      <c r="AV51" s="701"/>
      <c r="AW51" s="701"/>
      <c r="AX51" s="701"/>
      <c r="AY51" s="701"/>
      <c r="AZ51" s="701"/>
      <c r="BA51" s="701"/>
      <c r="BB51" s="701"/>
      <c r="BC51" s="701"/>
    </row>
    <row r="52" spans="1:55" s="702" customFormat="1" ht="35.1" customHeight="1">
      <c r="A52" s="703">
        <v>49</v>
      </c>
      <c r="B52" s="704" t="s">
        <v>2122</v>
      </c>
      <c r="C52" s="705" t="s">
        <v>685</v>
      </c>
      <c r="D52" s="706">
        <v>74930</v>
      </c>
      <c r="E52" s="706">
        <v>74930</v>
      </c>
      <c r="F52" s="707" t="s">
        <v>2104</v>
      </c>
      <c r="G52" s="699"/>
      <c r="H52" s="700"/>
      <c r="I52" s="700"/>
      <c r="J52" s="700"/>
      <c r="K52" s="700"/>
      <c r="L52" s="700"/>
      <c r="M52" s="701"/>
      <c r="N52" s="701"/>
      <c r="O52" s="701"/>
      <c r="P52" s="701"/>
      <c r="Q52" s="701"/>
      <c r="R52" s="701"/>
      <c r="S52" s="701"/>
      <c r="T52" s="701"/>
      <c r="U52" s="701"/>
      <c r="V52" s="701"/>
      <c r="W52" s="701"/>
      <c r="X52" s="701"/>
      <c r="Y52" s="701"/>
      <c r="Z52" s="701"/>
      <c r="AA52" s="701"/>
      <c r="AB52" s="701"/>
      <c r="AC52" s="701"/>
      <c r="AD52" s="701"/>
      <c r="AE52" s="701"/>
      <c r="AF52" s="701"/>
      <c r="AG52" s="701"/>
      <c r="AH52" s="701"/>
      <c r="AI52" s="701"/>
      <c r="AJ52" s="701"/>
      <c r="AK52" s="701"/>
      <c r="AL52" s="701"/>
      <c r="AM52" s="701"/>
      <c r="AN52" s="701"/>
      <c r="AO52" s="701"/>
      <c r="AP52" s="701"/>
      <c r="AQ52" s="701"/>
      <c r="AR52" s="701"/>
      <c r="AS52" s="701"/>
      <c r="AT52" s="701"/>
      <c r="AU52" s="701"/>
      <c r="AV52" s="701"/>
      <c r="AW52" s="701"/>
      <c r="AX52" s="701"/>
      <c r="AY52" s="701"/>
      <c r="AZ52" s="701"/>
      <c r="BA52" s="701"/>
      <c r="BB52" s="701"/>
      <c r="BC52" s="701"/>
    </row>
    <row r="53" spans="1:55" s="702" customFormat="1" ht="35.1" customHeight="1">
      <c r="A53" s="703">
        <v>50</v>
      </c>
      <c r="B53" s="704" t="s">
        <v>2123</v>
      </c>
      <c r="C53" s="705" t="s">
        <v>685</v>
      </c>
      <c r="D53" s="706">
        <v>107330</v>
      </c>
      <c r="E53" s="706">
        <v>107330</v>
      </c>
      <c r="F53" s="707" t="s">
        <v>2104</v>
      </c>
      <c r="G53" s="699"/>
      <c r="H53" s="700"/>
      <c r="I53" s="700"/>
      <c r="J53" s="700"/>
      <c r="K53" s="700"/>
      <c r="L53" s="700"/>
      <c r="M53" s="701"/>
      <c r="N53" s="701"/>
      <c r="O53" s="701"/>
      <c r="P53" s="701"/>
      <c r="Q53" s="701"/>
      <c r="R53" s="701"/>
      <c r="S53" s="701"/>
      <c r="T53" s="701"/>
      <c r="U53" s="701"/>
      <c r="V53" s="701"/>
      <c r="W53" s="701"/>
      <c r="X53" s="701"/>
      <c r="Y53" s="701"/>
      <c r="Z53" s="701"/>
      <c r="AA53" s="701"/>
      <c r="AB53" s="701"/>
      <c r="AC53" s="701"/>
      <c r="AD53" s="701"/>
      <c r="AE53" s="701"/>
      <c r="AF53" s="701"/>
      <c r="AG53" s="701"/>
      <c r="AH53" s="701"/>
      <c r="AI53" s="701"/>
      <c r="AJ53" s="701"/>
      <c r="AK53" s="701"/>
      <c r="AL53" s="701"/>
      <c r="AM53" s="701"/>
      <c r="AN53" s="701"/>
      <c r="AO53" s="701"/>
      <c r="AP53" s="701"/>
      <c r="AQ53" s="701"/>
      <c r="AR53" s="701"/>
      <c r="AS53" s="701"/>
      <c r="AT53" s="701"/>
      <c r="AU53" s="701"/>
      <c r="AV53" s="701"/>
      <c r="AW53" s="701"/>
      <c r="AX53" s="701"/>
      <c r="AY53" s="701"/>
      <c r="AZ53" s="701"/>
      <c r="BA53" s="701"/>
      <c r="BB53" s="701"/>
      <c r="BC53" s="701"/>
    </row>
    <row r="54" spans="1:55" s="702" customFormat="1" ht="35.1" customHeight="1">
      <c r="A54" s="703">
        <v>51</v>
      </c>
      <c r="B54" s="704" t="s">
        <v>2124</v>
      </c>
      <c r="C54" s="705" t="s">
        <v>685</v>
      </c>
      <c r="D54" s="706">
        <v>171680</v>
      </c>
      <c r="E54" s="706">
        <v>171680</v>
      </c>
      <c r="F54" s="707" t="s">
        <v>2104</v>
      </c>
      <c r="G54" s="699"/>
      <c r="H54" s="700"/>
      <c r="I54" s="700"/>
      <c r="J54" s="700"/>
      <c r="K54" s="700"/>
      <c r="L54" s="700"/>
      <c r="M54" s="701"/>
      <c r="N54" s="701"/>
      <c r="O54" s="701"/>
      <c r="P54" s="701"/>
      <c r="Q54" s="701"/>
      <c r="R54" s="701"/>
      <c r="S54" s="701"/>
      <c r="T54" s="701"/>
      <c r="U54" s="701"/>
      <c r="V54" s="701"/>
      <c r="W54" s="701"/>
      <c r="X54" s="701"/>
      <c r="Y54" s="701"/>
      <c r="Z54" s="701"/>
      <c r="AA54" s="701"/>
      <c r="AB54" s="701"/>
      <c r="AC54" s="701"/>
      <c r="AD54" s="701"/>
      <c r="AE54" s="701"/>
      <c r="AF54" s="701"/>
      <c r="AG54" s="701"/>
      <c r="AH54" s="701"/>
      <c r="AI54" s="701"/>
      <c r="AJ54" s="701"/>
      <c r="AK54" s="701"/>
      <c r="AL54" s="701"/>
      <c r="AM54" s="701"/>
      <c r="AN54" s="701"/>
      <c r="AO54" s="701"/>
      <c r="AP54" s="701"/>
      <c r="AQ54" s="701"/>
      <c r="AR54" s="701"/>
      <c r="AS54" s="701"/>
      <c r="AT54" s="701"/>
      <c r="AU54" s="701"/>
      <c r="AV54" s="701"/>
      <c r="AW54" s="701"/>
      <c r="AX54" s="701"/>
      <c r="AY54" s="701"/>
      <c r="AZ54" s="701"/>
      <c r="BA54" s="701"/>
      <c r="BB54" s="701"/>
      <c r="BC54" s="701"/>
    </row>
    <row r="55" spans="1:55" s="701" customFormat="1" ht="35.1" customHeight="1">
      <c r="A55" s="710">
        <v>52</v>
      </c>
      <c r="B55" s="704" t="s">
        <v>2125</v>
      </c>
      <c r="C55" s="705" t="s">
        <v>685</v>
      </c>
      <c r="D55" s="706">
        <f>171680+37460</f>
        <v>209140</v>
      </c>
      <c r="E55" s="706">
        <f>171680+37460</f>
        <v>209140</v>
      </c>
      <c r="F55" s="707" t="s">
        <v>2104</v>
      </c>
      <c r="G55" s="699"/>
      <c r="H55" s="700"/>
      <c r="I55" s="700"/>
      <c r="J55" s="700"/>
      <c r="K55" s="700"/>
      <c r="L55" s="700"/>
    </row>
    <row r="56" spans="1:55" s="702" customFormat="1" ht="35.1" customHeight="1">
      <c r="A56" s="703">
        <v>53</v>
      </c>
      <c r="B56" s="704" t="s">
        <v>2126</v>
      </c>
      <c r="C56" s="705" t="s">
        <v>685</v>
      </c>
      <c r="D56" s="706">
        <v>261230</v>
      </c>
      <c r="E56" s="706">
        <v>261230</v>
      </c>
      <c r="F56" s="707" t="s">
        <v>2104</v>
      </c>
      <c r="G56" s="699"/>
      <c r="H56" s="700"/>
      <c r="I56" s="700"/>
      <c r="J56" s="700"/>
      <c r="K56" s="700"/>
      <c r="L56" s="700"/>
      <c r="M56" s="701"/>
      <c r="N56" s="701"/>
      <c r="O56" s="701"/>
      <c r="P56" s="701"/>
      <c r="Q56" s="701"/>
      <c r="R56" s="701"/>
      <c r="S56" s="701"/>
      <c r="T56" s="701"/>
      <c r="U56" s="701"/>
      <c r="V56" s="701"/>
      <c r="W56" s="701"/>
      <c r="X56" s="701"/>
      <c r="Y56" s="701"/>
      <c r="Z56" s="701"/>
      <c r="AA56" s="701"/>
      <c r="AB56" s="701"/>
      <c r="AC56" s="701"/>
      <c r="AD56" s="701"/>
      <c r="AE56" s="701"/>
      <c r="AF56" s="701"/>
      <c r="AG56" s="701"/>
      <c r="AH56" s="701"/>
      <c r="AI56" s="701"/>
      <c r="AJ56" s="701"/>
      <c r="AK56" s="701"/>
      <c r="AL56" s="701"/>
      <c r="AM56" s="701"/>
      <c r="AN56" s="701"/>
      <c r="AO56" s="701"/>
      <c r="AP56" s="701"/>
      <c r="AQ56" s="701"/>
      <c r="AR56" s="701"/>
      <c r="AS56" s="701"/>
      <c r="AT56" s="701"/>
      <c r="AU56" s="701"/>
      <c r="AV56" s="701"/>
      <c r="AW56" s="701"/>
      <c r="AX56" s="701"/>
      <c r="AY56" s="701"/>
      <c r="AZ56" s="701"/>
      <c r="BA56" s="701"/>
      <c r="BB56" s="701"/>
      <c r="BC56" s="701"/>
    </row>
    <row r="57" spans="1:55" s="702" customFormat="1" ht="35.1" customHeight="1">
      <c r="A57" s="703">
        <v>54</v>
      </c>
      <c r="B57" s="704" t="s">
        <v>2127</v>
      </c>
      <c r="C57" s="705" t="s">
        <v>685</v>
      </c>
      <c r="D57" s="706">
        <v>534260</v>
      </c>
      <c r="E57" s="706">
        <v>534260</v>
      </c>
      <c r="F57" s="707" t="s">
        <v>2104</v>
      </c>
      <c r="G57" s="699"/>
      <c r="H57" s="700"/>
      <c r="I57" s="700"/>
      <c r="J57" s="700"/>
      <c r="K57" s="700"/>
      <c r="L57" s="700"/>
      <c r="M57" s="701"/>
      <c r="N57" s="701"/>
      <c r="O57" s="701"/>
      <c r="P57" s="701"/>
      <c r="Q57" s="701"/>
      <c r="R57" s="701"/>
      <c r="S57" s="701"/>
      <c r="T57" s="701"/>
      <c r="U57" s="701"/>
      <c r="V57" s="701"/>
      <c r="W57" s="701"/>
      <c r="X57" s="701"/>
      <c r="Y57" s="701"/>
      <c r="Z57" s="701"/>
      <c r="AA57" s="701"/>
      <c r="AB57" s="701"/>
      <c r="AC57" s="701"/>
      <c r="AD57" s="701"/>
      <c r="AE57" s="701"/>
      <c r="AF57" s="701"/>
      <c r="AG57" s="701"/>
      <c r="AH57" s="701"/>
      <c r="AI57" s="701"/>
      <c r="AJ57" s="701"/>
      <c r="AK57" s="701"/>
      <c r="AL57" s="701"/>
      <c r="AM57" s="701"/>
      <c r="AN57" s="701"/>
      <c r="AO57" s="701"/>
      <c r="AP57" s="701"/>
      <c r="AQ57" s="701"/>
      <c r="AR57" s="701"/>
      <c r="AS57" s="701"/>
      <c r="AT57" s="701"/>
      <c r="AU57" s="701"/>
      <c r="AV57" s="701"/>
      <c r="AW57" s="701"/>
      <c r="AX57" s="701"/>
      <c r="AY57" s="701"/>
      <c r="AZ57" s="701"/>
      <c r="BA57" s="701"/>
      <c r="BB57" s="701"/>
      <c r="BC57" s="701"/>
    </row>
    <row r="58" spans="1:55" s="701" customFormat="1" ht="35.1" customHeight="1">
      <c r="A58" s="710">
        <v>55</v>
      </c>
      <c r="B58" s="704" t="s">
        <v>2128</v>
      </c>
      <c r="C58" s="705" t="s">
        <v>685</v>
      </c>
      <c r="D58" s="706">
        <v>722480</v>
      </c>
      <c r="E58" s="706">
        <v>722480</v>
      </c>
      <c r="F58" s="707" t="s">
        <v>2104</v>
      </c>
      <c r="G58" s="699"/>
      <c r="H58" s="700"/>
      <c r="I58" s="700"/>
      <c r="J58" s="700"/>
      <c r="K58" s="700"/>
      <c r="L58" s="700"/>
    </row>
    <row r="59" spans="1:55" s="701" customFormat="1" ht="35.1" customHeight="1">
      <c r="A59" s="710">
        <v>56</v>
      </c>
      <c r="B59" s="704" t="s">
        <v>2129</v>
      </c>
      <c r="C59" s="705" t="s">
        <v>685</v>
      </c>
      <c r="D59" s="706">
        <v>1021280</v>
      </c>
      <c r="E59" s="706">
        <v>1021280</v>
      </c>
      <c r="F59" s="707" t="s">
        <v>2104</v>
      </c>
      <c r="G59" s="699"/>
      <c r="H59" s="700"/>
      <c r="I59" s="700"/>
      <c r="J59" s="700"/>
      <c r="K59" s="700"/>
      <c r="L59" s="700"/>
    </row>
    <row r="60" spans="1:55" s="701" customFormat="1" ht="35.1" customHeight="1">
      <c r="A60" s="710">
        <v>57</v>
      </c>
      <c r="B60" s="704" t="s">
        <v>2130</v>
      </c>
      <c r="C60" s="705" t="s">
        <v>685</v>
      </c>
      <c r="D60" s="706">
        <v>2716430</v>
      </c>
      <c r="E60" s="706">
        <v>2716430</v>
      </c>
      <c r="F60" s="707" t="s">
        <v>2104</v>
      </c>
      <c r="G60" s="699"/>
      <c r="H60" s="700"/>
      <c r="I60" s="700"/>
      <c r="J60" s="700"/>
      <c r="K60" s="700"/>
      <c r="L60" s="700"/>
    </row>
    <row r="61" spans="1:55" s="702" customFormat="1" ht="35.1" customHeight="1">
      <c r="A61" s="703">
        <v>58</v>
      </c>
      <c r="B61" s="704" t="s">
        <v>2131</v>
      </c>
      <c r="C61" s="705" t="s">
        <v>685</v>
      </c>
      <c r="D61" s="706">
        <v>42860</v>
      </c>
      <c r="E61" s="706">
        <v>42860</v>
      </c>
      <c r="F61" s="707" t="s">
        <v>2104</v>
      </c>
      <c r="G61" s="699"/>
      <c r="H61" s="700"/>
      <c r="I61" s="700"/>
      <c r="J61" s="700"/>
      <c r="K61" s="700"/>
      <c r="L61" s="700"/>
      <c r="M61" s="701"/>
      <c r="N61" s="701"/>
      <c r="O61" s="701"/>
      <c r="P61" s="701"/>
      <c r="Q61" s="701"/>
      <c r="R61" s="701"/>
      <c r="S61" s="701"/>
      <c r="T61" s="701"/>
      <c r="U61" s="701"/>
      <c r="V61" s="701"/>
      <c r="W61" s="701"/>
      <c r="X61" s="701"/>
      <c r="Y61" s="701"/>
      <c r="Z61" s="701"/>
      <c r="AA61" s="701"/>
      <c r="AB61" s="701"/>
      <c r="AC61" s="701"/>
      <c r="AD61" s="701"/>
      <c r="AE61" s="701"/>
      <c r="AF61" s="701"/>
      <c r="AG61" s="701"/>
      <c r="AH61" s="701"/>
      <c r="AI61" s="701"/>
      <c r="AJ61" s="701"/>
      <c r="AK61" s="701"/>
      <c r="AL61" s="701"/>
      <c r="AM61" s="701"/>
      <c r="AN61" s="701"/>
      <c r="AO61" s="701"/>
      <c r="AP61" s="701"/>
      <c r="AQ61" s="701"/>
      <c r="AR61" s="701"/>
      <c r="AS61" s="701"/>
      <c r="AT61" s="701"/>
      <c r="AU61" s="701"/>
      <c r="AV61" s="701"/>
      <c r="AW61" s="701"/>
      <c r="AX61" s="701"/>
      <c r="AY61" s="701"/>
      <c r="AZ61" s="701"/>
      <c r="BA61" s="701"/>
      <c r="BB61" s="701"/>
      <c r="BC61" s="701"/>
    </row>
    <row r="62" spans="1:55" s="702" customFormat="1" ht="35.1" customHeight="1">
      <c r="A62" s="703">
        <v>59</v>
      </c>
      <c r="B62" s="704" t="s">
        <v>2132</v>
      </c>
      <c r="C62" s="705" t="s">
        <v>685</v>
      </c>
      <c r="D62" s="706">
        <v>45560</v>
      </c>
      <c r="E62" s="706">
        <v>45560</v>
      </c>
      <c r="F62" s="707" t="s">
        <v>2104</v>
      </c>
      <c r="G62" s="699"/>
      <c r="H62" s="700"/>
      <c r="I62" s="700"/>
      <c r="J62" s="700"/>
      <c r="K62" s="700"/>
      <c r="L62" s="700"/>
      <c r="M62" s="701"/>
      <c r="N62" s="701"/>
      <c r="O62" s="701"/>
      <c r="P62" s="701"/>
      <c r="Q62" s="701"/>
      <c r="R62" s="701"/>
      <c r="S62" s="701"/>
      <c r="T62" s="701"/>
      <c r="U62" s="701"/>
      <c r="V62" s="701"/>
      <c r="W62" s="701"/>
      <c r="X62" s="701"/>
      <c r="Y62" s="701"/>
      <c r="Z62" s="701"/>
      <c r="AA62" s="701"/>
      <c r="AB62" s="701"/>
      <c r="AC62" s="701"/>
      <c r="AD62" s="701"/>
      <c r="AE62" s="701"/>
      <c r="AF62" s="701"/>
      <c r="AG62" s="701"/>
      <c r="AH62" s="701"/>
      <c r="AI62" s="701"/>
      <c r="AJ62" s="701"/>
      <c r="AK62" s="701"/>
      <c r="AL62" s="701"/>
      <c r="AM62" s="701"/>
      <c r="AN62" s="701"/>
      <c r="AO62" s="701"/>
      <c r="AP62" s="701"/>
      <c r="AQ62" s="701"/>
      <c r="AR62" s="701"/>
      <c r="AS62" s="701"/>
      <c r="AT62" s="701"/>
      <c r="AU62" s="701"/>
      <c r="AV62" s="701"/>
      <c r="AW62" s="701"/>
      <c r="AX62" s="701"/>
      <c r="AY62" s="701"/>
      <c r="AZ62" s="701"/>
      <c r="BA62" s="701"/>
      <c r="BB62" s="701"/>
      <c r="BC62" s="701"/>
    </row>
    <row r="63" spans="1:55" s="702" customFormat="1" ht="35.1" customHeight="1">
      <c r="A63" s="703">
        <v>60</v>
      </c>
      <c r="B63" s="704" t="s">
        <v>2133</v>
      </c>
      <c r="C63" s="705" t="s">
        <v>685</v>
      </c>
      <c r="D63" s="706">
        <v>42190</v>
      </c>
      <c r="E63" s="706">
        <v>42190</v>
      </c>
      <c r="F63" s="707" t="s">
        <v>2104</v>
      </c>
      <c r="G63" s="699"/>
      <c r="H63" s="700"/>
      <c r="I63" s="700"/>
      <c r="J63" s="700"/>
      <c r="K63" s="700"/>
      <c r="L63" s="700"/>
      <c r="M63" s="701"/>
      <c r="N63" s="701"/>
      <c r="O63" s="701"/>
      <c r="P63" s="701"/>
      <c r="Q63" s="701"/>
      <c r="R63" s="701"/>
      <c r="S63" s="701"/>
      <c r="T63" s="701"/>
      <c r="U63" s="701"/>
      <c r="V63" s="701"/>
      <c r="W63" s="701"/>
      <c r="X63" s="701"/>
      <c r="Y63" s="701"/>
      <c r="Z63" s="701"/>
      <c r="AA63" s="701"/>
      <c r="AB63" s="701"/>
      <c r="AC63" s="701"/>
      <c r="AD63" s="701"/>
      <c r="AE63" s="701"/>
      <c r="AF63" s="701"/>
      <c r="AG63" s="701"/>
      <c r="AH63" s="701"/>
      <c r="AI63" s="701"/>
      <c r="AJ63" s="701"/>
      <c r="AK63" s="701"/>
      <c r="AL63" s="701"/>
      <c r="AM63" s="701"/>
      <c r="AN63" s="701"/>
      <c r="AO63" s="701"/>
      <c r="AP63" s="701"/>
      <c r="AQ63" s="701"/>
      <c r="AR63" s="701"/>
      <c r="AS63" s="701"/>
      <c r="AT63" s="701"/>
      <c r="AU63" s="701"/>
      <c r="AV63" s="701"/>
      <c r="AW63" s="701"/>
      <c r="AX63" s="701"/>
      <c r="AY63" s="701"/>
      <c r="AZ63" s="701"/>
      <c r="BA63" s="701"/>
      <c r="BB63" s="701"/>
      <c r="BC63" s="701"/>
    </row>
    <row r="64" spans="1:55" s="702" customFormat="1" ht="35.1" customHeight="1">
      <c r="A64" s="703">
        <v>61</v>
      </c>
      <c r="B64" s="704" t="s">
        <v>2134</v>
      </c>
      <c r="C64" s="705" t="s">
        <v>685</v>
      </c>
      <c r="D64" s="706">
        <v>132530</v>
      </c>
      <c r="E64" s="706">
        <v>132530</v>
      </c>
      <c r="F64" s="707" t="s">
        <v>2104</v>
      </c>
      <c r="G64" s="699"/>
      <c r="H64" s="700"/>
      <c r="I64" s="700"/>
      <c r="J64" s="700"/>
      <c r="K64" s="700"/>
      <c r="L64" s="700"/>
      <c r="M64" s="701"/>
      <c r="N64" s="701"/>
      <c r="O64" s="701"/>
      <c r="P64" s="701"/>
      <c r="Q64" s="701"/>
      <c r="R64" s="701"/>
      <c r="S64" s="701"/>
      <c r="T64" s="701"/>
      <c r="U64" s="701"/>
      <c r="V64" s="701"/>
      <c r="W64" s="701"/>
      <c r="X64" s="701"/>
      <c r="Y64" s="701"/>
      <c r="Z64" s="701"/>
      <c r="AA64" s="701"/>
      <c r="AB64" s="701"/>
      <c r="AC64" s="701"/>
      <c r="AD64" s="701"/>
      <c r="AE64" s="701"/>
      <c r="AF64" s="701"/>
      <c r="AG64" s="701"/>
      <c r="AH64" s="701"/>
      <c r="AI64" s="701"/>
      <c r="AJ64" s="701"/>
      <c r="AK64" s="701"/>
      <c r="AL64" s="701"/>
      <c r="AM64" s="701"/>
      <c r="AN64" s="701"/>
      <c r="AO64" s="701"/>
      <c r="AP64" s="701"/>
      <c r="AQ64" s="701"/>
      <c r="AR64" s="701"/>
      <c r="AS64" s="701"/>
      <c r="AT64" s="701"/>
      <c r="AU64" s="701"/>
      <c r="AV64" s="701"/>
      <c r="AW64" s="701"/>
      <c r="AX64" s="701"/>
      <c r="AY64" s="701"/>
      <c r="AZ64" s="701"/>
      <c r="BA64" s="701"/>
      <c r="BB64" s="701"/>
      <c r="BC64" s="701"/>
    </row>
    <row r="65" spans="1:55" s="701" customFormat="1" ht="35.1" customHeight="1">
      <c r="A65" s="710">
        <v>62</v>
      </c>
      <c r="B65" s="704" t="s">
        <v>2135</v>
      </c>
      <c r="C65" s="705" t="s">
        <v>685</v>
      </c>
      <c r="D65" s="706">
        <v>60980</v>
      </c>
      <c r="E65" s="706">
        <v>60980</v>
      </c>
      <c r="F65" s="707" t="s">
        <v>2104</v>
      </c>
      <c r="G65" s="699"/>
      <c r="H65" s="700"/>
      <c r="I65" s="700"/>
      <c r="J65" s="700"/>
      <c r="K65" s="700"/>
      <c r="L65" s="700"/>
    </row>
    <row r="66" spans="1:55" s="702" customFormat="1" ht="35.1" customHeight="1">
      <c r="A66" s="703">
        <v>63</v>
      </c>
      <c r="B66" s="704" t="s">
        <v>2136</v>
      </c>
      <c r="C66" s="705" t="s">
        <v>685</v>
      </c>
      <c r="D66" s="706">
        <v>260100</v>
      </c>
      <c r="E66" s="706">
        <v>260100</v>
      </c>
      <c r="F66" s="707" t="s">
        <v>2104</v>
      </c>
      <c r="G66" s="699"/>
      <c r="H66" s="700"/>
      <c r="I66" s="700"/>
      <c r="J66" s="700"/>
      <c r="K66" s="700"/>
      <c r="L66" s="700"/>
      <c r="M66" s="701"/>
      <c r="N66" s="701"/>
      <c r="O66" s="701"/>
      <c r="P66" s="701"/>
      <c r="Q66" s="701"/>
      <c r="R66" s="701"/>
      <c r="S66" s="701"/>
      <c r="T66" s="701"/>
      <c r="U66" s="701"/>
      <c r="V66" s="701"/>
      <c r="W66" s="701"/>
      <c r="X66" s="701"/>
      <c r="Y66" s="701"/>
      <c r="Z66" s="701"/>
      <c r="AA66" s="701"/>
      <c r="AB66" s="701"/>
      <c r="AC66" s="701"/>
      <c r="AD66" s="701"/>
      <c r="AE66" s="701"/>
      <c r="AF66" s="701"/>
      <c r="AG66" s="701"/>
      <c r="AH66" s="701"/>
      <c r="AI66" s="701"/>
      <c r="AJ66" s="701"/>
      <c r="AK66" s="701"/>
      <c r="AL66" s="701"/>
      <c r="AM66" s="701"/>
      <c r="AN66" s="701"/>
      <c r="AO66" s="701"/>
      <c r="AP66" s="701"/>
      <c r="AQ66" s="701"/>
      <c r="AR66" s="701"/>
      <c r="AS66" s="701"/>
      <c r="AT66" s="701"/>
      <c r="AU66" s="701"/>
      <c r="AV66" s="701"/>
      <c r="AW66" s="701"/>
      <c r="AX66" s="701"/>
      <c r="AY66" s="701"/>
      <c r="AZ66" s="701"/>
      <c r="BA66" s="701"/>
      <c r="BB66" s="701"/>
      <c r="BC66" s="701"/>
    </row>
    <row r="67" spans="1:55" s="702" customFormat="1" ht="35.1" customHeight="1">
      <c r="A67" s="703">
        <v>64</v>
      </c>
      <c r="B67" s="704" t="s">
        <v>2137</v>
      </c>
      <c r="C67" s="705" t="s">
        <v>685</v>
      </c>
      <c r="D67" s="706">
        <v>1056940</v>
      </c>
      <c r="E67" s="706">
        <v>1056940</v>
      </c>
      <c r="F67" s="707" t="s">
        <v>2104</v>
      </c>
      <c r="G67" s="699"/>
      <c r="H67" s="700"/>
      <c r="I67" s="700"/>
      <c r="J67" s="700"/>
      <c r="K67" s="700"/>
      <c r="L67" s="700"/>
      <c r="M67" s="701"/>
      <c r="N67" s="701"/>
      <c r="O67" s="701"/>
      <c r="P67" s="701"/>
      <c r="Q67" s="701"/>
      <c r="R67" s="701"/>
      <c r="S67" s="701"/>
      <c r="T67" s="701"/>
      <c r="U67" s="701"/>
      <c r="V67" s="701"/>
      <c r="W67" s="701"/>
      <c r="X67" s="701"/>
      <c r="Y67" s="701"/>
      <c r="Z67" s="701"/>
      <c r="AA67" s="701"/>
      <c r="AB67" s="701"/>
      <c r="AC67" s="701"/>
      <c r="AD67" s="701"/>
      <c r="AE67" s="701"/>
      <c r="AF67" s="701"/>
      <c r="AG67" s="701"/>
      <c r="AH67" s="701"/>
      <c r="AI67" s="701"/>
      <c r="AJ67" s="701"/>
      <c r="AK67" s="701"/>
      <c r="AL67" s="701"/>
      <c r="AM67" s="701"/>
      <c r="AN67" s="701"/>
      <c r="AO67" s="701"/>
      <c r="AP67" s="701"/>
      <c r="AQ67" s="701"/>
      <c r="AR67" s="701"/>
      <c r="AS67" s="701"/>
      <c r="AT67" s="701"/>
      <c r="AU67" s="701"/>
      <c r="AV67" s="701"/>
      <c r="AW67" s="701"/>
      <c r="AX67" s="701"/>
      <c r="AY67" s="701"/>
      <c r="AZ67" s="701"/>
      <c r="BA67" s="701"/>
      <c r="BB67" s="701"/>
      <c r="BC67" s="701"/>
    </row>
    <row r="68" spans="1:55" s="702" customFormat="1" ht="35.1" customHeight="1">
      <c r="A68" s="703">
        <v>65</v>
      </c>
      <c r="B68" s="704" t="s">
        <v>2138</v>
      </c>
      <c r="C68" s="705" t="s">
        <v>685</v>
      </c>
      <c r="D68" s="706">
        <v>1416830</v>
      </c>
      <c r="E68" s="706">
        <v>1416830</v>
      </c>
      <c r="F68" s="707" t="s">
        <v>2104</v>
      </c>
      <c r="G68" s="699"/>
      <c r="H68" s="700"/>
      <c r="I68" s="700"/>
      <c r="J68" s="700"/>
      <c r="K68" s="700"/>
      <c r="L68" s="700"/>
      <c r="M68" s="701"/>
      <c r="N68" s="701"/>
      <c r="O68" s="701"/>
      <c r="P68" s="701"/>
      <c r="Q68" s="701"/>
      <c r="R68" s="701"/>
      <c r="S68" s="701"/>
      <c r="T68" s="701"/>
      <c r="U68" s="701"/>
      <c r="V68" s="701"/>
      <c r="W68" s="701"/>
      <c r="X68" s="701"/>
      <c r="Y68" s="701"/>
      <c r="Z68" s="701"/>
      <c r="AA68" s="701"/>
      <c r="AB68" s="701"/>
      <c r="AC68" s="701"/>
      <c r="AD68" s="701"/>
      <c r="AE68" s="701"/>
      <c r="AF68" s="701"/>
      <c r="AG68" s="701"/>
      <c r="AH68" s="701"/>
      <c r="AI68" s="701"/>
      <c r="AJ68" s="701"/>
      <c r="AK68" s="701"/>
      <c r="AL68" s="701"/>
      <c r="AM68" s="701"/>
      <c r="AN68" s="701"/>
      <c r="AO68" s="701"/>
      <c r="AP68" s="701"/>
      <c r="AQ68" s="701"/>
      <c r="AR68" s="701"/>
      <c r="AS68" s="701"/>
      <c r="AT68" s="701"/>
      <c r="AU68" s="701"/>
      <c r="AV68" s="701"/>
      <c r="AW68" s="701"/>
      <c r="AX68" s="701"/>
      <c r="AY68" s="701"/>
      <c r="AZ68" s="701"/>
      <c r="BA68" s="701"/>
      <c r="BB68" s="701"/>
      <c r="BC68" s="701"/>
    </row>
    <row r="69" spans="1:55" s="702" customFormat="1" ht="35.1" customHeight="1">
      <c r="A69" s="703">
        <v>66</v>
      </c>
      <c r="B69" s="704" t="s">
        <v>2139</v>
      </c>
      <c r="C69" s="705" t="s">
        <v>685</v>
      </c>
      <c r="D69" s="706">
        <v>593210</v>
      </c>
      <c r="E69" s="706">
        <v>593210</v>
      </c>
      <c r="F69" s="707" t="s">
        <v>2104</v>
      </c>
      <c r="G69" s="699"/>
      <c r="H69" s="700"/>
      <c r="I69" s="700"/>
      <c r="J69" s="700"/>
      <c r="K69" s="700"/>
      <c r="L69" s="700"/>
      <c r="M69" s="701"/>
      <c r="N69" s="701"/>
      <c r="O69" s="701"/>
      <c r="P69" s="701"/>
      <c r="Q69" s="701"/>
      <c r="R69" s="701"/>
      <c r="S69" s="701"/>
      <c r="T69" s="701"/>
      <c r="U69" s="701"/>
      <c r="V69" s="701"/>
      <c r="W69" s="701"/>
      <c r="X69" s="701"/>
      <c r="Y69" s="701"/>
      <c r="Z69" s="701"/>
      <c r="AA69" s="701"/>
      <c r="AB69" s="701"/>
      <c r="AC69" s="701"/>
      <c r="AD69" s="701"/>
      <c r="AE69" s="701"/>
      <c r="AF69" s="701"/>
      <c r="AG69" s="701"/>
      <c r="AH69" s="701"/>
      <c r="AI69" s="701"/>
      <c r="AJ69" s="701"/>
      <c r="AK69" s="701"/>
      <c r="AL69" s="701"/>
      <c r="AM69" s="701"/>
      <c r="AN69" s="701"/>
      <c r="AO69" s="701"/>
      <c r="AP69" s="701"/>
      <c r="AQ69" s="701"/>
      <c r="AR69" s="701"/>
      <c r="AS69" s="701"/>
      <c r="AT69" s="701"/>
      <c r="AU69" s="701"/>
      <c r="AV69" s="701"/>
      <c r="AW69" s="701"/>
      <c r="AX69" s="701"/>
      <c r="AY69" s="701"/>
      <c r="AZ69" s="701"/>
      <c r="BA69" s="701"/>
      <c r="BB69" s="701"/>
      <c r="BC69" s="701"/>
    </row>
    <row r="70" spans="1:55" s="702" customFormat="1" ht="35.1" customHeight="1">
      <c r="A70" s="703">
        <v>67</v>
      </c>
      <c r="B70" s="704" t="s">
        <v>2140</v>
      </c>
      <c r="C70" s="705" t="s">
        <v>685</v>
      </c>
      <c r="D70" s="706">
        <v>13230</v>
      </c>
      <c r="E70" s="706">
        <v>13230</v>
      </c>
      <c r="F70" s="707" t="s">
        <v>2104</v>
      </c>
      <c r="G70" s="699"/>
      <c r="H70" s="700"/>
      <c r="I70" s="700"/>
      <c r="J70" s="700"/>
      <c r="K70" s="700"/>
      <c r="L70" s="700"/>
      <c r="M70" s="701"/>
      <c r="N70" s="701"/>
      <c r="O70" s="701"/>
      <c r="P70" s="701"/>
      <c r="Q70" s="701"/>
      <c r="R70" s="701"/>
      <c r="S70" s="701"/>
      <c r="T70" s="701"/>
      <c r="U70" s="701"/>
      <c r="V70" s="701"/>
      <c r="W70" s="701"/>
      <c r="X70" s="701"/>
      <c r="Y70" s="701"/>
      <c r="Z70" s="701"/>
      <c r="AA70" s="701"/>
      <c r="AB70" s="701"/>
      <c r="AC70" s="701"/>
      <c r="AD70" s="701"/>
      <c r="AE70" s="701"/>
      <c r="AF70" s="701"/>
      <c r="AG70" s="701"/>
      <c r="AH70" s="701"/>
      <c r="AI70" s="701"/>
      <c r="AJ70" s="701"/>
      <c r="AK70" s="701"/>
      <c r="AL70" s="701"/>
      <c r="AM70" s="701"/>
      <c r="AN70" s="701"/>
      <c r="AO70" s="701"/>
      <c r="AP70" s="701"/>
      <c r="AQ70" s="701"/>
      <c r="AR70" s="701"/>
      <c r="AS70" s="701"/>
      <c r="AT70" s="701"/>
      <c r="AU70" s="701"/>
      <c r="AV70" s="701"/>
      <c r="AW70" s="701"/>
      <c r="AX70" s="701"/>
      <c r="AY70" s="701"/>
      <c r="AZ70" s="701"/>
      <c r="BA70" s="701"/>
      <c r="BB70" s="701"/>
      <c r="BC70" s="701"/>
    </row>
    <row r="71" spans="1:55" s="702" customFormat="1" ht="35.1" customHeight="1">
      <c r="A71" s="703">
        <v>68</v>
      </c>
      <c r="B71" s="704" t="s">
        <v>2141</v>
      </c>
      <c r="C71" s="705" t="s">
        <v>685</v>
      </c>
      <c r="D71" s="706">
        <v>13230</v>
      </c>
      <c r="E71" s="706">
        <v>13230</v>
      </c>
      <c r="F71" s="707" t="s">
        <v>2104</v>
      </c>
      <c r="G71" s="699"/>
      <c r="H71" s="700"/>
      <c r="I71" s="700"/>
      <c r="J71" s="700"/>
      <c r="K71" s="700"/>
      <c r="L71" s="700"/>
      <c r="M71" s="701"/>
      <c r="N71" s="701"/>
      <c r="O71" s="701"/>
      <c r="P71" s="701"/>
      <c r="Q71" s="701"/>
      <c r="R71" s="701"/>
      <c r="S71" s="701"/>
      <c r="T71" s="701"/>
      <c r="U71" s="701"/>
      <c r="V71" s="701"/>
      <c r="W71" s="701"/>
      <c r="X71" s="701"/>
      <c r="Y71" s="701"/>
      <c r="Z71" s="701"/>
      <c r="AA71" s="701"/>
      <c r="AB71" s="701"/>
      <c r="AC71" s="701"/>
      <c r="AD71" s="701"/>
      <c r="AE71" s="701"/>
      <c r="AF71" s="701"/>
      <c r="AG71" s="701"/>
      <c r="AH71" s="701"/>
      <c r="AI71" s="701"/>
      <c r="AJ71" s="701"/>
      <c r="AK71" s="701"/>
      <c r="AL71" s="701"/>
      <c r="AM71" s="701"/>
      <c r="AN71" s="701"/>
      <c r="AO71" s="701"/>
      <c r="AP71" s="701"/>
      <c r="AQ71" s="701"/>
      <c r="AR71" s="701"/>
      <c r="AS71" s="701"/>
      <c r="AT71" s="701"/>
      <c r="AU71" s="701"/>
      <c r="AV71" s="701"/>
      <c r="AW71" s="701"/>
      <c r="AX71" s="701"/>
      <c r="AY71" s="701"/>
      <c r="AZ71" s="701"/>
      <c r="BA71" s="701"/>
      <c r="BB71" s="701"/>
      <c r="BC71" s="701"/>
    </row>
    <row r="72" spans="1:55" s="702" customFormat="1" ht="35.1" customHeight="1">
      <c r="A72" s="703">
        <v>69</v>
      </c>
      <c r="B72" s="704" t="s">
        <v>2142</v>
      </c>
      <c r="C72" s="705" t="s">
        <v>685</v>
      </c>
      <c r="D72" s="706">
        <v>19600</v>
      </c>
      <c r="E72" s="706">
        <v>19600</v>
      </c>
      <c r="F72" s="707" t="s">
        <v>2143</v>
      </c>
      <c r="G72" s="699"/>
      <c r="H72" s="700"/>
      <c r="I72" s="700"/>
      <c r="J72" s="700"/>
      <c r="K72" s="700"/>
      <c r="L72" s="700"/>
      <c r="M72" s="701"/>
      <c r="N72" s="701"/>
      <c r="O72" s="701"/>
      <c r="P72" s="701"/>
      <c r="Q72" s="701"/>
      <c r="R72" s="701"/>
      <c r="S72" s="701"/>
      <c r="T72" s="701"/>
      <c r="U72" s="701"/>
      <c r="V72" s="701"/>
      <c r="W72" s="701"/>
      <c r="X72" s="701"/>
      <c r="Y72" s="701"/>
      <c r="Z72" s="701"/>
      <c r="AA72" s="701"/>
      <c r="AB72" s="701"/>
      <c r="AC72" s="701"/>
      <c r="AD72" s="701"/>
      <c r="AE72" s="701"/>
      <c r="AF72" s="701"/>
      <c r="AG72" s="701"/>
      <c r="AH72" s="701"/>
      <c r="AI72" s="701"/>
      <c r="AJ72" s="701"/>
      <c r="AK72" s="701"/>
      <c r="AL72" s="701"/>
      <c r="AM72" s="701"/>
      <c r="AN72" s="701"/>
      <c r="AO72" s="701"/>
      <c r="AP72" s="701"/>
      <c r="AQ72" s="701"/>
      <c r="AR72" s="701"/>
      <c r="AS72" s="701"/>
      <c r="AT72" s="701"/>
      <c r="AU72" s="701"/>
      <c r="AV72" s="701"/>
      <c r="AW72" s="701"/>
      <c r="AX72" s="701"/>
      <c r="AY72" s="701"/>
      <c r="AZ72" s="701"/>
      <c r="BA72" s="701"/>
      <c r="BB72" s="701"/>
      <c r="BC72" s="701"/>
    </row>
    <row r="73" spans="1:55" s="702" customFormat="1" ht="45">
      <c r="A73" s="703">
        <v>70</v>
      </c>
      <c r="B73" s="704" t="s">
        <v>2144</v>
      </c>
      <c r="C73" s="705" t="s">
        <v>677</v>
      </c>
      <c r="D73" s="706">
        <v>200000</v>
      </c>
      <c r="E73" s="706">
        <v>200000</v>
      </c>
      <c r="F73" s="707" t="s">
        <v>2068</v>
      </c>
      <c r="G73" s="699"/>
      <c r="H73" s="700"/>
      <c r="I73" s="700" t="s">
        <v>2061</v>
      </c>
      <c r="J73" s="700"/>
      <c r="K73" s="700"/>
      <c r="L73" s="700"/>
      <c r="M73" s="701"/>
      <c r="N73" s="701"/>
      <c r="O73" s="701"/>
      <c r="P73" s="701"/>
      <c r="Q73" s="701"/>
      <c r="R73" s="701"/>
      <c r="S73" s="701"/>
      <c r="T73" s="701"/>
      <c r="U73" s="701"/>
      <c r="V73" s="701"/>
      <c r="W73" s="701"/>
      <c r="X73" s="701"/>
      <c r="Y73" s="701"/>
      <c r="Z73" s="701"/>
      <c r="AA73" s="701"/>
      <c r="AB73" s="701"/>
      <c r="AC73" s="701"/>
      <c r="AD73" s="701"/>
      <c r="AE73" s="701"/>
      <c r="AF73" s="701"/>
      <c r="AG73" s="701"/>
      <c r="AH73" s="701"/>
      <c r="AI73" s="701"/>
      <c r="AJ73" s="701"/>
      <c r="AK73" s="701"/>
      <c r="AL73" s="701"/>
      <c r="AM73" s="701"/>
      <c r="AN73" s="701"/>
      <c r="AO73" s="701"/>
      <c r="AP73" s="701"/>
      <c r="AQ73" s="701"/>
      <c r="AR73" s="701"/>
      <c r="AS73" s="701"/>
      <c r="AT73" s="701"/>
      <c r="AU73" s="701"/>
      <c r="AV73" s="701"/>
      <c r="AW73" s="701"/>
      <c r="AX73" s="701"/>
      <c r="AY73" s="701"/>
      <c r="AZ73" s="701"/>
      <c r="BA73" s="701"/>
      <c r="BB73" s="701"/>
      <c r="BC73" s="701"/>
    </row>
    <row r="74" spans="1:55" s="702" customFormat="1" ht="35.1" customHeight="1">
      <c r="A74" s="703">
        <v>71</v>
      </c>
      <c r="B74" s="704" t="s">
        <v>1765</v>
      </c>
      <c r="C74" s="705" t="s">
        <v>1722</v>
      </c>
      <c r="D74" s="706">
        <v>310000</v>
      </c>
      <c r="E74" s="706">
        <v>310000</v>
      </c>
      <c r="F74" s="707" t="s">
        <v>2145</v>
      </c>
      <c r="G74" s="699"/>
      <c r="H74" s="700"/>
      <c r="I74" s="700" t="s">
        <v>2061</v>
      </c>
      <c r="J74" s="700"/>
      <c r="K74" s="700"/>
      <c r="L74" s="700"/>
      <c r="M74" s="701"/>
      <c r="N74" s="701"/>
      <c r="O74" s="701"/>
      <c r="P74" s="701"/>
      <c r="Q74" s="701"/>
      <c r="R74" s="701"/>
      <c r="S74" s="701"/>
      <c r="T74" s="701"/>
      <c r="U74" s="701"/>
      <c r="V74" s="701"/>
      <c r="W74" s="701"/>
      <c r="X74" s="701"/>
      <c r="Y74" s="701"/>
      <c r="Z74" s="701"/>
      <c r="AA74" s="701"/>
      <c r="AB74" s="701"/>
      <c r="AC74" s="701"/>
      <c r="AD74" s="701"/>
      <c r="AE74" s="701"/>
      <c r="AF74" s="701"/>
      <c r="AG74" s="701"/>
      <c r="AH74" s="701"/>
      <c r="AI74" s="701"/>
      <c r="AJ74" s="701"/>
      <c r="AK74" s="701"/>
      <c r="AL74" s="701"/>
      <c r="AM74" s="701"/>
      <c r="AN74" s="701"/>
      <c r="AO74" s="701"/>
      <c r="AP74" s="701"/>
      <c r="AQ74" s="701"/>
      <c r="AR74" s="701"/>
      <c r="AS74" s="701"/>
      <c r="AT74" s="701"/>
      <c r="AU74" s="701"/>
      <c r="AV74" s="701"/>
      <c r="AW74" s="701"/>
      <c r="AX74" s="701"/>
      <c r="AY74" s="701"/>
      <c r="AZ74" s="701"/>
      <c r="BA74" s="701"/>
      <c r="BB74" s="701"/>
      <c r="BC74" s="701"/>
    </row>
    <row r="75" spans="1:55" s="702" customFormat="1" ht="35.1" customHeight="1">
      <c r="A75" s="703">
        <v>72</v>
      </c>
      <c r="B75" s="704" t="s">
        <v>2011</v>
      </c>
      <c r="C75" s="705" t="s">
        <v>1722</v>
      </c>
      <c r="D75" s="706">
        <v>290000</v>
      </c>
      <c r="E75" s="706">
        <v>290000</v>
      </c>
      <c r="F75" s="707" t="s">
        <v>2145</v>
      </c>
      <c r="G75" s="699"/>
      <c r="H75" s="700"/>
      <c r="I75" s="700" t="s">
        <v>2061</v>
      </c>
      <c r="J75" s="700"/>
      <c r="K75" s="700"/>
      <c r="L75" s="700"/>
      <c r="M75" s="701"/>
      <c r="N75" s="701"/>
      <c r="O75" s="701"/>
      <c r="P75" s="701"/>
      <c r="Q75" s="701"/>
      <c r="R75" s="701"/>
      <c r="S75" s="701"/>
      <c r="T75" s="701"/>
      <c r="U75" s="701"/>
      <c r="V75" s="701"/>
      <c r="W75" s="701"/>
      <c r="X75" s="701"/>
      <c r="Y75" s="701"/>
      <c r="Z75" s="701"/>
      <c r="AA75" s="701"/>
      <c r="AB75" s="701"/>
      <c r="AC75" s="701"/>
      <c r="AD75" s="701"/>
      <c r="AE75" s="701"/>
      <c r="AF75" s="701"/>
      <c r="AG75" s="701"/>
      <c r="AH75" s="701"/>
      <c r="AI75" s="701"/>
      <c r="AJ75" s="701"/>
      <c r="AK75" s="701"/>
      <c r="AL75" s="701"/>
      <c r="AM75" s="701"/>
      <c r="AN75" s="701"/>
      <c r="AO75" s="701"/>
      <c r="AP75" s="701"/>
      <c r="AQ75" s="701"/>
      <c r="AR75" s="701"/>
      <c r="AS75" s="701"/>
      <c r="AT75" s="701"/>
      <c r="AU75" s="701"/>
      <c r="AV75" s="701"/>
      <c r="AW75" s="701"/>
      <c r="AX75" s="701"/>
      <c r="AY75" s="701"/>
      <c r="AZ75" s="701"/>
      <c r="BA75" s="701"/>
      <c r="BB75" s="701"/>
      <c r="BC75" s="701"/>
    </row>
    <row r="76" spans="1:55" s="702" customFormat="1" ht="35.1" customHeight="1">
      <c r="A76" s="703">
        <v>73</v>
      </c>
      <c r="B76" s="704" t="s">
        <v>1727</v>
      </c>
      <c r="C76" s="705" t="s">
        <v>1722</v>
      </c>
      <c r="D76" s="706">
        <v>360000</v>
      </c>
      <c r="E76" s="706">
        <v>360000</v>
      </c>
      <c r="F76" s="707" t="s">
        <v>2145</v>
      </c>
      <c r="G76" s="699"/>
      <c r="H76" s="700"/>
      <c r="I76" s="700" t="s">
        <v>2061</v>
      </c>
      <c r="J76" s="700"/>
      <c r="K76" s="700"/>
      <c r="L76" s="700"/>
      <c r="M76" s="701"/>
      <c r="N76" s="701"/>
      <c r="O76" s="701"/>
      <c r="P76" s="701"/>
      <c r="Q76" s="701"/>
      <c r="R76" s="701"/>
      <c r="S76" s="701"/>
      <c r="T76" s="701"/>
      <c r="U76" s="701"/>
      <c r="V76" s="701"/>
      <c r="W76" s="701"/>
      <c r="X76" s="701"/>
      <c r="Y76" s="701"/>
      <c r="Z76" s="701"/>
      <c r="AA76" s="701"/>
      <c r="AB76" s="701"/>
      <c r="AC76" s="701"/>
      <c r="AD76" s="701"/>
      <c r="AE76" s="701"/>
      <c r="AF76" s="701"/>
      <c r="AG76" s="701"/>
      <c r="AH76" s="701"/>
      <c r="AI76" s="701"/>
      <c r="AJ76" s="701"/>
      <c r="AK76" s="701"/>
      <c r="AL76" s="701"/>
      <c r="AM76" s="701"/>
      <c r="AN76" s="701"/>
      <c r="AO76" s="701"/>
      <c r="AP76" s="701"/>
      <c r="AQ76" s="701"/>
      <c r="AR76" s="701"/>
      <c r="AS76" s="701"/>
      <c r="AT76" s="701"/>
      <c r="AU76" s="701"/>
      <c r="AV76" s="701"/>
      <c r="AW76" s="701"/>
      <c r="AX76" s="701"/>
      <c r="AY76" s="701"/>
      <c r="AZ76" s="701"/>
      <c r="BA76" s="701"/>
      <c r="BB76" s="701"/>
      <c r="BC76" s="701"/>
    </row>
    <row r="77" spans="1:55" s="702" customFormat="1">
      <c r="A77" s="703">
        <v>74</v>
      </c>
      <c r="B77" s="704" t="s">
        <v>2146</v>
      </c>
      <c r="C77" s="705" t="s">
        <v>655</v>
      </c>
      <c r="D77" s="706">
        <v>80000</v>
      </c>
      <c r="E77" s="706">
        <v>80000</v>
      </c>
      <c r="F77" s="707"/>
      <c r="G77" s="699"/>
      <c r="H77" s="700"/>
      <c r="I77" s="700" t="s">
        <v>2061</v>
      </c>
      <c r="J77" s="700"/>
      <c r="K77" s="700"/>
      <c r="L77" s="700"/>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1"/>
      <c r="AJ77" s="701"/>
      <c r="AK77" s="701"/>
      <c r="AL77" s="701"/>
      <c r="AM77" s="701"/>
      <c r="AN77" s="701"/>
      <c r="AO77" s="701"/>
      <c r="AP77" s="701"/>
      <c r="AQ77" s="701"/>
      <c r="AR77" s="701"/>
      <c r="AS77" s="701"/>
      <c r="AT77" s="701"/>
      <c r="AU77" s="701"/>
      <c r="AV77" s="701"/>
      <c r="AW77" s="701"/>
      <c r="AX77" s="701"/>
      <c r="AY77" s="701"/>
      <c r="AZ77" s="701"/>
      <c r="BA77" s="701"/>
      <c r="BB77" s="701"/>
      <c r="BC77" s="701"/>
    </row>
    <row r="78" spans="1:55" s="702" customFormat="1">
      <c r="A78" s="703">
        <v>75</v>
      </c>
      <c r="B78" s="704" t="s">
        <v>1867</v>
      </c>
      <c r="C78" s="705" t="s">
        <v>655</v>
      </c>
      <c r="D78" s="706">
        <v>100000</v>
      </c>
      <c r="E78" s="706">
        <v>100000</v>
      </c>
      <c r="F78" s="707"/>
      <c r="G78" s="699"/>
      <c r="H78" s="700"/>
      <c r="I78" s="700"/>
      <c r="J78" s="700"/>
      <c r="K78" s="700"/>
      <c r="L78" s="700"/>
      <c r="M78" s="701"/>
      <c r="N78" s="701"/>
      <c r="O78" s="701"/>
      <c r="P78" s="701"/>
      <c r="Q78" s="701"/>
      <c r="R78" s="701"/>
      <c r="S78" s="701"/>
      <c r="T78" s="701"/>
      <c r="U78" s="701"/>
      <c r="V78" s="701"/>
      <c r="W78" s="701"/>
      <c r="X78" s="701"/>
      <c r="Y78" s="701"/>
      <c r="Z78" s="701"/>
      <c r="AA78" s="701"/>
      <c r="AB78" s="701"/>
      <c r="AC78" s="701"/>
      <c r="AD78" s="701"/>
      <c r="AE78" s="701"/>
      <c r="AF78" s="701"/>
      <c r="AG78" s="701"/>
      <c r="AH78" s="701"/>
      <c r="AI78" s="701"/>
      <c r="AJ78" s="701"/>
      <c r="AK78" s="701"/>
      <c r="AL78" s="701"/>
      <c r="AM78" s="701"/>
      <c r="AN78" s="701"/>
      <c r="AO78" s="701"/>
      <c r="AP78" s="701"/>
      <c r="AQ78" s="701"/>
      <c r="AR78" s="701"/>
      <c r="AS78" s="701"/>
      <c r="AT78" s="701"/>
      <c r="AU78" s="701"/>
      <c r="AV78" s="701"/>
      <c r="AW78" s="701"/>
      <c r="AX78" s="701"/>
      <c r="AY78" s="701"/>
      <c r="AZ78" s="701"/>
      <c r="BA78" s="701"/>
      <c r="BB78" s="701"/>
      <c r="BC78" s="701"/>
    </row>
    <row r="79" spans="1:55" s="702" customFormat="1" ht="45">
      <c r="A79" s="703">
        <v>76</v>
      </c>
      <c r="B79" s="704" t="s">
        <v>2147</v>
      </c>
      <c r="C79" s="705" t="s">
        <v>655</v>
      </c>
      <c r="D79" s="706">
        <v>180000</v>
      </c>
      <c r="E79" s="706">
        <v>180000</v>
      </c>
      <c r="F79" s="707" t="s">
        <v>2068</v>
      </c>
      <c r="G79" s="699"/>
      <c r="H79" s="700"/>
      <c r="I79" s="700" t="s">
        <v>2061</v>
      </c>
      <c r="J79" s="700"/>
      <c r="K79" s="700"/>
      <c r="L79" s="700"/>
      <c r="M79" s="701"/>
      <c r="N79" s="701"/>
      <c r="O79" s="701"/>
      <c r="P79" s="701"/>
      <c r="Q79" s="701"/>
      <c r="R79" s="701"/>
      <c r="S79" s="701"/>
      <c r="T79" s="701"/>
      <c r="U79" s="701"/>
      <c r="V79" s="701"/>
      <c r="W79" s="701"/>
      <c r="X79" s="701"/>
      <c r="Y79" s="701"/>
      <c r="Z79" s="701"/>
      <c r="AA79" s="701"/>
      <c r="AB79" s="701"/>
      <c r="AC79" s="701"/>
      <c r="AD79" s="701"/>
      <c r="AE79" s="701"/>
      <c r="AF79" s="701"/>
      <c r="AG79" s="701"/>
      <c r="AH79" s="701"/>
      <c r="AI79" s="701"/>
      <c r="AJ79" s="701"/>
      <c r="AK79" s="701"/>
      <c r="AL79" s="701"/>
      <c r="AM79" s="701"/>
      <c r="AN79" s="701"/>
      <c r="AO79" s="701"/>
      <c r="AP79" s="701"/>
      <c r="AQ79" s="701"/>
      <c r="AR79" s="701"/>
      <c r="AS79" s="701"/>
      <c r="AT79" s="701"/>
      <c r="AU79" s="701"/>
      <c r="AV79" s="701"/>
      <c r="AW79" s="701"/>
      <c r="AX79" s="701"/>
      <c r="AY79" s="701"/>
      <c r="AZ79" s="701"/>
      <c r="BA79" s="701"/>
      <c r="BB79" s="701"/>
      <c r="BC79" s="701"/>
    </row>
    <row r="80" spans="1:55" s="702" customFormat="1" ht="45">
      <c r="A80" s="703">
        <v>77</v>
      </c>
      <c r="B80" s="704" t="s">
        <v>2148</v>
      </c>
      <c r="C80" s="705" t="s">
        <v>2149</v>
      </c>
      <c r="D80" s="708">
        <v>25000</v>
      </c>
      <c r="E80" s="708">
        <v>25000</v>
      </c>
      <c r="F80" s="707" t="s">
        <v>2068</v>
      </c>
      <c r="G80" s="699"/>
      <c r="H80" s="700"/>
      <c r="I80" s="700" t="s">
        <v>2061</v>
      </c>
      <c r="J80" s="700"/>
      <c r="K80" s="700"/>
      <c r="L80" s="700"/>
      <c r="M80" s="701"/>
      <c r="N80" s="701"/>
      <c r="O80" s="701"/>
      <c r="P80" s="701"/>
      <c r="Q80" s="701"/>
      <c r="R80" s="701"/>
      <c r="S80" s="701"/>
      <c r="T80" s="701"/>
      <c r="U80" s="701"/>
      <c r="V80" s="701"/>
      <c r="W80" s="701"/>
      <c r="X80" s="701"/>
      <c r="Y80" s="701"/>
      <c r="Z80" s="701"/>
      <c r="AA80" s="701"/>
      <c r="AB80" s="701"/>
      <c r="AC80" s="701"/>
      <c r="AD80" s="701"/>
      <c r="AE80" s="701"/>
      <c r="AF80" s="701"/>
      <c r="AG80" s="701"/>
      <c r="AH80" s="701"/>
      <c r="AI80" s="701"/>
      <c r="AJ80" s="701"/>
      <c r="AK80" s="701"/>
      <c r="AL80" s="701"/>
      <c r="AM80" s="701"/>
      <c r="AN80" s="701"/>
      <c r="AO80" s="701"/>
      <c r="AP80" s="701"/>
      <c r="AQ80" s="701"/>
      <c r="AR80" s="701"/>
      <c r="AS80" s="701"/>
      <c r="AT80" s="701"/>
      <c r="AU80" s="701"/>
      <c r="AV80" s="701"/>
      <c r="AW80" s="701"/>
      <c r="AX80" s="701"/>
      <c r="AY80" s="701"/>
      <c r="AZ80" s="701"/>
      <c r="BA80" s="701"/>
      <c r="BB80" s="701"/>
      <c r="BC80" s="701"/>
    </row>
    <row r="81" spans="1:55" s="702" customFormat="1" ht="44.25" customHeight="1">
      <c r="A81" s="703">
        <v>78</v>
      </c>
      <c r="B81" s="704" t="s">
        <v>2150</v>
      </c>
      <c r="C81" s="705" t="s">
        <v>2151</v>
      </c>
      <c r="D81" s="708">
        <v>2000000</v>
      </c>
      <c r="E81" s="708">
        <v>2000000</v>
      </c>
      <c r="F81" s="707" t="s">
        <v>2152</v>
      </c>
      <c r="G81" s="699"/>
      <c r="H81" s="700"/>
      <c r="I81" s="700" t="s">
        <v>2061</v>
      </c>
      <c r="J81" s="700"/>
      <c r="K81" s="700"/>
      <c r="L81" s="700"/>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1"/>
      <c r="AJ81" s="701"/>
      <c r="AK81" s="701"/>
      <c r="AL81" s="701"/>
      <c r="AM81" s="701"/>
      <c r="AN81" s="701"/>
      <c r="AO81" s="701"/>
      <c r="AP81" s="701"/>
      <c r="AQ81" s="701"/>
      <c r="AR81" s="701"/>
      <c r="AS81" s="701"/>
      <c r="AT81" s="701"/>
      <c r="AU81" s="701"/>
      <c r="AV81" s="701"/>
      <c r="AW81" s="701"/>
      <c r="AX81" s="701"/>
      <c r="AY81" s="701"/>
      <c r="AZ81" s="701"/>
      <c r="BA81" s="701"/>
      <c r="BB81" s="701"/>
      <c r="BC81" s="701"/>
    </row>
    <row r="82" spans="1:55" s="702" customFormat="1" ht="35.1" customHeight="1">
      <c r="A82" s="703">
        <v>79</v>
      </c>
      <c r="B82" s="704" t="s">
        <v>2153</v>
      </c>
      <c r="C82" s="705" t="s">
        <v>624</v>
      </c>
      <c r="D82" s="706">
        <f>(1320000+100000+210000)/1.1</f>
        <v>1481818.1818181816</v>
      </c>
      <c r="E82" s="709">
        <f>(770000+770000+100000+300000)/1.1</f>
        <v>1763636.3636363635</v>
      </c>
      <c r="F82" s="707" t="s">
        <v>2154</v>
      </c>
      <c r="G82" s="699"/>
      <c r="H82" s="700"/>
      <c r="I82" s="700" t="s">
        <v>2061</v>
      </c>
      <c r="J82" s="700"/>
      <c r="K82" s="700"/>
      <c r="L82" s="700"/>
      <c r="M82" s="701"/>
      <c r="N82" s="701"/>
      <c r="O82" s="701"/>
      <c r="P82" s="701"/>
      <c r="Q82" s="701"/>
      <c r="R82" s="701"/>
      <c r="S82" s="701"/>
      <c r="T82" s="701"/>
      <c r="U82" s="701"/>
      <c r="V82" s="701"/>
      <c r="W82" s="701"/>
      <c r="X82" s="701"/>
      <c r="Y82" s="701"/>
      <c r="Z82" s="701"/>
      <c r="AA82" s="701"/>
      <c r="AB82" s="701"/>
      <c r="AC82" s="701"/>
      <c r="AD82" s="701"/>
      <c r="AE82" s="701"/>
      <c r="AF82" s="701"/>
      <c r="AG82" s="701"/>
      <c r="AH82" s="701"/>
      <c r="AI82" s="701"/>
      <c r="AJ82" s="701"/>
      <c r="AK82" s="701"/>
      <c r="AL82" s="701"/>
      <c r="AM82" s="701"/>
      <c r="AN82" s="701"/>
      <c r="AO82" s="701"/>
      <c r="AP82" s="701"/>
      <c r="AQ82" s="701"/>
      <c r="AR82" s="701"/>
      <c r="AS82" s="701"/>
      <c r="AT82" s="701"/>
      <c r="AU82" s="701"/>
      <c r="AV82" s="701"/>
      <c r="AW82" s="701"/>
      <c r="AX82" s="701"/>
      <c r="AY82" s="701"/>
      <c r="AZ82" s="701"/>
      <c r="BA82" s="701"/>
      <c r="BB82" s="701"/>
      <c r="BC82" s="701"/>
    </row>
    <row r="83" spans="1:55" s="702" customFormat="1" ht="35.1" customHeight="1">
      <c r="A83" s="703">
        <v>80</v>
      </c>
      <c r="B83" s="704" t="s">
        <v>2155</v>
      </c>
      <c r="C83" s="705" t="s">
        <v>624</v>
      </c>
      <c r="D83" s="706">
        <f>(1190000+100000+220000)/1.1</f>
        <v>1372727.2727272727</v>
      </c>
      <c r="E83" s="709">
        <f>(1540000+100000+300000)/1.1</f>
        <v>1763636.3636363635</v>
      </c>
      <c r="F83" s="707" t="s">
        <v>2156</v>
      </c>
      <c r="G83" s="699"/>
      <c r="H83" s="700"/>
      <c r="I83" s="700" t="s">
        <v>2061</v>
      </c>
      <c r="J83" s="700"/>
      <c r="K83" s="700"/>
      <c r="L83" s="700"/>
      <c r="M83" s="701"/>
      <c r="N83" s="701"/>
      <c r="O83" s="701"/>
      <c r="P83" s="701"/>
      <c r="Q83" s="701"/>
      <c r="R83" s="701"/>
      <c r="S83" s="701"/>
      <c r="T83" s="701"/>
      <c r="U83" s="701"/>
      <c r="V83" s="701"/>
      <c r="W83" s="701"/>
      <c r="X83" s="701"/>
      <c r="Y83" s="701"/>
      <c r="Z83" s="701"/>
      <c r="AA83" s="701"/>
      <c r="AB83" s="701"/>
      <c r="AC83" s="701"/>
      <c r="AD83" s="701"/>
      <c r="AE83" s="701"/>
      <c r="AF83" s="701"/>
      <c r="AG83" s="701"/>
      <c r="AH83" s="701"/>
      <c r="AI83" s="701"/>
      <c r="AJ83" s="701"/>
      <c r="AK83" s="701"/>
      <c r="AL83" s="701"/>
      <c r="AM83" s="701"/>
      <c r="AN83" s="701"/>
      <c r="AO83" s="701"/>
      <c r="AP83" s="701"/>
      <c r="AQ83" s="701"/>
      <c r="AR83" s="701"/>
      <c r="AS83" s="701"/>
      <c r="AT83" s="701"/>
      <c r="AU83" s="701"/>
      <c r="AV83" s="701"/>
      <c r="AW83" s="701"/>
      <c r="AX83" s="701"/>
      <c r="AY83" s="701"/>
      <c r="AZ83" s="701"/>
      <c r="BA83" s="701"/>
      <c r="BB83" s="701"/>
      <c r="BC83" s="701"/>
    </row>
    <row r="84" spans="1:55" s="702" customFormat="1" ht="35.1" customHeight="1">
      <c r="A84" s="703">
        <v>81</v>
      </c>
      <c r="B84" s="704" t="s">
        <v>2157</v>
      </c>
      <c r="C84" s="705" t="s">
        <v>624</v>
      </c>
      <c r="D84" s="706">
        <f>(500000+100000+210000)/1.1</f>
        <v>736363.63636363635</v>
      </c>
      <c r="E84" s="709">
        <f>(590000+100000+300000)/1.1</f>
        <v>899999.99999999988</v>
      </c>
      <c r="F84" s="707" t="s">
        <v>2158</v>
      </c>
      <c r="G84" s="699"/>
      <c r="H84" s="700"/>
      <c r="I84" s="700" t="s">
        <v>2061</v>
      </c>
      <c r="J84" s="700"/>
      <c r="K84" s="700"/>
      <c r="L84" s="700"/>
      <c r="M84" s="701"/>
      <c r="N84" s="701"/>
      <c r="O84" s="701"/>
      <c r="P84" s="701"/>
      <c r="Q84" s="701"/>
      <c r="R84" s="701"/>
      <c r="S84" s="701"/>
      <c r="T84" s="701"/>
      <c r="U84" s="701"/>
      <c r="V84" s="701"/>
      <c r="W84" s="701"/>
      <c r="X84" s="701"/>
      <c r="Y84" s="701"/>
      <c r="Z84" s="701"/>
      <c r="AA84" s="701"/>
      <c r="AB84" s="701"/>
      <c r="AC84" s="701"/>
      <c r="AD84" s="701"/>
      <c r="AE84" s="701"/>
      <c r="AF84" s="701"/>
      <c r="AG84" s="701"/>
      <c r="AH84" s="701"/>
      <c r="AI84" s="701"/>
      <c r="AJ84" s="701"/>
      <c r="AK84" s="701"/>
      <c r="AL84" s="701"/>
      <c r="AM84" s="701"/>
      <c r="AN84" s="701"/>
      <c r="AO84" s="701"/>
      <c r="AP84" s="701"/>
      <c r="AQ84" s="701"/>
      <c r="AR84" s="701"/>
      <c r="AS84" s="701"/>
      <c r="AT84" s="701"/>
      <c r="AU84" s="701"/>
      <c r="AV84" s="701"/>
      <c r="AW84" s="701"/>
      <c r="AX84" s="701"/>
      <c r="AY84" s="701"/>
      <c r="AZ84" s="701"/>
      <c r="BA84" s="701"/>
      <c r="BB84" s="701"/>
      <c r="BC84" s="701"/>
    </row>
    <row r="85" spans="1:55" s="714" customFormat="1" ht="35.1" customHeight="1">
      <c r="A85" s="703">
        <v>82</v>
      </c>
      <c r="B85" s="704" t="s">
        <v>2159</v>
      </c>
      <c r="C85" s="705" t="s">
        <v>624</v>
      </c>
      <c r="D85" s="706">
        <f>(1590000+100000+210000)/1.1</f>
        <v>1727272.7272727271</v>
      </c>
      <c r="E85" s="711">
        <f>(1780000+100000+300000)/1.1</f>
        <v>1981818.1818181816</v>
      </c>
      <c r="F85" s="707" t="s">
        <v>2160</v>
      </c>
      <c r="G85" s="712"/>
      <c r="H85" s="700"/>
      <c r="I85" s="700" t="s">
        <v>2061</v>
      </c>
      <c r="J85" s="700"/>
      <c r="K85" s="700"/>
      <c r="L85" s="700"/>
      <c r="M85" s="713"/>
      <c r="N85" s="713"/>
      <c r="O85" s="713"/>
      <c r="P85" s="713"/>
      <c r="Q85" s="713"/>
      <c r="R85" s="713"/>
      <c r="S85" s="713"/>
      <c r="T85" s="713"/>
      <c r="U85" s="713"/>
      <c r="V85" s="713"/>
      <c r="W85" s="713"/>
      <c r="X85" s="713"/>
      <c r="Y85" s="713"/>
      <c r="Z85" s="713"/>
      <c r="AA85" s="713"/>
      <c r="AB85" s="713"/>
      <c r="AC85" s="713"/>
      <c r="AD85" s="713"/>
      <c r="AE85" s="713"/>
      <c r="AF85" s="713"/>
      <c r="AG85" s="713"/>
      <c r="AH85" s="713"/>
      <c r="AI85" s="713"/>
      <c r="AJ85" s="713"/>
      <c r="AK85" s="713"/>
      <c r="AL85" s="713"/>
      <c r="AM85" s="713"/>
      <c r="AN85" s="713"/>
      <c r="AO85" s="713"/>
      <c r="AP85" s="713"/>
      <c r="AQ85" s="713"/>
      <c r="AR85" s="713"/>
      <c r="AS85" s="713"/>
      <c r="AT85" s="713"/>
      <c r="AU85" s="713"/>
      <c r="AV85" s="713"/>
      <c r="AW85" s="713"/>
      <c r="AX85" s="713"/>
      <c r="AY85" s="713"/>
      <c r="AZ85" s="713"/>
      <c r="BA85" s="713"/>
      <c r="BB85" s="713"/>
      <c r="BC85" s="713"/>
    </row>
    <row r="86" spans="1:55" s="702" customFormat="1" ht="35.1" customHeight="1">
      <c r="A86" s="703">
        <v>83</v>
      </c>
      <c r="B86" s="704" t="s">
        <v>2161</v>
      </c>
      <c r="C86" s="705" t="s">
        <v>624</v>
      </c>
      <c r="D86" s="706">
        <f>ROUND(3210000/1.1,0)</f>
        <v>2918182</v>
      </c>
      <c r="E86" s="709">
        <f>ROUND(3270000/1.1,0)</f>
        <v>2972727</v>
      </c>
      <c r="F86" s="707" t="s">
        <v>2162</v>
      </c>
      <c r="G86" s="699"/>
      <c r="H86" s="700"/>
      <c r="I86" s="700" t="s">
        <v>2061</v>
      </c>
      <c r="J86" s="700"/>
      <c r="K86" s="700"/>
      <c r="L86" s="700"/>
      <c r="M86" s="701"/>
      <c r="N86" s="701"/>
      <c r="O86" s="701"/>
      <c r="P86" s="701"/>
      <c r="Q86" s="701"/>
      <c r="R86" s="701"/>
      <c r="S86" s="701"/>
      <c r="T86" s="701"/>
      <c r="U86" s="701"/>
      <c r="V86" s="701"/>
      <c r="W86" s="701"/>
      <c r="X86" s="701"/>
      <c r="Y86" s="701"/>
      <c r="Z86" s="701"/>
      <c r="AA86" s="701"/>
      <c r="AB86" s="701"/>
      <c r="AC86" s="701"/>
      <c r="AD86" s="701"/>
      <c r="AE86" s="701"/>
      <c r="AF86" s="701"/>
      <c r="AG86" s="701"/>
      <c r="AH86" s="701"/>
      <c r="AI86" s="701"/>
      <c r="AJ86" s="701"/>
      <c r="AK86" s="701"/>
      <c r="AL86" s="701"/>
      <c r="AM86" s="701"/>
      <c r="AN86" s="701"/>
      <c r="AO86" s="701"/>
      <c r="AP86" s="701"/>
      <c r="AQ86" s="701"/>
      <c r="AR86" s="701"/>
      <c r="AS86" s="701"/>
      <c r="AT86" s="701"/>
      <c r="AU86" s="701"/>
      <c r="AV86" s="701"/>
      <c r="AW86" s="701"/>
      <c r="AX86" s="701"/>
      <c r="AY86" s="701"/>
      <c r="AZ86" s="701"/>
      <c r="BA86" s="701"/>
      <c r="BB86" s="701"/>
      <c r="BC86" s="701"/>
    </row>
    <row r="87" spans="1:55" s="702" customFormat="1" ht="35.1" customHeight="1">
      <c r="A87" s="703">
        <v>84</v>
      </c>
      <c r="B87" s="704" t="s">
        <v>2163</v>
      </c>
      <c r="C87" s="705" t="s">
        <v>624</v>
      </c>
      <c r="D87" s="706">
        <f>ROUND(1770000/1.1,0)</f>
        <v>1609091</v>
      </c>
      <c r="E87" s="709">
        <f>ROUND(1990000/1.1,0)</f>
        <v>1809091</v>
      </c>
      <c r="F87" s="707" t="s">
        <v>2164</v>
      </c>
      <c r="G87" s="699"/>
      <c r="H87" s="700"/>
      <c r="I87" s="700" t="s">
        <v>2061</v>
      </c>
      <c r="J87" s="700"/>
      <c r="K87" s="700"/>
      <c r="L87" s="700"/>
      <c r="M87" s="701"/>
      <c r="N87" s="701"/>
      <c r="O87" s="701"/>
      <c r="P87" s="701"/>
      <c r="Q87" s="701"/>
      <c r="R87" s="701"/>
      <c r="S87" s="701"/>
      <c r="T87" s="701"/>
      <c r="U87" s="701"/>
      <c r="V87" s="701"/>
      <c r="W87" s="701"/>
      <c r="X87" s="701"/>
      <c r="Y87" s="701"/>
      <c r="Z87" s="701"/>
      <c r="AA87" s="701"/>
      <c r="AB87" s="701"/>
      <c r="AC87" s="701"/>
      <c r="AD87" s="701"/>
      <c r="AE87" s="701"/>
      <c r="AF87" s="701"/>
      <c r="AG87" s="701"/>
      <c r="AH87" s="701"/>
      <c r="AI87" s="701"/>
      <c r="AJ87" s="701"/>
      <c r="AK87" s="701"/>
      <c r="AL87" s="701"/>
      <c r="AM87" s="701"/>
      <c r="AN87" s="701"/>
      <c r="AO87" s="701"/>
      <c r="AP87" s="701"/>
      <c r="AQ87" s="701"/>
      <c r="AR87" s="701"/>
      <c r="AS87" s="701"/>
      <c r="AT87" s="701"/>
      <c r="AU87" s="701"/>
      <c r="AV87" s="701"/>
      <c r="AW87" s="701"/>
      <c r="AX87" s="701"/>
      <c r="AY87" s="701"/>
      <c r="AZ87" s="701"/>
      <c r="BA87" s="701"/>
      <c r="BB87" s="701"/>
      <c r="BC87" s="701"/>
    </row>
    <row r="88" spans="1:55" s="702" customFormat="1" ht="35.1" customHeight="1">
      <c r="A88" s="703">
        <v>85</v>
      </c>
      <c r="B88" s="704" t="s">
        <v>2165</v>
      </c>
      <c r="C88" s="705" t="s">
        <v>624</v>
      </c>
      <c r="D88" s="706">
        <f>840000+210000</f>
        <v>1050000</v>
      </c>
      <c r="E88" s="709">
        <f>ROUND(880000+300000/1.1,0)</f>
        <v>1152727</v>
      </c>
      <c r="F88" s="707" t="s">
        <v>2166</v>
      </c>
      <c r="G88" s="699"/>
      <c r="H88" s="700"/>
      <c r="I88" s="700" t="s">
        <v>2061</v>
      </c>
      <c r="J88" s="700"/>
      <c r="K88" s="700"/>
      <c r="L88" s="700"/>
      <c r="M88" s="701"/>
      <c r="N88" s="701"/>
      <c r="O88" s="701"/>
      <c r="P88" s="701"/>
      <c r="Q88" s="701"/>
      <c r="R88" s="701"/>
      <c r="S88" s="701"/>
      <c r="T88" s="701"/>
      <c r="U88" s="701"/>
      <c r="V88" s="701"/>
      <c r="W88" s="701"/>
      <c r="X88" s="701"/>
      <c r="Y88" s="701"/>
      <c r="Z88" s="701"/>
      <c r="AA88" s="701"/>
      <c r="AB88" s="701"/>
      <c r="AC88" s="701"/>
      <c r="AD88" s="701"/>
      <c r="AE88" s="701"/>
      <c r="AF88" s="701"/>
      <c r="AG88" s="701"/>
      <c r="AH88" s="701"/>
      <c r="AI88" s="701"/>
      <c r="AJ88" s="701"/>
      <c r="AK88" s="701"/>
      <c r="AL88" s="701"/>
      <c r="AM88" s="701"/>
      <c r="AN88" s="701"/>
      <c r="AO88" s="701"/>
      <c r="AP88" s="701"/>
      <c r="AQ88" s="701"/>
      <c r="AR88" s="701"/>
      <c r="AS88" s="701"/>
      <c r="AT88" s="701"/>
      <c r="AU88" s="701"/>
      <c r="AV88" s="701"/>
      <c r="AW88" s="701"/>
      <c r="AX88" s="701"/>
      <c r="AY88" s="701"/>
      <c r="AZ88" s="701"/>
      <c r="BA88" s="701"/>
      <c r="BB88" s="701"/>
      <c r="BC88" s="701"/>
    </row>
    <row r="89" spans="1:55" s="702" customFormat="1" ht="35.1" customHeight="1">
      <c r="A89" s="703">
        <v>86</v>
      </c>
      <c r="B89" s="704" t="s">
        <v>2167</v>
      </c>
      <c r="C89" s="705" t="s">
        <v>624</v>
      </c>
      <c r="D89" s="706">
        <f>(2870000+100000)/1.1</f>
        <v>2700000</v>
      </c>
      <c r="E89" s="709">
        <f>(3980000+100000)/1.1</f>
        <v>3709090.9090909087</v>
      </c>
      <c r="F89" s="707" t="s">
        <v>2168</v>
      </c>
      <c r="G89" s="699"/>
      <c r="H89" s="700"/>
      <c r="I89" s="700" t="s">
        <v>2061</v>
      </c>
      <c r="J89" s="700"/>
      <c r="K89" s="700"/>
      <c r="L89" s="700"/>
      <c r="M89" s="701"/>
      <c r="N89" s="701"/>
      <c r="O89" s="701"/>
      <c r="P89" s="701"/>
      <c r="Q89" s="701"/>
      <c r="R89" s="701"/>
      <c r="S89" s="701"/>
      <c r="T89" s="701"/>
      <c r="U89" s="701"/>
      <c r="V89" s="701"/>
      <c r="W89" s="701"/>
      <c r="X89" s="701"/>
      <c r="Y89" s="701"/>
      <c r="Z89" s="701"/>
      <c r="AA89" s="701"/>
      <c r="AB89" s="701"/>
      <c r="AC89" s="701"/>
      <c r="AD89" s="701"/>
      <c r="AE89" s="701"/>
      <c r="AF89" s="701"/>
      <c r="AG89" s="701"/>
      <c r="AH89" s="701"/>
      <c r="AI89" s="701"/>
      <c r="AJ89" s="701"/>
      <c r="AK89" s="701"/>
      <c r="AL89" s="701"/>
      <c r="AM89" s="701"/>
      <c r="AN89" s="701"/>
      <c r="AO89" s="701"/>
      <c r="AP89" s="701"/>
      <c r="AQ89" s="701"/>
      <c r="AR89" s="701"/>
      <c r="AS89" s="701"/>
      <c r="AT89" s="701"/>
      <c r="AU89" s="701"/>
      <c r="AV89" s="701"/>
      <c r="AW89" s="701"/>
      <c r="AX89" s="701"/>
      <c r="AY89" s="701"/>
      <c r="AZ89" s="701"/>
      <c r="BA89" s="701"/>
      <c r="BB89" s="701"/>
      <c r="BC89" s="701"/>
    </row>
    <row r="90" spans="1:55" s="714" customFormat="1" ht="35.1" customHeight="1">
      <c r="A90" s="703">
        <v>87</v>
      </c>
      <c r="B90" s="704" t="s">
        <v>2167</v>
      </c>
      <c r="C90" s="705" t="s">
        <v>624</v>
      </c>
      <c r="D90" s="706">
        <f>(2930000+100000)/1.1</f>
        <v>2754545.4545454541</v>
      </c>
      <c r="E90" s="711">
        <f>(3110000+100000)/1.1</f>
        <v>2918181.8181818179</v>
      </c>
      <c r="F90" s="707" t="s">
        <v>2169</v>
      </c>
      <c r="G90" s="712"/>
      <c r="H90" s="700"/>
      <c r="I90" s="700" t="s">
        <v>2061</v>
      </c>
      <c r="J90" s="700"/>
      <c r="K90" s="700"/>
      <c r="L90" s="700"/>
      <c r="M90" s="713"/>
      <c r="N90" s="713"/>
      <c r="O90" s="713"/>
      <c r="P90" s="713"/>
      <c r="Q90" s="713"/>
      <c r="R90" s="713"/>
      <c r="S90" s="713"/>
      <c r="T90" s="713"/>
      <c r="U90" s="713"/>
      <c r="V90" s="713"/>
      <c r="W90" s="713"/>
      <c r="X90" s="713"/>
      <c r="Y90" s="713"/>
      <c r="Z90" s="713"/>
      <c r="AA90" s="713"/>
      <c r="AB90" s="713"/>
      <c r="AC90" s="713"/>
      <c r="AD90" s="713"/>
      <c r="AE90" s="713"/>
      <c r="AF90" s="713"/>
      <c r="AG90" s="713"/>
      <c r="AH90" s="713"/>
      <c r="AI90" s="713"/>
      <c r="AJ90" s="713"/>
      <c r="AK90" s="713"/>
      <c r="AL90" s="713"/>
      <c r="AM90" s="713"/>
      <c r="AN90" s="713"/>
      <c r="AO90" s="713"/>
      <c r="AP90" s="713"/>
      <c r="AQ90" s="713"/>
      <c r="AR90" s="713"/>
      <c r="AS90" s="713"/>
      <c r="AT90" s="713"/>
      <c r="AU90" s="713"/>
      <c r="AV90" s="713"/>
      <c r="AW90" s="713"/>
      <c r="AX90" s="713"/>
      <c r="AY90" s="713"/>
      <c r="AZ90" s="713"/>
      <c r="BA90" s="713"/>
      <c r="BB90" s="713"/>
      <c r="BC90" s="713"/>
    </row>
    <row r="91" spans="1:55" s="702" customFormat="1" ht="35.1" customHeight="1">
      <c r="A91" s="703">
        <v>88</v>
      </c>
      <c r="B91" s="704" t="s">
        <v>2170</v>
      </c>
      <c r="C91" s="705" t="s">
        <v>624</v>
      </c>
      <c r="D91" s="706">
        <f>(2560000+100000)/1.1</f>
        <v>2418181.8181818179</v>
      </c>
      <c r="E91" s="709">
        <f>(3600000+100000)/1.1</f>
        <v>3363636.3636363633</v>
      </c>
      <c r="F91" s="707" t="s">
        <v>2171</v>
      </c>
      <c r="G91" s="699"/>
      <c r="H91" s="700"/>
      <c r="I91" s="700" t="s">
        <v>2061</v>
      </c>
      <c r="J91" s="700"/>
      <c r="K91" s="700"/>
      <c r="L91" s="700"/>
      <c r="M91" s="701"/>
      <c r="N91" s="701"/>
      <c r="O91" s="701"/>
      <c r="P91" s="701"/>
      <c r="Q91" s="701"/>
      <c r="R91" s="701"/>
      <c r="S91" s="701"/>
      <c r="T91" s="701"/>
      <c r="U91" s="701"/>
      <c r="V91" s="701"/>
      <c r="W91" s="701"/>
      <c r="X91" s="701"/>
      <c r="Y91" s="701"/>
      <c r="Z91" s="701"/>
      <c r="AA91" s="701"/>
      <c r="AB91" s="701"/>
      <c r="AC91" s="701"/>
      <c r="AD91" s="701"/>
      <c r="AE91" s="701"/>
      <c r="AF91" s="701"/>
      <c r="AG91" s="701"/>
      <c r="AH91" s="701"/>
      <c r="AI91" s="701"/>
      <c r="AJ91" s="701"/>
      <c r="AK91" s="701"/>
      <c r="AL91" s="701"/>
      <c r="AM91" s="701"/>
      <c r="AN91" s="701"/>
      <c r="AO91" s="701"/>
      <c r="AP91" s="701"/>
      <c r="AQ91" s="701"/>
      <c r="AR91" s="701"/>
      <c r="AS91" s="701"/>
      <c r="AT91" s="701"/>
      <c r="AU91" s="701"/>
      <c r="AV91" s="701"/>
      <c r="AW91" s="701"/>
      <c r="AX91" s="701"/>
      <c r="AY91" s="701"/>
      <c r="AZ91" s="701"/>
      <c r="BA91" s="701"/>
      <c r="BB91" s="701"/>
      <c r="BC91" s="701"/>
    </row>
    <row r="92" spans="1:55" s="702" customFormat="1" ht="45">
      <c r="A92" s="703">
        <v>89</v>
      </c>
      <c r="B92" s="704" t="s">
        <v>2172</v>
      </c>
      <c r="C92" s="705" t="s">
        <v>677</v>
      </c>
      <c r="D92" s="706">
        <v>20000</v>
      </c>
      <c r="E92" s="706">
        <v>20000</v>
      </c>
      <c r="F92" s="707" t="s">
        <v>2068</v>
      </c>
      <c r="G92" s="699"/>
      <c r="H92" s="700"/>
      <c r="I92" s="700" t="s">
        <v>2061</v>
      </c>
      <c r="J92" s="700"/>
      <c r="K92" s="700"/>
      <c r="L92" s="700"/>
      <c r="M92" s="701"/>
      <c r="N92" s="701"/>
      <c r="O92" s="701"/>
      <c r="P92" s="701"/>
      <c r="Q92" s="701"/>
      <c r="R92" s="701"/>
      <c r="S92" s="701"/>
      <c r="T92" s="701"/>
      <c r="U92" s="701"/>
      <c r="V92" s="701"/>
      <c r="W92" s="701"/>
      <c r="X92" s="701"/>
      <c r="Y92" s="701"/>
      <c r="Z92" s="701"/>
      <c r="AA92" s="701"/>
      <c r="AB92" s="701"/>
      <c r="AC92" s="701"/>
      <c r="AD92" s="701"/>
      <c r="AE92" s="701"/>
      <c r="AF92" s="701"/>
      <c r="AG92" s="701"/>
      <c r="AH92" s="701"/>
      <c r="AI92" s="701"/>
      <c r="AJ92" s="701"/>
      <c r="AK92" s="701"/>
      <c r="AL92" s="701"/>
      <c r="AM92" s="701"/>
      <c r="AN92" s="701"/>
      <c r="AO92" s="701"/>
      <c r="AP92" s="701"/>
      <c r="AQ92" s="701"/>
      <c r="AR92" s="701"/>
      <c r="AS92" s="701"/>
      <c r="AT92" s="701"/>
      <c r="AU92" s="701"/>
      <c r="AV92" s="701"/>
      <c r="AW92" s="701"/>
      <c r="AX92" s="701"/>
      <c r="AY92" s="701"/>
      <c r="AZ92" s="701"/>
      <c r="BA92" s="701"/>
      <c r="BB92" s="701"/>
      <c r="BC92" s="701"/>
    </row>
    <row r="93" spans="1:55" s="702" customFormat="1" ht="45">
      <c r="A93" s="703">
        <v>90</v>
      </c>
      <c r="B93" s="704" t="s">
        <v>2173</v>
      </c>
      <c r="C93" s="705" t="s">
        <v>685</v>
      </c>
      <c r="D93" s="706">
        <v>300000</v>
      </c>
      <c r="E93" s="706">
        <v>300000</v>
      </c>
      <c r="F93" s="707" t="s">
        <v>2068</v>
      </c>
      <c r="G93" s="699"/>
      <c r="H93" s="700"/>
      <c r="I93" s="700" t="s">
        <v>2061</v>
      </c>
      <c r="J93" s="700"/>
      <c r="K93" s="700"/>
      <c r="L93" s="700"/>
      <c r="M93" s="701"/>
      <c r="N93" s="701"/>
      <c r="O93" s="701"/>
      <c r="P93" s="701"/>
      <c r="Q93" s="701"/>
      <c r="R93" s="701"/>
      <c r="S93" s="701"/>
      <c r="T93" s="701"/>
      <c r="U93" s="701"/>
      <c r="V93" s="701"/>
      <c r="W93" s="701"/>
      <c r="X93" s="701"/>
      <c r="Y93" s="701"/>
      <c r="Z93" s="701"/>
      <c r="AA93" s="701"/>
      <c r="AB93" s="701"/>
      <c r="AC93" s="701"/>
      <c r="AD93" s="701"/>
      <c r="AE93" s="701"/>
      <c r="AF93" s="701"/>
      <c r="AG93" s="701"/>
      <c r="AH93" s="701"/>
      <c r="AI93" s="701"/>
      <c r="AJ93" s="701"/>
      <c r="AK93" s="701"/>
      <c r="AL93" s="701"/>
      <c r="AM93" s="701"/>
      <c r="AN93" s="701"/>
      <c r="AO93" s="701"/>
      <c r="AP93" s="701"/>
      <c r="AQ93" s="701"/>
      <c r="AR93" s="701"/>
      <c r="AS93" s="701"/>
      <c r="AT93" s="701"/>
      <c r="AU93" s="701"/>
      <c r="AV93" s="701"/>
      <c r="AW93" s="701"/>
      <c r="AX93" s="701"/>
      <c r="AY93" s="701"/>
      <c r="AZ93" s="701"/>
      <c r="BA93" s="701"/>
      <c r="BB93" s="701"/>
      <c r="BC93" s="701"/>
    </row>
    <row r="94" spans="1:55" s="702" customFormat="1" ht="43.5" customHeight="1">
      <c r="A94" s="703">
        <v>91</v>
      </c>
      <c r="B94" s="704" t="s">
        <v>2174</v>
      </c>
      <c r="C94" s="705" t="s">
        <v>2175</v>
      </c>
      <c r="D94" s="706">
        <v>200000</v>
      </c>
      <c r="E94" s="706">
        <v>200000</v>
      </c>
      <c r="F94" s="707" t="s">
        <v>2068</v>
      </c>
      <c r="G94" s="699"/>
      <c r="H94" s="700"/>
      <c r="I94" s="700" t="s">
        <v>2061</v>
      </c>
      <c r="J94" s="700"/>
      <c r="K94" s="700"/>
      <c r="L94" s="700"/>
      <c r="M94" s="701"/>
      <c r="N94" s="701"/>
      <c r="O94" s="701"/>
      <c r="P94" s="701"/>
      <c r="Q94" s="701"/>
      <c r="R94" s="701"/>
      <c r="S94" s="701"/>
      <c r="T94" s="701"/>
      <c r="U94" s="701"/>
      <c r="V94" s="701"/>
      <c r="W94" s="701"/>
      <c r="X94" s="701"/>
      <c r="Y94" s="701"/>
      <c r="Z94" s="701"/>
      <c r="AA94" s="701"/>
      <c r="AB94" s="701"/>
      <c r="AC94" s="701"/>
      <c r="AD94" s="701"/>
      <c r="AE94" s="701"/>
      <c r="AF94" s="701"/>
      <c r="AG94" s="701"/>
      <c r="AH94" s="701"/>
      <c r="AI94" s="701"/>
      <c r="AJ94" s="701"/>
      <c r="AK94" s="701"/>
      <c r="AL94" s="701"/>
      <c r="AM94" s="701"/>
      <c r="AN94" s="701"/>
      <c r="AO94" s="701"/>
      <c r="AP94" s="701"/>
      <c r="AQ94" s="701"/>
      <c r="AR94" s="701"/>
      <c r="AS94" s="701"/>
      <c r="AT94" s="701"/>
      <c r="AU94" s="701"/>
      <c r="AV94" s="701"/>
      <c r="AW94" s="701"/>
      <c r="AX94" s="701"/>
      <c r="AY94" s="701"/>
      <c r="AZ94" s="701"/>
      <c r="BA94" s="701"/>
      <c r="BB94" s="701"/>
      <c r="BC94" s="701"/>
    </row>
    <row r="95" spans="1:55" s="702" customFormat="1" ht="35.1" customHeight="1">
      <c r="A95" s="703">
        <v>92</v>
      </c>
      <c r="B95" s="704" t="s">
        <v>2176</v>
      </c>
      <c r="C95" s="705" t="s">
        <v>655</v>
      </c>
      <c r="D95" s="706">
        <v>9900</v>
      </c>
      <c r="E95" s="706">
        <v>9900</v>
      </c>
      <c r="F95" s="707" t="s">
        <v>2084</v>
      </c>
      <c r="G95" s="699"/>
      <c r="H95" s="700"/>
      <c r="I95" s="700"/>
      <c r="J95" s="700"/>
      <c r="K95" s="700"/>
      <c r="L95" s="700"/>
      <c r="M95" s="701"/>
      <c r="N95" s="701"/>
      <c r="O95" s="701"/>
      <c r="P95" s="701"/>
      <c r="Q95" s="701"/>
      <c r="R95" s="701"/>
      <c r="S95" s="701"/>
      <c r="T95" s="701"/>
      <c r="U95" s="701"/>
      <c r="V95" s="701"/>
      <c r="W95" s="701"/>
      <c r="X95" s="701"/>
      <c r="Y95" s="701"/>
      <c r="Z95" s="701"/>
      <c r="AA95" s="701"/>
      <c r="AB95" s="701"/>
      <c r="AC95" s="701"/>
      <c r="AD95" s="701"/>
      <c r="AE95" s="701"/>
      <c r="AF95" s="701"/>
      <c r="AG95" s="701"/>
      <c r="AH95" s="701"/>
      <c r="AI95" s="701"/>
      <c r="AJ95" s="701"/>
      <c r="AK95" s="701"/>
      <c r="AL95" s="701"/>
      <c r="AM95" s="701"/>
      <c r="AN95" s="701"/>
      <c r="AO95" s="701"/>
      <c r="AP95" s="701"/>
      <c r="AQ95" s="701"/>
      <c r="AR95" s="701"/>
      <c r="AS95" s="701"/>
      <c r="AT95" s="701"/>
      <c r="AU95" s="701"/>
      <c r="AV95" s="701"/>
      <c r="AW95" s="701"/>
      <c r="AX95" s="701"/>
      <c r="AY95" s="701"/>
      <c r="AZ95" s="701"/>
      <c r="BA95" s="701"/>
      <c r="BB95" s="701"/>
      <c r="BC95" s="701"/>
    </row>
    <row r="96" spans="1:55" s="702" customFormat="1" ht="35.1" customHeight="1">
      <c r="A96" s="703">
        <v>93</v>
      </c>
      <c r="B96" s="704" t="s">
        <v>2177</v>
      </c>
      <c r="C96" s="705" t="s">
        <v>655</v>
      </c>
      <c r="D96" s="706">
        <v>22400</v>
      </c>
      <c r="E96" s="706">
        <v>22400</v>
      </c>
      <c r="F96" s="707" t="s">
        <v>2084</v>
      </c>
      <c r="G96" s="699"/>
      <c r="H96" s="700"/>
      <c r="I96" s="700"/>
      <c r="J96" s="700"/>
      <c r="K96" s="700"/>
      <c r="L96" s="700"/>
      <c r="M96" s="701"/>
      <c r="N96" s="701"/>
      <c r="O96" s="701"/>
      <c r="P96" s="701"/>
      <c r="Q96" s="701"/>
      <c r="R96" s="701"/>
      <c r="S96" s="701"/>
      <c r="T96" s="701"/>
      <c r="U96" s="701"/>
      <c r="V96" s="701"/>
      <c r="W96" s="701"/>
      <c r="X96" s="701"/>
      <c r="Y96" s="701"/>
      <c r="Z96" s="701"/>
      <c r="AA96" s="701"/>
      <c r="AB96" s="701"/>
      <c r="AC96" s="701"/>
      <c r="AD96" s="701"/>
      <c r="AE96" s="701"/>
      <c r="AF96" s="701"/>
      <c r="AG96" s="701"/>
      <c r="AH96" s="701"/>
      <c r="AI96" s="701"/>
      <c r="AJ96" s="701"/>
      <c r="AK96" s="701"/>
      <c r="AL96" s="701"/>
      <c r="AM96" s="701"/>
      <c r="AN96" s="701"/>
      <c r="AO96" s="701"/>
      <c r="AP96" s="701"/>
      <c r="AQ96" s="701"/>
      <c r="AR96" s="701"/>
      <c r="AS96" s="701"/>
      <c r="AT96" s="701"/>
      <c r="AU96" s="701"/>
      <c r="AV96" s="701"/>
      <c r="AW96" s="701"/>
      <c r="AX96" s="701"/>
      <c r="AY96" s="701"/>
      <c r="AZ96" s="701"/>
      <c r="BA96" s="701"/>
      <c r="BB96" s="701"/>
      <c r="BC96" s="701"/>
    </row>
    <row r="97" spans="1:55" s="702" customFormat="1" ht="35.1" customHeight="1">
      <c r="A97" s="703">
        <v>94</v>
      </c>
      <c r="B97" s="704" t="s">
        <v>2178</v>
      </c>
      <c r="C97" s="705" t="s">
        <v>655</v>
      </c>
      <c r="D97" s="706">
        <v>43900</v>
      </c>
      <c r="E97" s="706">
        <v>43900</v>
      </c>
      <c r="F97" s="707" t="s">
        <v>2084</v>
      </c>
      <c r="G97" s="699"/>
      <c r="H97" s="700"/>
      <c r="I97" s="700"/>
      <c r="J97" s="700"/>
      <c r="K97" s="700"/>
      <c r="L97" s="700"/>
      <c r="M97" s="701"/>
      <c r="N97" s="701"/>
      <c r="O97" s="701"/>
      <c r="P97" s="701"/>
      <c r="Q97" s="701"/>
      <c r="R97" s="701"/>
      <c r="S97" s="701"/>
      <c r="T97" s="701"/>
      <c r="U97" s="701"/>
      <c r="V97" s="701"/>
      <c r="W97" s="701"/>
      <c r="X97" s="701"/>
      <c r="Y97" s="701"/>
      <c r="Z97" s="701"/>
      <c r="AA97" s="701"/>
      <c r="AB97" s="701"/>
      <c r="AC97" s="701"/>
      <c r="AD97" s="701"/>
      <c r="AE97" s="701"/>
      <c r="AF97" s="701"/>
      <c r="AG97" s="701"/>
      <c r="AH97" s="701"/>
      <c r="AI97" s="701"/>
      <c r="AJ97" s="701"/>
      <c r="AK97" s="701"/>
      <c r="AL97" s="701"/>
      <c r="AM97" s="701"/>
      <c r="AN97" s="701"/>
      <c r="AO97" s="701"/>
      <c r="AP97" s="701"/>
      <c r="AQ97" s="701"/>
      <c r="AR97" s="701"/>
      <c r="AS97" s="701"/>
      <c r="AT97" s="701"/>
      <c r="AU97" s="701"/>
      <c r="AV97" s="701"/>
      <c r="AW97" s="701"/>
      <c r="AX97" s="701"/>
      <c r="AY97" s="701"/>
      <c r="AZ97" s="701"/>
      <c r="BA97" s="701"/>
      <c r="BB97" s="701"/>
      <c r="BC97" s="701"/>
    </row>
    <row r="98" spans="1:55" s="701" customFormat="1" ht="35.1" customHeight="1">
      <c r="A98" s="703">
        <v>95</v>
      </c>
      <c r="B98" s="704" t="s">
        <v>2179</v>
      </c>
      <c r="C98" s="705" t="s">
        <v>655</v>
      </c>
      <c r="D98" s="706">
        <v>4000</v>
      </c>
      <c r="E98" s="706">
        <v>4000</v>
      </c>
      <c r="F98" s="707" t="s">
        <v>2084</v>
      </c>
      <c r="G98" s="699"/>
      <c r="H98" s="700"/>
      <c r="I98" s="700"/>
      <c r="J98" s="700"/>
      <c r="K98" s="700"/>
      <c r="L98" s="700"/>
    </row>
    <row r="99" spans="1:55" s="702" customFormat="1" ht="35.1" customHeight="1">
      <c r="A99" s="703">
        <v>96</v>
      </c>
      <c r="B99" s="704" t="s">
        <v>2180</v>
      </c>
      <c r="C99" s="705" t="s">
        <v>655</v>
      </c>
      <c r="D99" s="706">
        <v>55700</v>
      </c>
      <c r="E99" s="706">
        <v>55700</v>
      </c>
      <c r="F99" s="707" t="s">
        <v>2084</v>
      </c>
      <c r="G99" s="699"/>
      <c r="H99" s="700"/>
      <c r="I99" s="700"/>
      <c r="J99" s="700"/>
      <c r="K99" s="700"/>
      <c r="L99" s="700"/>
      <c r="M99" s="701"/>
      <c r="N99" s="701"/>
      <c r="O99" s="701"/>
      <c r="P99" s="701"/>
      <c r="Q99" s="701"/>
      <c r="R99" s="701"/>
      <c r="S99" s="701"/>
      <c r="T99" s="701"/>
      <c r="U99" s="701"/>
      <c r="V99" s="701"/>
      <c r="W99" s="701"/>
      <c r="X99" s="701"/>
      <c r="Y99" s="701"/>
      <c r="Z99" s="701"/>
      <c r="AA99" s="701"/>
      <c r="AB99" s="701"/>
      <c r="AC99" s="701"/>
      <c r="AD99" s="701"/>
      <c r="AE99" s="701"/>
      <c r="AF99" s="701"/>
      <c r="AG99" s="701"/>
      <c r="AH99" s="701"/>
      <c r="AI99" s="701"/>
      <c r="AJ99" s="701"/>
      <c r="AK99" s="701"/>
      <c r="AL99" s="701"/>
      <c r="AM99" s="701"/>
      <c r="AN99" s="701"/>
      <c r="AO99" s="701"/>
      <c r="AP99" s="701"/>
      <c r="AQ99" s="701"/>
      <c r="AR99" s="701"/>
      <c r="AS99" s="701"/>
      <c r="AT99" s="701"/>
      <c r="AU99" s="701"/>
      <c r="AV99" s="701"/>
      <c r="AW99" s="701"/>
      <c r="AX99" s="701"/>
      <c r="AY99" s="701"/>
      <c r="AZ99" s="701"/>
      <c r="BA99" s="701"/>
      <c r="BB99" s="701"/>
      <c r="BC99" s="701"/>
    </row>
    <row r="100" spans="1:55" s="702" customFormat="1" ht="35.1" customHeight="1">
      <c r="A100" s="703">
        <v>97</v>
      </c>
      <c r="B100" s="704" t="s">
        <v>2181</v>
      </c>
      <c r="C100" s="705" t="s">
        <v>655</v>
      </c>
      <c r="D100" s="706">
        <v>3000</v>
      </c>
      <c r="E100" s="706">
        <v>3000</v>
      </c>
      <c r="F100" s="707" t="s">
        <v>2084</v>
      </c>
      <c r="G100" s="699"/>
      <c r="H100" s="700"/>
      <c r="I100" s="700"/>
      <c r="J100" s="700"/>
      <c r="K100" s="700"/>
      <c r="L100" s="700"/>
      <c r="M100" s="701"/>
      <c r="N100" s="701"/>
      <c r="O100" s="701"/>
      <c r="P100" s="701"/>
      <c r="Q100" s="701"/>
      <c r="R100" s="701"/>
      <c r="S100" s="701"/>
      <c r="T100" s="701"/>
      <c r="U100" s="701"/>
      <c r="V100" s="701"/>
      <c r="W100" s="701"/>
      <c r="X100" s="701"/>
      <c r="Y100" s="701"/>
      <c r="Z100" s="701"/>
      <c r="AA100" s="701"/>
      <c r="AB100" s="701"/>
      <c r="AC100" s="701"/>
      <c r="AD100" s="701"/>
      <c r="AE100" s="701"/>
      <c r="AF100" s="701"/>
      <c r="AG100" s="701"/>
      <c r="AH100" s="701"/>
      <c r="AI100" s="701"/>
      <c r="AJ100" s="701"/>
      <c r="AK100" s="701"/>
      <c r="AL100" s="701"/>
      <c r="AM100" s="701"/>
      <c r="AN100" s="701"/>
      <c r="AO100" s="701"/>
      <c r="AP100" s="701"/>
      <c r="AQ100" s="701"/>
      <c r="AR100" s="701"/>
      <c r="AS100" s="701"/>
      <c r="AT100" s="701"/>
      <c r="AU100" s="701"/>
      <c r="AV100" s="701"/>
      <c r="AW100" s="701"/>
      <c r="AX100" s="701"/>
      <c r="AY100" s="701"/>
      <c r="AZ100" s="701"/>
      <c r="BA100" s="701"/>
      <c r="BB100" s="701"/>
      <c r="BC100" s="701"/>
    </row>
    <row r="101" spans="1:55" s="702" customFormat="1" ht="35.1" customHeight="1">
      <c r="A101" s="703">
        <v>98</v>
      </c>
      <c r="B101" s="704" t="s">
        <v>2182</v>
      </c>
      <c r="C101" s="705" t="s">
        <v>655</v>
      </c>
      <c r="D101" s="706">
        <v>4800</v>
      </c>
      <c r="E101" s="706">
        <v>4800</v>
      </c>
      <c r="F101" s="707" t="s">
        <v>2084</v>
      </c>
      <c r="G101" s="699"/>
      <c r="H101" s="700"/>
      <c r="I101" s="700"/>
      <c r="J101" s="700"/>
      <c r="K101" s="700"/>
      <c r="L101" s="700"/>
      <c r="M101" s="701"/>
      <c r="N101" s="701"/>
      <c r="O101" s="701"/>
      <c r="P101" s="701"/>
      <c r="Q101" s="701"/>
      <c r="R101" s="701"/>
      <c r="S101" s="701"/>
      <c r="T101" s="701"/>
      <c r="U101" s="701"/>
      <c r="V101" s="701"/>
      <c r="W101" s="701"/>
      <c r="X101" s="701"/>
      <c r="Y101" s="701"/>
      <c r="Z101" s="701"/>
      <c r="AA101" s="701"/>
      <c r="AB101" s="701"/>
      <c r="AC101" s="701"/>
      <c r="AD101" s="701"/>
      <c r="AE101" s="701"/>
      <c r="AF101" s="701"/>
      <c r="AG101" s="701"/>
      <c r="AH101" s="701"/>
      <c r="AI101" s="701"/>
      <c r="AJ101" s="701"/>
      <c r="AK101" s="701"/>
      <c r="AL101" s="701"/>
      <c r="AM101" s="701"/>
      <c r="AN101" s="701"/>
      <c r="AO101" s="701"/>
      <c r="AP101" s="701"/>
      <c r="AQ101" s="701"/>
      <c r="AR101" s="701"/>
      <c r="AS101" s="701"/>
      <c r="AT101" s="701"/>
      <c r="AU101" s="701"/>
      <c r="AV101" s="701"/>
      <c r="AW101" s="701"/>
      <c r="AX101" s="701"/>
      <c r="AY101" s="701"/>
      <c r="AZ101" s="701"/>
      <c r="BA101" s="701"/>
      <c r="BB101" s="701"/>
      <c r="BC101" s="701"/>
    </row>
    <row r="102" spans="1:55" s="702" customFormat="1" ht="35.1" customHeight="1">
      <c r="A102" s="703">
        <v>99</v>
      </c>
      <c r="B102" s="704" t="s">
        <v>2183</v>
      </c>
      <c r="C102" s="705" t="s">
        <v>655</v>
      </c>
      <c r="D102" s="706">
        <v>6800</v>
      </c>
      <c r="E102" s="706">
        <v>6800</v>
      </c>
      <c r="F102" s="707" t="s">
        <v>2084</v>
      </c>
      <c r="G102" s="699"/>
      <c r="H102" s="700"/>
      <c r="I102" s="700"/>
      <c r="J102" s="700"/>
      <c r="K102" s="700"/>
      <c r="L102" s="700"/>
      <c r="M102" s="701"/>
      <c r="N102" s="701"/>
      <c r="O102" s="701"/>
      <c r="P102" s="701"/>
      <c r="Q102" s="701"/>
      <c r="R102" s="701"/>
      <c r="S102" s="701"/>
      <c r="T102" s="701"/>
      <c r="U102" s="701"/>
      <c r="V102" s="701"/>
      <c r="W102" s="701"/>
      <c r="X102" s="701"/>
      <c r="Y102" s="701"/>
      <c r="Z102" s="701"/>
      <c r="AA102" s="701"/>
      <c r="AB102" s="701"/>
      <c r="AC102" s="701"/>
      <c r="AD102" s="701"/>
      <c r="AE102" s="701"/>
      <c r="AF102" s="701"/>
      <c r="AG102" s="701"/>
      <c r="AH102" s="701"/>
      <c r="AI102" s="701"/>
      <c r="AJ102" s="701"/>
      <c r="AK102" s="701"/>
      <c r="AL102" s="701"/>
      <c r="AM102" s="701"/>
      <c r="AN102" s="701"/>
      <c r="AO102" s="701"/>
      <c r="AP102" s="701"/>
      <c r="AQ102" s="701"/>
      <c r="AR102" s="701"/>
      <c r="AS102" s="701"/>
      <c r="AT102" s="701"/>
      <c r="AU102" s="701"/>
      <c r="AV102" s="701"/>
      <c r="AW102" s="701"/>
      <c r="AX102" s="701"/>
      <c r="AY102" s="701"/>
      <c r="AZ102" s="701"/>
      <c r="BA102" s="701"/>
      <c r="BB102" s="701"/>
      <c r="BC102" s="701"/>
    </row>
    <row r="103" spans="1:55" s="702" customFormat="1" ht="35.1" customHeight="1">
      <c r="A103" s="703">
        <v>100</v>
      </c>
      <c r="B103" s="704" t="s">
        <v>2184</v>
      </c>
      <c r="C103" s="705" t="s">
        <v>655</v>
      </c>
      <c r="D103" s="706">
        <v>11400</v>
      </c>
      <c r="E103" s="706">
        <v>11400</v>
      </c>
      <c r="F103" s="707" t="s">
        <v>2084</v>
      </c>
      <c r="G103" s="699"/>
      <c r="H103" s="700"/>
      <c r="I103" s="700"/>
      <c r="J103" s="700"/>
      <c r="K103" s="700"/>
      <c r="L103" s="700"/>
      <c r="M103" s="701"/>
      <c r="N103" s="701"/>
      <c r="O103" s="701"/>
      <c r="P103" s="701"/>
      <c r="Q103" s="701"/>
      <c r="R103" s="701"/>
      <c r="S103" s="701"/>
      <c r="T103" s="701"/>
      <c r="U103" s="701"/>
      <c r="V103" s="701"/>
      <c r="W103" s="701"/>
      <c r="X103" s="701"/>
      <c r="Y103" s="701"/>
      <c r="Z103" s="701"/>
      <c r="AA103" s="701"/>
      <c r="AB103" s="701"/>
      <c r="AC103" s="701"/>
      <c r="AD103" s="701"/>
      <c r="AE103" s="701"/>
      <c r="AF103" s="701"/>
      <c r="AG103" s="701"/>
      <c r="AH103" s="701"/>
      <c r="AI103" s="701"/>
      <c r="AJ103" s="701"/>
      <c r="AK103" s="701"/>
      <c r="AL103" s="701"/>
      <c r="AM103" s="701"/>
      <c r="AN103" s="701"/>
      <c r="AO103" s="701"/>
      <c r="AP103" s="701"/>
      <c r="AQ103" s="701"/>
      <c r="AR103" s="701"/>
      <c r="AS103" s="701"/>
      <c r="AT103" s="701"/>
      <c r="AU103" s="701"/>
      <c r="AV103" s="701"/>
      <c r="AW103" s="701"/>
      <c r="AX103" s="701"/>
      <c r="AY103" s="701"/>
      <c r="AZ103" s="701"/>
      <c r="BA103" s="701"/>
      <c r="BB103" s="701"/>
      <c r="BC103" s="701"/>
    </row>
    <row r="104" spans="1:55" s="702" customFormat="1" ht="35.1" customHeight="1">
      <c r="A104" s="703">
        <v>101</v>
      </c>
      <c r="B104" s="704" t="s">
        <v>2185</v>
      </c>
      <c r="C104" s="705" t="s">
        <v>655</v>
      </c>
      <c r="D104" s="706">
        <v>26800</v>
      </c>
      <c r="E104" s="706">
        <v>26800</v>
      </c>
      <c r="F104" s="707" t="s">
        <v>2084</v>
      </c>
      <c r="G104" s="699"/>
      <c r="H104" s="700"/>
      <c r="I104" s="700"/>
      <c r="J104" s="700"/>
      <c r="K104" s="700"/>
      <c r="L104" s="700"/>
      <c r="M104" s="701"/>
      <c r="N104" s="701"/>
      <c r="O104" s="701"/>
      <c r="P104" s="701"/>
      <c r="Q104" s="701"/>
      <c r="R104" s="701"/>
      <c r="S104" s="701"/>
      <c r="T104" s="701"/>
      <c r="U104" s="701"/>
      <c r="V104" s="701"/>
      <c r="W104" s="701"/>
      <c r="X104" s="701"/>
      <c r="Y104" s="701"/>
      <c r="Z104" s="701"/>
      <c r="AA104" s="701"/>
      <c r="AB104" s="701"/>
      <c r="AC104" s="701"/>
      <c r="AD104" s="701"/>
      <c r="AE104" s="701"/>
      <c r="AF104" s="701"/>
      <c r="AG104" s="701"/>
      <c r="AH104" s="701"/>
      <c r="AI104" s="701"/>
      <c r="AJ104" s="701"/>
      <c r="AK104" s="701"/>
      <c r="AL104" s="701"/>
      <c r="AM104" s="701"/>
      <c r="AN104" s="701"/>
      <c r="AO104" s="701"/>
      <c r="AP104" s="701"/>
      <c r="AQ104" s="701"/>
      <c r="AR104" s="701"/>
      <c r="AS104" s="701"/>
      <c r="AT104" s="701"/>
      <c r="AU104" s="701"/>
      <c r="AV104" s="701"/>
      <c r="AW104" s="701"/>
      <c r="AX104" s="701"/>
      <c r="AY104" s="701"/>
      <c r="AZ104" s="701"/>
      <c r="BA104" s="701"/>
      <c r="BB104" s="701"/>
      <c r="BC104" s="701"/>
    </row>
    <row r="105" spans="1:55" s="702" customFormat="1" ht="35.1" customHeight="1">
      <c r="A105" s="703">
        <v>102</v>
      </c>
      <c r="B105" s="704" t="s">
        <v>2186</v>
      </c>
      <c r="C105" s="705" t="s">
        <v>655</v>
      </c>
      <c r="D105" s="706">
        <v>479500</v>
      </c>
      <c r="E105" s="706">
        <v>479500</v>
      </c>
      <c r="F105" s="707" t="s">
        <v>2084</v>
      </c>
      <c r="G105" s="699"/>
      <c r="H105" s="700"/>
      <c r="I105" s="700"/>
      <c r="J105" s="700"/>
      <c r="K105" s="700"/>
      <c r="L105" s="700"/>
      <c r="M105" s="701"/>
      <c r="N105" s="701"/>
      <c r="O105" s="701"/>
      <c r="P105" s="701"/>
      <c r="Q105" s="701"/>
      <c r="R105" s="701"/>
      <c r="S105" s="701"/>
      <c r="T105" s="701"/>
      <c r="U105" s="701"/>
      <c r="V105" s="701"/>
      <c r="W105" s="701"/>
      <c r="X105" s="701"/>
      <c r="Y105" s="701"/>
      <c r="Z105" s="701"/>
      <c r="AA105" s="701"/>
      <c r="AB105" s="701"/>
      <c r="AC105" s="701"/>
      <c r="AD105" s="701"/>
      <c r="AE105" s="701"/>
      <c r="AF105" s="701"/>
      <c r="AG105" s="701"/>
      <c r="AH105" s="701"/>
      <c r="AI105" s="701"/>
      <c r="AJ105" s="701"/>
      <c r="AK105" s="701"/>
      <c r="AL105" s="701"/>
      <c r="AM105" s="701"/>
      <c r="AN105" s="701"/>
      <c r="AO105" s="701"/>
      <c r="AP105" s="701"/>
      <c r="AQ105" s="701"/>
      <c r="AR105" s="701"/>
      <c r="AS105" s="701"/>
      <c r="AT105" s="701"/>
      <c r="AU105" s="701"/>
      <c r="AV105" s="701"/>
      <c r="AW105" s="701"/>
      <c r="AX105" s="701"/>
      <c r="AY105" s="701"/>
      <c r="AZ105" s="701"/>
      <c r="BA105" s="701"/>
      <c r="BB105" s="701"/>
      <c r="BC105" s="701"/>
    </row>
    <row r="106" spans="1:55" s="702" customFormat="1" ht="35.1" customHeight="1">
      <c r="A106" s="703">
        <v>103</v>
      </c>
      <c r="B106" s="704" t="s">
        <v>2187</v>
      </c>
      <c r="C106" s="705" t="s">
        <v>655</v>
      </c>
      <c r="D106" s="706">
        <v>35300</v>
      </c>
      <c r="E106" s="706">
        <v>35300</v>
      </c>
      <c r="F106" s="707" t="s">
        <v>2084</v>
      </c>
      <c r="G106" s="699"/>
      <c r="H106" s="700"/>
      <c r="I106" s="700"/>
      <c r="J106" s="700"/>
      <c r="K106" s="700"/>
      <c r="L106" s="700"/>
      <c r="M106" s="701"/>
      <c r="N106" s="701"/>
      <c r="O106" s="701"/>
      <c r="P106" s="701"/>
      <c r="Q106" s="701"/>
      <c r="R106" s="701"/>
      <c r="S106" s="701"/>
      <c r="T106" s="701"/>
      <c r="U106" s="701"/>
      <c r="V106" s="701"/>
      <c r="W106" s="701"/>
      <c r="X106" s="701"/>
      <c r="Y106" s="701"/>
      <c r="Z106" s="701"/>
      <c r="AA106" s="701"/>
      <c r="AB106" s="701"/>
      <c r="AC106" s="701"/>
      <c r="AD106" s="701"/>
      <c r="AE106" s="701"/>
      <c r="AF106" s="701"/>
      <c r="AG106" s="701"/>
      <c r="AH106" s="701"/>
      <c r="AI106" s="701"/>
      <c r="AJ106" s="701"/>
      <c r="AK106" s="701"/>
      <c r="AL106" s="701"/>
      <c r="AM106" s="701"/>
      <c r="AN106" s="701"/>
      <c r="AO106" s="701"/>
      <c r="AP106" s="701"/>
      <c r="AQ106" s="701"/>
      <c r="AR106" s="701"/>
      <c r="AS106" s="701"/>
      <c r="AT106" s="701"/>
      <c r="AU106" s="701"/>
      <c r="AV106" s="701"/>
      <c r="AW106" s="701"/>
      <c r="AX106" s="701"/>
      <c r="AY106" s="701"/>
      <c r="AZ106" s="701"/>
      <c r="BA106" s="701"/>
      <c r="BB106" s="701"/>
      <c r="BC106" s="701"/>
    </row>
    <row r="107" spans="1:55" s="702" customFormat="1" ht="35.1" customHeight="1">
      <c r="A107" s="703">
        <v>104</v>
      </c>
      <c r="B107" s="704" t="s">
        <v>2188</v>
      </c>
      <c r="C107" s="705" t="s">
        <v>655</v>
      </c>
      <c r="D107" s="706">
        <v>15500</v>
      </c>
      <c r="E107" s="706">
        <v>15500</v>
      </c>
      <c r="F107" s="707" t="s">
        <v>2084</v>
      </c>
      <c r="G107" s="699"/>
      <c r="H107" s="700"/>
      <c r="I107" s="700" t="s">
        <v>2099</v>
      </c>
      <c r="J107" s="700"/>
      <c r="K107" s="700"/>
      <c r="L107" s="700"/>
      <c r="M107" s="701"/>
      <c r="N107" s="701"/>
      <c r="O107" s="701"/>
      <c r="P107" s="701"/>
      <c r="Q107" s="701"/>
      <c r="R107" s="701"/>
      <c r="S107" s="701"/>
      <c r="T107" s="701"/>
      <c r="U107" s="701"/>
      <c r="V107" s="701"/>
      <c r="W107" s="701"/>
      <c r="X107" s="701"/>
      <c r="Y107" s="701"/>
      <c r="Z107" s="701"/>
      <c r="AA107" s="701"/>
      <c r="AB107" s="701"/>
      <c r="AC107" s="701"/>
      <c r="AD107" s="701"/>
      <c r="AE107" s="701"/>
      <c r="AF107" s="701"/>
      <c r="AG107" s="701"/>
      <c r="AH107" s="701"/>
      <c r="AI107" s="701"/>
      <c r="AJ107" s="701"/>
      <c r="AK107" s="701"/>
      <c r="AL107" s="701"/>
      <c r="AM107" s="701"/>
      <c r="AN107" s="701"/>
      <c r="AO107" s="701"/>
      <c r="AP107" s="701"/>
      <c r="AQ107" s="701"/>
      <c r="AR107" s="701"/>
      <c r="AS107" s="701"/>
      <c r="AT107" s="701"/>
      <c r="AU107" s="701"/>
      <c r="AV107" s="701"/>
      <c r="AW107" s="701"/>
      <c r="AX107" s="701"/>
      <c r="AY107" s="701"/>
      <c r="AZ107" s="701"/>
      <c r="BA107" s="701"/>
      <c r="BB107" s="701"/>
      <c r="BC107" s="701"/>
    </row>
    <row r="108" spans="1:55" s="702" customFormat="1" ht="35.1" customHeight="1">
      <c r="A108" s="703">
        <v>105</v>
      </c>
      <c r="B108" s="704" t="s">
        <v>2189</v>
      </c>
      <c r="C108" s="705" t="s">
        <v>655</v>
      </c>
      <c r="D108" s="706">
        <v>5700</v>
      </c>
      <c r="E108" s="706">
        <v>5700</v>
      </c>
      <c r="F108" s="707" t="s">
        <v>2084</v>
      </c>
      <c r="G108" s="699"/>
      <c r="H108" s="700"/>
      <c r="I108" s="700" t="s">
        <v>2099</v>
      </c>
      <c r="J108" s="700"/>
      <c r="K108" s="700"/>
      <c r="L108" s="700"/>
      <c r="M108" s="701"/>
      <c r="N108" s="701"/>
      <c r="O108" s="701"/>
      <c r="P108" s="701"/>
      <c r="Q108" s="701"/>
      <c r="R108" s="701"/>
      <c r="S108" s="701"/>
      <c r="T108" s="701"/>
      <c r="U108" s="701"/>
      <c r="V108" s="701"/>
      <c r="W108" s="701"/>
      <c r="X108" s="701"/>
      <c r="Y108" s="701"/>
      <c r="Z108" s="701"/>
      <c r="AA108" s="701"/>
      <c r="AB108" s="701"/>
      <c r="AC108" s="701"/>
      <c r="AD108" s="701"/>
      <c r="AE108" s="701"/>
      <c r="AF108" s="701"/>
      <c r="AG108" s="701"/>
      <c r="AH108" s="701"/>
      <c r="AI108" s="701"/>
      <c r="AJ108" s="701"/>
      <c r="AK108" s="701"/>
      <c r="AL108" s="701"/>
      <c r="AM108" s="701"/>
      <c r="AN108" s="701"/>
      <c r="AO108" s="701"/>
      <c r="AP108" s="701"/>
      <c r="AQ108" s="701"/>
      <c r="AR108" s="701"/>
      <c r="AS108" s="701"/>
      <c r="AT108" s="701"/>
      <c r="AU108" s="701"/>
      <c r="AV108" s="701"/>
      <c r="AW108" s="701"/>
      <c r="AX108" s="701"/>
      <c r="AY108" s="701"/>
      <c r="AZ108" s="701"/>
      <c r="BA108" s="701"/>
      <c r="BB108" s="701"/>
      <c r="BC108" s="701"/>
    </row>
    <row r="109" spans="1:55" s="702" customFormat="1" ht="35.1" customHeight="1">
      <c r="A109" s="703">
        <v>106</v>
      </c>
      <c r="B109" s="704" t="s">
        <v>2190</v>
      </c>
      <c r="C109" s="705" t="s">
        <v>655</v>
      </c>
      <c r="D109" s="706">
        <v>86800</v>
      </c>
      <c r="E109" s="706">
        <v>86800</v>
      </c>
      <c r="F109" s="707" t="s">
        <v>2191</v>
      </c>
      <c r="G109" s="699"/>
      <c r="H109" s="700"/>
      <c r="I109" s="700" t="s">
        <v>2061</v>
      </c>
      <c r="J109" s="700"/>
      <c r="K109" s="700"/>
      <c r="L109" s="700"/>
      <c r="M109" s="701"/>
      <c r="N109" s="701"/>
      <c r="O109" s="701"/>
      <c r="P109" s="701"/>
      <c r="Q109" s="701"/>
      <c r="R109" s="701"/>
      <c r="S109" s="701"/>
      <c r="T109" s="701"/>
      <c r="U109" s="701"/>
      <c r="V109" s="701"/>
      <c r="W109" s="701"/>
      <c r="X109" s="701"/>
      <c r="Y109" s="701"/>
      <c r="Z109" s="701"/>
      <c r="AA109" s="701"/>
      <c r="AB109" s="701"/>
      <c r="AC109" s="701"/>
      <c r="AD109" s="701"/>
      <c r="AE109" s="701"/>
      <c r="AF109" s="701"/>
      <c r="AG109" s="701"/>
      <c r="AH109" s="701"/>
      <c r="AI109" s="701"/>
      <c r="AJ109" s="701"/>
      <c r="AK109" s="701"/>
      <c r="AL109" s="701"/>
      <c r="AM109" s="701"/>
      <c r="AN109" s="701"/>
      <c r="AO109" s="701"/>
      <c r="AP109" s="701"/>
      <c r="AQ109" s="701"/>
      <c r="AR109" s="701"/>
      <c r="AS109" s="701"/>
      <c r="AT109" s="701"/>
      <c r="AU109" s="701"/>
      <c r="AV109" s="701"/>
      <c r="AW109" s="701"/>
      <c r="AX109" s="701"/>
      <c r="AY109" s="701"/>
      <c r="AZ109" s="701"/>
      <c r="BA109" s="701"/>
      <c r="BB109" s="701"/>
      <c r="BC109" s="701"/>
    </row>
    <row r="110" spans="1:55" s="702" customFormat="1" ht="45">
      <c r="A110" s="703">
        <v>107</v>
      </c>
      <c r="B110" s="704" t="s">
        <v>2192</v>
      </c>
      <c r="C110" s="705" t="s">
        <v>655</v>
      </c>
      <c r="D110" s="706">
        <v>117000</v>
      </c>
      <c r="E110" s="706">
        <v>117000</v>
      </c>
      <c r="F110" s="707" t="s">
        <v>2193</v>
      </c>
      <c r="G110" s="699"/>
      <c r="H110" s="700"/>
      <c r="I110" s="700" t="s">
        <v>2061</v>
      </c>
      <c r="J110" s="700"/>
      <c r="K110" s="700"/>
      <c r="L110" s="700"/>
      <c r="M110" s="701"/>
      <c r="N110" s="701"/>
      <c r="O110" s="701"/>
      <c r="P110" s="701"/>
      <c r="Q110" s="701"/>
      <c r="R110" s="701"/>
      <c r="S110" s="701"/>
      <c r="T110" s="701"/>
      <c r="U110" s="701"/>
      <c r="V110" s="701"/>
      <c r="W110" s="701"/>
      <c r="X110" s="701"/>
      <c r="Y110" s="701"/>
      <c r="Z110" s="701"/>
      <c r="AA110" s="701"/>
      <c r="AB110" s="701"/>
      <c r="AC110" s="701"/>
      <c r="AD110" s="701"/>
      <c r="AE110" s="701"/>
      <c r="AF110" s="701"/>
      <c r="AG110" s="701"/>
      <c r="AH110" s="701"/>
      <c r="AI110" s="701"/>
      <c r="AJ110" s="701"/>
      <c r="AK110" s="701"/>
      <c r="AL110" s="701"/>
      <c r="AM110" s="701"/>
      <c r="AN110" s="701"/>
      <c r="AO110" s="701"/>
      <c r="AP110" s="701"/>
      <c r="AQ110" s="701"/>
      <c r="AR110" s="701"/>
      <c r="AS110" s="701"/>
      <c r="AT110" s="701"/>
      <c r="AU110" s="701"/>
      <c r="AV110" s="701"/>
      <c r="AW110" s="701"/>
      <c r="AX110" s="701"/>
      <c r="AY110" s="701"/>
      <c r="AZ110" s="701"/>
      <c r="BA110" s="701"/>
      <c r="BB110" s="701"/>
      <c r="BC110" s="701"/>
    </row>
    <row r="111" spans="1:55" s="702" customFormat="1" ht="45">
      <c r="A111" s="703">
        <v>108</v>
      </c>
      <c r="B111" s="704" t="s">
        <v>2194</v>
      </c>
      <c r="C111" s="705" t="s">
        <v>655</v>
      </c>
      <c r="D111" s="706">
        <v>132000</v>
      </c>
      <c r="E111" s="706">
        <v>132000</v>
      </c>
      <c r="F111" s="707" t="s">
        <v>2193</v>
      </c>
      <c r="G111" s="699"/>
      <c r="H111" s="700"/>
      <c r="I111" s="700" t="s">
        <v>2061</v>
      </c>
      <c r="J111" s="700"/>
      <c r="K111" s="700"/>
      <c r="L111" s="700"/>
      <c r="M111" s="701"/>
      <c r="N111" s="701"/>
      <c r="O111" s="701"/>
      <c r="P111" s="701"/>
      <c r="Q111" s="701"/>
      <c r="R111" s="701"/>
      <c r="S111" s="701"/>
      <c r="T111" s="701"/>
      <c r="U111" s="701"/>
      <c r="V111" s="701"/>
      <c r="W111" s="701"/>
      <c r="X111" s="701"/>
      <c r="Y111" s="701"/>
      <c r="Z111" s="701"/>
      <c r="AA111" s="701"/>
      <c r="AB111" s="701"/>
      <c r="AC111" s="701"/>
      <c r="AD111" s="701"/>
      <c r="AE111" s="701"/>
      <c r="AF111" s="701"/>
      <c r="AG111" s="701"/>
      <c r="AH111" s="701"/>
      <c r="AI111" s="701"/>
      <c r="AJ111" s="701"/>
      <c r="AK111" s="701"/>
      <c r="AL111" s="701"/>
      <c r="AM111" s="701"/>
      <c r="AN111" s="701"/>
      <c r="AO111" s="701"/>
      <c r="AP111" s="701"/>
      <c r="AQ111" s="701"/>
      <c r="AR111" s="701"/>
      <c r="AS111" s="701"/>
      <c r="AT111" s="701"/>
      <c r="AU111" s="701"/>
      <c r="AV111" s="701"/>
      <c r="AW111" s="701"/>
      <c r="AX111" s="701"/>
      <c r="AY111" s="701"/>
      <c r="AZ111" s="701"/>
      <c r="BA111" s="701"/>
      <c r="BB111" s="701"/>
      <c r="BC111" s="701"/>
    </row>
    <row r="112" spans="1:55" s="702" customFormat="1" ht="45">
      <c r="A112" s="703">
        <v>109</v>
      </c>
      <c r="B112" s="704" t="s">
        <v>2195</v>
      </c>
      <c r="C112" s="705" t="s">
        <v>655</v>
      </c>
      <c r="D112" s="706">
        <v>162000</v>
      </c>
      <c r="E112" s="706">
        <v>162000</v>
      </c>
      <c r="F112" s="707" t="s">
        <v>2193</v>
      </c>
      <c r="G112" s="699"/>
      <c r="H112" s="700"/>
      <c r="I112" s="700" t="s">
        <v>2061</v>
      </c>
      <c r="J112" s="700"/>
      <c r="K112" s="700"/>
      <c r="L112" s="700"/>
      <c r="M112" s="701"/>
      <c r="N112" s="701"/>
      <c r="O112" s="701"/>
      <c r="P112" s="701"/>
      <c r="Q112" s="701"/>
      <c r="R112" s="701"/>
      <c r="S112" s="701"/>
      <c r="T112" s="701"/>
      <c r="U112" s="701"/>
      <c r="V112" s="701"/>
      <c r="W112" s="701"/>
      <c r="X112" s="701"/>
      <c r="Y112" s="701"/>
      <c r="Z112" s="701"/>
      <c r="AA112" s="701"/>
      <c r="AB112" s="701"/>
      <c r="AC112" s="701"/>
      <c r="AD112" s="701"/>
      <c r="AE112" s="701"/>
      <c r="AF112" s="701"/>
      <c r="AG112" s="701"/>
      <c r="AH112" s="701"/>
      <c r="AI112" s="701"/>
      <c r="AJ112" s="701"/>
      <c r="AK112" s="701"/>
      <c r="AL112" s="701"/>
      <c r="AM112" s="701"/>
      <c r="AN112" s="701"/>
      <c r="AO112" s="701"/>
      <c r="AP112" s="701"/>
      <c r="AQ112" s="701"/>
      <c r="AR112" s="701"/>
      <c r="AS112" s="701"/>
      <c r="AT112" s="701"/>
      <c r="AU112" s="701"/>
      <c r="AV112" s="701"/>
      <c r="AW112" s="701"/>
      <c r="AX112" s="701"/>
      <c r="AY112" s="701"/>
      <c r="AZ112" s="701"/>
      <c r="BA112" s="701"/>
      <c r="BB112" s="701"/>
      <c r="BC112" s="701"/>
    </row>
    <row r="113" spans="1:55" s="702" customFormat="1" ht="35.1" customHeight="1">
      <c r="A113" s="703">
        <v>110</v>
      </c>
      <c r="B113" s="704" t="s">
        <v>2196</v>
      </c>
      <c r="C113" s="705" t="s">
        <v>655</v>
      </c>
      <c r="D113" s="706">
        <v>3200</v>
      </c>
      <c r="E113" s="706">
        <v>3200</v>
      </c>
      <c r="F113" s="707" t="s">
        <v>2084</v>
      </c>
      <c r="G113" s="699"/>
      <c r="H113" s="700"/>
      <c r="I113" s="700" t="s">
        <v>2061</v>
      </c>
      <c r="J113" s="700"/>
      <c r="K113" s="700"/>
      <c r="L113" s="700"/>
      <c r="M113" s="701"/>
      <c r="N113" s="701"/>
      <c r="O113" s="701"/>
      <c r="P113" s="701"/>
      <c r="Q113" s="701"/>
      <c r="R113" s="701"/>
      <c r="S113" s="701"/>
      <c r="T113" s="701"/>
      <c r="U113" s="701"/>
      <c r="V113" s="701"/>
      <c r="W113" s="701"/>
      <c r="X113" s="701"/>
      <c r="Y113" s="701"/>
      <c r="Z113" s="701"/>
      <c r="AA113" s="701"/>
      <c r="AB113" s="701"/>
      <c r="AC113" s="701"/>
      <c r="AD113" s="701"/>
      <c r="AE113" s="701"/>
      <c r="AF113" s="701"/>
      <c r="AG113" s="701"/>
      <c r="AH113" s="701"/>
      <c r="AI113" s="701"/>
      <c r="AJ113" s="701"/>
      <c r="AK113" s="701"/>
      <c r="AL113" s="701"/>
      <c r="AM113" s="701"/>
      <c r="AN113" s="701"/>
      <c r="AO113" s="701"/>
      <c r="AP113" s="701"/>
      <c r="AQ113" s="701"/>
      <c r="AR113" s="701"/>
      <c r="AS113" s="701"/>
      <c r="AT113" s="701"/>
      <c r="AU113" s="701"/>
      <c r="AV113" s="701"/>
      <c r="AW113" s="701"/>
      <c r="AX113" s="701"/>
      <c r="AY113" s="701"/>
      <c r="AZ113" s="701"/>
      <c r="BA113" s="701"/>
      <c r="BB113" s="701"/>
      <c r="BC113" s="701"/>
    </row>
    <row r="114" spans="1:55" s="702" customFormat="1" ht="45">
      <c r="A114" s="703">
        <v>111</v>
      </c>
      <c r="B114" s="704" t="s">
        <v>2197</v>
      </c>
      <c r="C114" s="705" t="s">
        <v>655</v>
      </c>
      <c r="D114" s="706">
        <v>188000</v>
      </c>
      <c r="E114" s="706">
        <v>188000</v>
      </c>
      <c r="F114" s="707" t="s">
        <v>2193</v>
      </c>
      <c r="G114" s="699"/>
      <c r="H114" s="700"/>
      <c r="I114" s="700" t="s">
        <v>2061</v>
      </c>
      <c r="J114" s="700"/>
      <c r="K114" s="700"/>
      <c r="L114" s="700"/>
      <c r="M114" s="701"/>
      <c r="N114" s="701"/>
      <c r="O114" s="701"/>
      <c r="P114" s="701"/>
      <c r="Q114" s="701"/>
      <c r="R114" s="701"/>
      <c r="S114" s="701"/>
      <c r="T114" s="701"/>
      <c r="U114" s="701"/>
      <c r="V114" s="701"/>
      <c r="W114" s="701"/>
      <c r="X114" s="701"/>
      <c r="Y114" s="701"/>
      <c r="Z114" s="701"/>
      <c r="AA114" s="701"/>
      <c r="AB114" s="701"/>
      <c r="AC114" s="701"/>
      <c r="AD114" s="701"/>
      <c r="AE114" s="701"/>
      <c r="AF114" s="701"/>
      <c r="AG114" s="701"/>
      <c r="AH114" s="701"/>
      <c r="AI114" s="701"/>
      <c r="AJ114" s="701"/>
      <c r="AK114" s="701"/>
      <c r="AL114" s="701"/>
      <c r="AM114" s="701"/>
      <c r="AN114" s="701"/>
      <c r="AO114" s="701"/>
      <c r="AP114" s="701"/>
      <c r="AQ114" s="701"/>
      <c r="AR114" s="701"/>
      <c r="AS114" s="701"/>
      <c r="AT114" s="701"/>
      <c r="AU114" s="701"/>
      <c r="AV114" s="701"/>
      <c r="AW114" s="701"/>
      <c r="AX114" s="701"/>
      <c r="AY114" s="701"/>
      <c r="AZ114" s="701"/>
      <c r="BA114" s="701"/>
      <c r="BB114" s="701"/>
      <c r="BC114" s="701"/>
    </row>
    <row r="115" spans="1:55" s="702" customFormat="1" ht="35.1" customHeight="1">
      <c r="A115" s="703">
        <v>112</v>
      </c>
      <c r="B115" s="704" t="s">
        <v>2198</v>
      </c>
      <c r="C115" s="705" t="s">
        <v>685</v>
      </c>
      <c r="D115" s="706">
        <v>12000</v>
      </c>
      <c r="E115" s="706">
        <v>12000</v>
      </c>
      <c r="F115" s="707" t="s">
        <v>2199</v>
      </c>
      <c r="G115" s="699"/>
      <c r="H115" s="700"/>
      <c r="I115" s="700" t="s">
        <v>2061</v>
      </c>
      <c r="J115" s="700"/>
      <c r="K115" s="700"/>
      <c r="L115" s="700"/>
      <c r="M115" s="701"/>
      <c r="N115" s="701"/>
      <c r="O115" s="701"/>
      <c r="P115" s="701"/>
      <c r="Q115" s="701"/>
      <c r="R115" s="701"/>
      <c r="S115" s="701"/>
      <c r="T115" s="701"/>
      <c r="U115" s="701"/>
      <c r="V115" s="701"/>
      <c r="W115" s="701"/>
      <c r="X115" s="701"/>
      <c r="Y115" s="701"/>
      <c r="Z115" s="701"/>
      <c r="AA115" s="701"/>
      <c r="AB115" s="701"/>
      <c r="AC115" s="701"/>
      <c r="AD115" s="701"/>
      <c r="AE115" s="701"/>
      <c r="AF115" s="701"/>
      <c r="AG115" s="701"/>
      <c r="AH115" s="701"/>
      <c r="AI115" s="701"/>
      <c r="AJ115" s="701"/>
      <c r="AK115" s="701"/>
      <c r="AL115" s="701"/>
      <c r="AM115" s="701"/>
      <c r="AN115" s="701"/>
      <c r="AO115" s="701"/>
      <c r="AP115" s="701"/>
      <c r="AQ115" s="701"/>
      <c r="AR115" s="701"/>
      <c r="AS115" s="701"/>
      <c r="AT115" s="701"/>
      <c r="AU115" s="701"/>
      <c r="AV115" s="701"/>
      <c r="AW115" s="701"/>
      <c r="AX115" s="701"/>
      <c r="AY115" s="701"/>
      <c r="AZ115" s="701"/>
      <c r="BA115" s="701"/>
      <c r="BB115" s="701"/>
      <c r="BC115" s="701"/>
    </row>
    <row r="116" spans="1:55" s="702" customFormat="1" ht="35.1" customHeight="1">
      <c r="A116" s="703">
        <v>113</v>
      </c>
      <c r="B116" s="704" t="s">
        <v>2200</v>
      </c>
      <c r="C116" s="705" t="s">
        <v>1730</v>
      </c>
      <c r="D116" s="706">
        <v>30000</v>
      </c>
      <c r="E116" s="706">
        <v>30000</v>
      </c>
      <c r="F116" s="707" t="s">
        <v>2201</v>
      </c>
      <c r="G116" s="699"/>
      <c r="H116" s="700"/>
      <c r="I116" s="700" t="s">
        <v>2061</v>
      </c>
      <c r="J116" s="700"/>
      <c r="K116" s="700"/>
      <c r="L116" s="700"/>
      <c r="M116" s="701"/>
      <c r="N116" s="701"/>
      <c r="O116" s="701"/>
      <c r="P116" s="701"/>
      <c r="Q116" s="701"/>
      <c r="R116" s="701"/>
      <c r="S116" s="701"/>
      <c r="T116" s="701"/>
      <c r="U116" s="701"/>
      <c r="V116" s="701"/>
      <c r="W116" s="701"/>
      <c r="X116" s="701"/>
      <c r="Y116" s="701"/>
      <c r="Z116" s="701"/>
      <c r="AA116" s="701"/>
      <c r="AB116" s="701"/>
      <c r="AC116" s="701"/>
      <c r="AD116" s="701"/>
      <c r="AE116" s="701"/>
      <c r="AF116" s="701"/>
      <c r="AG116" s="701"/>
      <c r="AH116" s="701"/>
      <c r="AI116" s="701"/>
      <c r="AJ116" s="701"/>
      <c r="AK116" s="701"/>
      <c r="AL116" s="701"/>
      <c r="AM116" s="701"/>
      <c r="AN116" s="701"/>
      <c r="AO116" s="701"/>
      <c r="AP116" s="701"/>
      <c r="AQ116" s="701"/>
      <c r="AR116" s="701"/>
      <c r="AS116" s="701"/>
      <c r="AT116" s="701"/>
      <c r="AU116" s="701"/>
      <c r="AV116" s="701"/>
      <c r="AW116" s="701"/>
      <c r="AX116" s="701"/>
      <c r="AY116" s="701"/>
      <c r="AZ116" s="701"/>
      <c r="BA116" s="701"/>
      <c r="BB116" s="701"/>
      <c r="BC116" s="701"/>
    </row>
    <row r="117" spans="1:55" s="702" customFormat="1" ht="35.1" customHeight="1">
      <c r="A117" s="703">
        <v>114</v>
      </c>
      <c r="B117" s="704" t="s">
        <v>1873</v>
      </c>
      <c r="C117" s="705" t="s">
        <v>1730</v>
      </c>
      <c r="D117" s="706">
        <v>30000</v>
      </c>
      <c r="E117" s="706">
        <v>30000</v>
      </c>
      <c r="F117" s="707" t="s">
        <v>2201</v>
      </c>
      <c r="G117" s="699"/>
      <c r="H117" s="700"/>
      <c r="I117" s="700" t="s">
        <v>2061</v>
      </c>
      <c r="J117" s="700"/>
      <c r="K117" s="700"/>
      <c r="L117" s="700"/>
      <c r="M117" s="701"/>
      <c r="N117" s="701"/>
      <c r="O117" s="701"/>
      <c r="P117" s="701"/>
      <c r="Q117" s="701"/>
      <c r="R117" s="701"/>
      <c r="S117" s="701"/>
      <c r="T117" s="701"/>
      <c r="U117" s="701"/>
      <c r="V117" s="701"/>
      <c r="W117" s="701"/>
      <c r="X117" s="701"/>
      <c r="Y117" s="701"/>
      <c r="Z117" s="701"/>
      <c r="AA117" s="701"/>
      <c r="AB117" s="701"/>
      <c r="AC117" s="701"/>
      <c r="AD117" s="701"/>
      <c r="AE117" s="701"/>
      <c r="AF117" s="701"/>
      <c r="AG117" s="701"/>
      <c r="AH117" s="701"/>
      <c r="AI117" s="701"/>
      <c r="AJ117" s="701"/>
      <c r="AK117" s="701"/>
      <c r="AL117" s="701"/>
      <c r="AM117" s="701"/>
      <c r="AN117" s="701"/>
      <c r="AO117" s="701"/>
      <c r="AP117" s="701"/>
      <c r="AQ117" s="701"/>
      <c r="AR117" s="701"/>
      <c r="AS117" s="701"/>
      <c r="AT117" s="701"/>
      <c r="AU117" s="701"/>
      <c r="AV117" s="701"/>
      <c r="AW117" s="701"/>
      <c r="AX117" s="701"/>
      <c r="AY117" s="701"/>
      <c r="AZ117" s="701"/>
      <c r="BA117" s="701"/>
      <c r="BB117" s="701"/>
      <c r="BC117" s="701"/>
    </row>
    <row r="118" spans="1:55" s="702" customFormat="1" ht="35.1" customHeight="1">
      <c r="A118" s="703">
        <v>115</v>
      </c>
      <c r="B118" s="704" t="s">
        <v>2202</v>
      </c>
      <c r="C118" s="705" t="s">
        <v>655</v>
      </c>
      <c r="D118" s="708">
        <v>43300</v>
      </c>
      <c r="E118" s="708">
        <v>43300</v>
      </c>
      <c r="F118" s="707" t="s">
        <v>2084</v>
      </c>
      <c r="G118" s="699"/>
      <c r="H118" s="700"/>
      <c r="I118" s="700" t="s">
        <v>2061</v>
      </c>
      <c r="J118" s="700"/>
      <c r="K118" s="700"/>
      <c r="L118" s="700"/>
      <c r="M118" s="701"/>
      <c r="N118" s="701"/>
      <c r="O118" s="701"/>
      <c r="P118" s="701"/>
      <c r="Q118" s="701"/>
      <c r="R118" s="701"/>
      <c r="S118" s="701"/>
      <c r="T118" s="701"/>
      <c r="U118" s="701"/>
      <c r="V118" s="701"/>
      <c r="W118" s="701"/>
      <c r="X118" s="701"/>
      <c r="Y118" s="701"/>
      <c r="Z118" s="701"/>
      <c r="AA118" s="701"/>
      <c r="AB118" s="701"/>
      <c r="AC118" s="701"/>
      <c r="AD118" s="701"/>
      <c r="AE118" s="701"/>
      <c r="AF118" s="701"/>
      <c r="AG118" s="701"/>
      <c r="AH118" s="701"/>
      <c r="AI118" s="701"/>
      <c r="AJ118" s="701"/>
      <c r="AK118" s="701"/>
      <c r="AL118" s="701"/>
      <c r="AM118" s="701"/>
      <c r="AN118" s="701"/>
      <c r="AO118" s="701"/>
      <c r="AP118" s="701"/>
      <c r="AQ118" s="701"/>
      <c r="AR118" s="701"/>
      <c r="AS118" s="701"/>
      <c r="AT118" s="701"/>
      <c r="AU118" s="701"/>
      <c r="AV118" s="701"/>
      <c r="AW118" s="701"/>
      <c r="AX118" s="701"/>
      <c r="AY118" s="701"/>
      <c r="AZ118" s="701"/>
      <c r="BA118" s="701"/>
      <c r="BB118" s="701"/>
      <c r="BC118" s="701"/>
    </row>
    <row r="119" spans="1:55" s="702" customFormat="1" ht="35.1" customHeight="1">
      <c r="A119" s="703">
        <v>116</v>
      </c>
      <c r="B119" s="704" t="s">
        <v>2203</v>
      </c>
      <c r="C119" s="705" t="s">
        <v>655</v>
      </c>
      <c r="D119" s="708">
        <v>69200</v>
      </c>
      <c r="E119" s="708">
        <v>69200</v>
      </c>
      <c r="F119" s="707" t="s">
        <v>2084</v>
      </c>
      <c r="G119" s="699"/>
      <c r="H119" s="700"/>
      <c r="I119" s="700" t="s">
        <v>2061</v>
      </c>
      <c r="J119" s="700"/>
      <c r="K119" s="700"/>
      <c r="L119" s="700"/>
      <c r="M119" s="701"/>
      <c r="N119" s="701"/>
      <c r="O119" s="701"/>
      <c r="P119" s="701"/>
      <c r="Q119" s="701"/>
      <c r="R119" s="701"/>
      <c r="S119" s="701"/>
      <c r="T119" s="701"/>
      <c r="U119" s="701"/>
      <c r="V119" s="701"/>
      <c r="W119" s="701"/>
      <c r="X119" s="701"/>
      <c r="Y119" s="701"/>
      <c r="Z119" s="701"/>
      <c r="AA119" s="701"/>
      <c r="AB119" s="701"/>
      <c r="AC119" s="701"/>
      <c r="AD119" s="701"/>
      <c r="AE119" s="701"/>
      <c r="AF119" s="701"/>
      <c r="AG119" s="701"/>
      <c r="AH119" s="701"/>
      <c r="AI119" s="701"/>
      <c r="AJ119" s="701"/>
      <c r="AK119" s="701"/>
      <c r="AL119" s="701"/>
      <c r="AM119" s="701"/>
      <c r="AN119" s="701"/>
      <c r="AO119" s="701"/>
      <c r="AP119" s="701"/>
      <c r="AQ119" s="701"/>
      <c r="AR119" s="701"/>
      <c r="AS119" s="701"/>
      <c r="AT119" s="701"/>
      <c r="AU119" s="701"/>
      <c r="AV119" s="701"/>
      <c r="AW119" s="701"/>
      <c r="AX119" s="701"/>
      <c r="AY119" s="701"/>
      <c r="AZ119" s="701"/>
      <c r="BA119" s="701"/>
      <c r="BB119" s="701"/>
      <c r="BC119" s="701"/>
    </row>
    <row r="120" spans="1:55" s="702" customFormat="1" ht="35.1" customHeight="1">
      <c r="A120" s="703">
        <v>117</v>
      </c>
      <c r="B120" s="704" t="s">
        <v>1729</v>
      </c>
      <c r="C120" s="705" t="s">
        <v>1730</v>
      </c>
      <c r="D120" s="706">
        <v>18065</v>
      </c>
      <c r="E120" s="706">
        <v>18065</v>
      </c>
      <c r="F120" s="707"/>
      <c r="G120" s="715"/>
      <c r="H120" s="700"/>
      <c r="I120" s="716" t="s">
        <v>2204</v>
      </c>
      <c r="J120" s="700"/>
      <c r="K120" s="700"/>
      <c r="L120" s="700"/>
      <c r="M120" s="701"/>
      <c r="N120" s="701"/>
      <c r="O120" s="701"/>
      <c r="P120" s="701"/>
      <c r="Q120" s="701"/>
      <c r="R120" s="701"/>
      <c r="S120" s="701"/>
      <c r="T120" s="701"/>
      <c r="U120" s="701"/>
      <c r="V120" s="701"/>
      <c r="W120" s="701"/>
      <c r="X120" s="701"/>
      <c r="Y120" s="701"/>
      <c r="Z120" s="701"/>
      <c r="AA120" s="701"/>
      <c r="AB120" s="701"/>
      <c r="AC120" s="701"/>
      <c r="AD120" s="701"/>
      <c r="AE120" s="701"/>
      <c r="AF120" s="701"/>
      <c r="AG120" s="701"/>
      <c r="AH120" s="701"/>
      <c r="AI120" s="701"/>
      <c r="AJ120" s="701"/>
      <c r="AK120" s="701"/>
      <c r="AL120" s="701"/>
      <c r="AM120" s="701"/>
      <c r="AN120" s="701"/>
      <c r="AO120" s="701"/>
      <c r="AP120" s="701"/>
      <c r="AQ120" s="701"/>
      <c r="AR120" s="701"/>
      <c r="AS120" s="701"/>
      <c r="AT120" s="701"/>
      <c r="AU120" s="701"/>
      <c r="AV120" s="701"/>
      <c r="AW120" s="701"/>
      <c r="AX120" s="701"/>
      <c r="AY120" s="701"/>
      <c r="AZ120" s="701"/>
      <c r="BA120" s="701"/>
      <c r="BB120" s="701"/>
      <c r="BC120" s="701"/>
    </row>
    <row r="121" spans="1:55" s="702" customFormat="1" ht="35.1" customHeight="1">
      <c r="A121" s="703">
        <v>118</v>
      </c>
      <c r="B121" s="704" t="s">
        <v>2205</v>
      </c>
      <c r="C121" s="705" t="s">
        <v>677</v>
      </c>
      <c r="D121" s="706">
        <v>1650000</v>
      </c>
      <c r="E121" s="706">
        <v>1650000</v>
      </c>
      <c r="F121" s="707" t="s">
        <v>2206</v>
      </c>
      <c r="G121" s="699"/>
      <c r="H121" s="700"/>
      <c r="I121" s="700" t="s">
        <v>2061</v>
      </c>
      <c r="J121" s="700"/>
      <c r="K121" s="700"/>
      <c r="L121" s="700"/>
      <c r="M121" s="701"/>
      <c r="N121" s="701"/>
      <c r="O121" s="701"/>
      <c r="P121" s="701"/>
      <c r="Q121" s="701"/>
      <c r="R121" s="701"/>
      <c r="S121" s="701"/>
      <c r="T121" s="701"/>
      <c r="U121" s="701"/>
      <c r="V121" s="701"/>
      <c r="W121" s="701"/>
      <c r="X121" s="701"/>
      <c r="Y121" s="701"/>
      <c r="Z121" s="701"/>
      <c r="AA121" s="701"/>
      <c r="AB121" s="701"/>
      <c r="AC121" s="701"/>
      <c r="AD121" s="701"/>
      <c r="AE121" s="701"/>
      <c r="AF121" s="701"/>
      <c r="AG121" s="701"/>
      <c r="AH121" s="701"/>
      <c r="AI121" s="701"/>
      <c r="AJ121" s="701"/>
      <c r="AK121" s="701"/>
      <c r="AL121" s="701"/>
      <c r="AM121" s="701"/>
      <c r="AN121" s="701"/>
      <c r="AO121" s="701"/>
      <c r="AP121" s="701"/>
      <c r="AQ121" s="701"/>
      <c r="AR121" s="701"/>
      <c r="AS121" s="701"/>
      <c r="AT121" s="701"/>
      <c r="AU121" s="701"/>
      <c r="AV121" s="701"/>
      <c r="AW121" s="701"/>
      <c r="AX121" s="701"/>
      <c r="AY121" s="701"/>
      <c r="AZ121" s="701"/>
      <c r="BA121" s="701"/>
      <c r="BB121" s="701"/>
      <c r="BC121" s="701"/>
    </row>
    <row r="122" spans="1:55" s="702" customFormat="1" ht="35.1" customHeight="1">
      <c r="A122" s="703">
        <v>119</v>
      </c>
      <c r="B122" s="704" t="s">
        <v>2207</v>
      </c>
      <c r="C122" s="705" t="s">
        <v>677</v>
      </c>
      <c r="D122" s="706">
        <v>1850000</v>
      </c>
      <c r="E122" s="706">
        <v>1850000</v>
      </c>
      <c r="F122" s="707" t="s">
        <v>2206</v>
      </c>
      <c r="G122" s="699"/>
      <c r="H122" s="700"/>
      <c r="I122" s="700" t="s">
        <v>2061</v>
      </c>
      <c r="J122" s="700"/>
      <c r="K122" s="700"/>
      <c r="L122" s="700"/>
      <c r="M122" s="701"/>
      <c r="N122" s="701"/>
      <c r="O122" s="701"/>
      <c r="P122" s="701"/>
      <c r="Q122" s="701"/>
      <c r="R122" s="701"/>
      <c r="S122" s="701"/>
      <c r="T122" s="701"/>
      <c r="U122" s="701"/>
      <c r="V122" s="701"/>
      <c r="W122" s="701"/>
      <c r="X122" s="701"/>
      <c r="Y122" s="701"/>
      <c r="Z122" s="701"/>
      <c r="AA122" s="701"/>
      <c r="AB122" s="701"/>
      <c r="AC122" s="701"/>
      <c r="AD122" s="701"/>
      <c r="AE122" s="701"/>
      <c r="AF122" s="701"/>
      <c r="AG122" s="701"/>
      <c r="AH122" s="701"/>
      <c r="AI122" s="701"/>
      <c r="AJ122" s="701"/>
      <c r="AK122" s="701"/>
      <c r="AL122" s="701"/>
      <c r="AM122" s="701"/>
      <c r="AN122" s="701"/>
      <c r="AO122" s="701"/>
      <c r="AP122" s="701"/>
      <c r="AQ122" s="701"/>
      <c r="AR122" s="701"/>
      <c r="AS122" s="701"/>
      <c r="AT122" s="701"/>
      <c r="AU122" s="701"/>
      <c r="AV122" s="701"/>
      <c r="AW122" s="701"/>
      <c r="AX122" s="701"/>
      <c r="AY122" s="701"/>
      <c r="AZ122" s="701"/>
      <c r="BA122" s="701"/>
      <c r="BB122" s="701"/>
      <c r="BC122" s="701"/>
    </row>
    <row r="123" spans="1:55" s="702" customFormat="1" ht="35.1" customHeight="1">
      <c r="A123" s="703">
        <v>120</v>
      </c>
      <c r="B123" s="704" t="s">
        <v>2208</v>
      </c>
      <c r="C123" s="705" t="s">
        <v>624</v>
      </c>
      <c r="D123" s="706">
        <v>9500000</v>
      </c>
      <c r="E123" s="706">
        <v>9500000</v>
      </c>
      <c r="F123" s="707" t="s">
        <v>2206</v>
      </c>
      <c r="G123" s="699"/>
      <c r="H123" s="700"/>
      <c r="I123" s="700" t="s">
        <v>2061</v>
      </c>
      <c r="J123" s="700"/>
      <c r="K123" s="700"/>
      <c r="L123" s="700"/>
      <c r="M123" s="701"/>
      <c r="N123" s="701"/>
      <c r="O123" s="701"/>
      <c r="P123" s="701"/>
      <c r="Q123" s="701"/>
      <c r="R123" s="701"/>
      <c r="S123" s="701"/>
      <c r="T123" s="701"/>
      <c r="U123" s="701"/>
      <c r="V123" s="701"/>
      <c r="W123" s="701"/>
      <c r="X123" s="701"/>
      <c r="Y123" s="701"/>
      <c r="Z123" s="701"/>
      <c r="AA123" s="701"/>
      <c r="AB123" s="701"/>
      <c r="AC123" s="701"/>
      <c r="AD123" s="701"/>
      <c r="AE123" s="701"/>
      <c r="AF123" s="701"/>
      <c r="AG123" s="701"/>
      <c r="AH123" s="701"/>
      <c r="AI123" s="701"/>
      <c r="AJ123" s="701"/>
      <c r="AK123" s="701"/>
      <c r="AL123" s="701"/>
      <c r="AM123" s="701"/>
      <c r="AN123" s="701"/>
      <c r="AO123" s="701"/>
      <c r="AP123" s="701"/>
      <c r="AQ123" s="701"/>
      <c r="AR123" s="701"/>
      <c r="AS123" s="701"/>
      <c r="AT123" s="701"/>
      <c r="AU123" s="701"/>
      <c r="AV123" s="701"/>
      <c r="AW123" s="701"/>
      <c r="AX123" s="701"/>
      <c r="AY123" s="701"/>
      <c r="AZ123" s="701"/>
      <c r="BA123" s="701"/>
      <c r="BB123" s="701"/>
      <c r="BC123" s="701"/>
    </row>
    <row r="124" spans="1:55" s="702" customFormat="1" ht="35.1" customHeight="1">
      <c r="A124" s="703">
        <v>121</v>
      </c>
      <c r="B124" s="704" t="s">
        <v>2209</v>
      </c>
      <c r="C124" s="705" t="s">
        <v>677</v>
      </c>
      <c r="D124" s="706">
        <v>2250000</v>
      </c>
      <c r="E124" s="709">
        <v>2500000</v>
      </c>
      <c r="F124" s="707" t="s">
        <v>2210</v>
      </c>
      <c r="G124" s="699"/>
      <c r="H124" s="700"/>
      <c r="I124" s="700" t="s">
        <v>2061</v>
      </c>
      <c r="J124" s="700"/>
      <c r="K124" s="700"/>
      <c r="L124" s="700"/>
      <c r="M124" s="701"/>
      <c r="N124" s="701"/>
      <c r="O124" s="701"/>
      <c r="P124" s="701"/>
      <c r="Q124" s="701"/>
      <c r="R124" s="701"/>
      <c r="S124" s="701"/>
      <c r="T124" s="701"/>
      <c r="U124" s="701"/>
      <c r="V124" s="701"/>
      <c r="W124" s="701"/>
      <c r="X124" s="701"/>
      <c r="Y124" s="701"/>
      <c r="Z124" s="701"/>
      <c r="AA124" s="701"/>
      <c r="AB124" s="701"/>
      <c r="AC124" s="701"/>
      <c r="AD124" s="701"/>
      <c r="AE124" s="701"/>
      <c r="AF124" s="701"/>
      <c r="AG124" s="701"/>
      <c r="AH124" s="701"/>
      <c r="AI124" s="701"/>
      <c r="AJ124" s="701"/>
      <c r="AK124" s="701"/>
      <c r="AL124" s="701"/>
      <c r="AM124" s="701"/>
      <c r="AN124" s="701"/>
      <c r="AO124" s="701"/>
      <c r="AP124" s="701"/>
      <c r="AQ124" s="701"/>
      <c r="AR124" s="701"/>
      <c r="AS124" s="701"/>
      <c r="AT124" s="701"/>
      <c r="AU124" s="701"/>
      <c r="AV124" s="701"/>
      <c r="AW124" s="701"/>
      <c r="AX124" s="701"/>
      <c r="AY124" s="701"/>
      <c r="AZ124" s="701"/>
      <c r="BA124" s="701"/>
      <c r="BB124" s="701"/>
      <c r="BC124" s="701"/>
    </row>
    <row r="125" spans="1:55" s="702" customFormat="1" ht="35.1" customHeight="1">
      <c r="A125" s="703">
        <v>122</v>
      </c>
      <c r="B125" s="704" t="s">
        <v>2211</v>
      </c>
      <c r="C125" s="705" t="s">
        <v>677</v>
      </c>
      <c r="D125" s="706">
        <v>2350000</v>
      </c>
      <c r="E125" s="709">
        <v>2500000</v>
      </c>
      <c r="F125" s="707" t="s">
        <v>2210</v>
      </c>
      <c r="G125" s="699"/>
      <c r="H125" s="700"/>
      <c r="I125" s="700" t="s">
        <v>2061</v>
      </c>
      <c r="J125" s="700"/>
      <c r="K125" s="700"/>
      <c r="L125" s="700"/>
      <c r="M125" s="701"/>
      <c r="N125" s="701"/>
      <c r="O125" s="701"/>
      <c r="P125" s="701"/>
      <c r="Q125" s="701"/>
      <c r="R125" s="701"/>
      <c r="S125" s="701"/>
      <c r="T125" s="701"/>
      <c r="U125" s="701"/>
      <c r="V125" s="701"/>
      <c r="W125" s="701"/>
      <c r="X125" s="701"/>
      <c r="Y125" s="701"/>
      <c r="Z125" s="701"/>
      <c r="AA125" s="701"/>
      <c r="AB125" s="701"/>
      <c r="AC125" s="701"/>
      <c r="AD125" s="701"/>
      <c r="AE125" s="701"/>
      <c r="AF125" s="701"/>
      <c r="AG125" s="701"/>
      <c r="AH125" s="701"/>
      <c r="AI125" s="701"/>
      <c r="AJ125" s="701"/>
      <c r="AK125" s="701"/>
      <c r="AL125" s="701"/>
      <c r="AM125" s="701"/>
      <c r="AN125" s="701"/>
      <c r="AO125" s="701"/>
      <c r="AP125" s="701"/>
      <c r="AQ125" s="701"/>
      <c r="AR125" s="701"/>
      <c r="AS125" s="701"/>
      <c r="AT125" s="701"/>
      <c r="AU125" s="701"/>
      <c r="AV125" s="701"/>
      <c r="AW125" s="701"/>
      <c r="AX125" s="701"/>
      <c r="AY125" s="701"/>
      <c r="AZ125" s="701"/>
      <c r="BA125" s="701"/>
      <c r="BB125" s="701"/>
      <c r="BC125" s="701"/>
    </row>
    <row r="126" spans="1:55" s="702" customFormat="1" ht="35.1" customHeight="1">
      <c r="A126" s="703">
        <v>123</v>
      </c>
      <c r="B126" s="704" t="s">
        <v>2212</v>
      </c>
      <c r="C126" s="705" t="s">
        <v>677</v>
      </c>
      <c r="D126" s="706">
        <v>2100000</v>
      </c>
      <c r="E126" s="709">
        <v>2500000</v>
      </c>
      <c r="F126" s="707" t="s">
        <v>2210</v>
      </c>
      <c r="G126" s="699"/>
      <c r="H126" s="700"/>
      <c r="I126" s="700" t="s">
        <v>2061</v>
      </c>
      <c r="J126" s="700"/>
      <c r="K126" s="700"/>
      <c r="L126" s="700"/>
      <c r="M126" s="701"/>
      <c r="N126" s="701"/>
      <c r="O126" s="701"/>
      <c r="P126" s="701"/>
      <c r="Q126" s="701"/>
      <c r="R126" s="701"/>
      <c r="S126" s="701"/>
      <c r="T126" s="701"/>
      <c r="U126" s="701"/>
      <c r="V126" s="701"/>
      <c r="W126" s="701"/>
      <c r="X126" s="701"/>
      <c r="Y126" s="701"/>
      <c r="Z126" s="701"/>
      <c r="AA126" s="701"/>
      <c r="AB126" s="701"/>
      <c r="AC126" s="701"/>
      <c r="AD126" s="701"/>
      <c r="AE126" s="701"/>
      <c r="AF126" s="701"/>
      <c r="AG126" s="701"/>
      <c r="AH126" s="701"/>
      <c r="AI126" s="701"/>
      <c r="AJ126" s="701"/>
      <c r="AK126" s="701"/>
      <c r="AL126" s="701"/>
      <c r="AM126" s="701"/>
      <c r="AN126" s="701"/>
      <c r="AO126" s="701"/>
      <c r="AP126" s="701"/>
      <c r="AQ126" s="701"/>
      <c r="AR126" s="701"/>
      <c r="AS126" s="701"/>
      <c r="AT126" s="701"/>
      <c r="AU126" s="701"/>
      <c r="AV126" s="701"/>
      <c r="AW126" s="701"/>
      <c r="AX126" s="701"/>
      <c r="AY126" s="701"/>
      <c r="AZ126" s="701"/>
      <c r="BA126" s="701"/>
      <c r="BB126" s="701"/>
      <c r="BC126" s="701"/>
    </row>
    <row r="127" spans="1:55" s="702" customFormat="1" ht="35.1" customHeight="1">
      <c r="A127" s="703">
        <v>124</v>
      </c>
      <c r="B127" s="704" t="s">
        <v>2213</v>
      </c>
      <c r="C127" s="705" t="s">
        <v>677</v>
      </c>
      <c r="D127" s="706">
        <v>2200000</v>
      </c>
      <c r="E127" s="709">
        <v>2500000</v>
      </c>
      <c r="F127" s="707" t="s">
        <v>2210</v>
      </c>
      <c r="G127" s="699"/>
      <c r="H127" s="700"/>
      <c r="I127" s="700" t="s">
        <v>2061</v>
      </c>
      <c r="J127" s="700"/>
      <c r="K127" s="700"/>
      <c r="L127" s="700"/>
      <c r="M127" s="701"/>
      <c r="N127" s="701"/>
      <c r="O127" s="701"/>
      <c r="P127" s="701"/>
      <c r="Q127" s="701"/>
      <c r="R127" s="701"/>
      <c r="S127" s="701"/>
      <c r="T127" s="701"/>
      <c r="U127" s="701"/>
      <c r="V127" s="701"/>
      <c r="W127" s="701"/>
      <c r="X127" s="701"/>
      <c r="Y127" s="701"/>
      <c r="Z127" s="701"/>
      <c r="AA127" s="701"/>
      <c r="AB127" s="701"/>
      <c r="AC127" s="701"/>
      <c r="AD127" s="701"/>
      <c r="AE127" s="701"/>
      <c r="AF127" s="701"/>
      <c r="AG127" s="701"/>
      <c r="AH127" s="701"/>
      <c r="AI127" s="701"/>
      <c r="AJ127" s="701"/>
      <c r="AK127" s="701"/>
      <c r="AL127" s="701"/>
      <c r="AM127" s="701"/>
      <c r="AN127" s="701"/>
      <c r="AO127" s="701"/>
      <c r="AP127" s="701"/>
      <c r="AQ127" s="701"/>
      <c r="AR127" s="701"/>
      <c r="AS127" s="701"/>
      <c r="AT127" s="701"/>
      <c r="AU127" s="701"/>
      <c r="AV127" s="701"/>
      <c r="AW127" s="701"/>
      <c r="AX127" s="701"/>
      <c r="AY127" s="701"/>
      <c r="AZ127" s="701"/>
      <c r="BA127" s="701"/>
      <c r="BB127" s="701"/>
      <c r="BC127" s="701"/>
    </row>
    <row r="128" spans="1:55" s="702" customFormat="1" ht="35.1" customHeight="1">
      <c r="A128" s="703">
        <v>125</v>
      </c>
      <c r="B128" s="704" t="s">
        <v>2214</v>
      </c>
      <c r="C128" s="705" t="s">
        <v>677</v>
      </c>
      <c r="D128" s="706">
        <v>1850000</v>
      </c>
      <c r="E128" s="709">
        <v>2500000</v>
      </c>
      <c r="F128" s="707" t="s">
        <v>2210</v>
      </c>
      <c r="G128" s="699"/>
      <c r="H128" s="700"/>
      <c r="I128" s="700" t="s">
        <v>2061</v>
      </c>
      <c r="J128" s="700"/>
      <c r="K128" s="700"/>
      <c r="L128" s="700"/>
      <c r="M128" s="701"/>
      <c r="N128" s="701"/>
      <c r="O128" s="701"/>
      <c r="P128" s="701"/>
      <c r="Q128" s="701"/>
      <c r="R128" s="701"/>
      <c r="S128" s="701"/>
      <c r="T128" s="701"/>
      <c r="U128" s="701"/>
      <c r="V128" s="701"/>
      <c r="W128" s="701"/>
      <c r="X128" s="701"/>
      <c r="Y128" s="701"/>
      <c r="Z128" s="701"/>
      <c r="AA128" s="701"/>
      <c r="AB128" s="701"/>
      <c r="AC128" s="701"/>
      <c r="AD128" s="701"/>
      <c r="AE128" s="701"/>
      <c r="AF128" s="701"/>
      <c r="AG128" s="701"/>
      <c r="AH128" s="701"/>
      <c r="AI128" s="701"/>
      <c r="AJ128" s="701"/>
      <c r="AK128" s="701"/>
      <c r="AL128" s="701"/>
      <c r="AM128" s="701"/>
      <c r="AN128" s="701"/>
      <c r="AO128" s="701"/>
      <c r="AP128" s="701"/>
      <c r="AQ128" s="701"/>
      <c r="AR128" s="701"/>
      <c r="AS128" s="701"/>
      <c r="AT128" s="701"/>
      <c r="AU128" s="701"/>
      <c r="AV128" s="701"/>
      <c r="AW128" s="701"/>
      <c r="AX128" s="701"/>
      <c r="AY128" s="701"/>
      <c r="AZ128" s="701"/>
      <c r="BA128" s="701"/>
      <c r="BB128" s="701"/>
      <c r="BC128" s="701"/>
    </row>
    <row r="129" spans="1:55" s="702" customFormat="1" ht="35.1" customHeight="1">
      <c r="A129" s="703">
        <v>126</v>
      </c>
      <c r="B129" s="704" t="s">
        <v>2215</v>
      </c>
      <c r="C129" s="705" t="s">
        <v>677</v>
      </c>
      <c r="D129" s="708">
        <v>3150000</v>
      </c>
      <c r="E129" s="709">
        <v>3280000</v>
      </c>
      <c r="F129" s="707" t="s">
        <v>2216</v>
      </c>
      <c r="G129" s="699"/>
      <c r="H129" s="700"/>
      <c r="I129" s="700" t="s">
        <v>2061</v>
      </c>
      <c r="J129" s="700"/>
      <c r="K129" s="700"/>
      <c r="L129" s="700"/>
      <c r="M129" s="701"/>
      <c r="N129" s="701"/>
      <c r="O129" s="701"/>
      <c r="P129" s="701"/>
      <c r="Q129" s="701"/>
      <c r="R129" s="701"/>
      <c r="S129" s="701"/>
      <c r="T129" s="701"/>
      <c r="U129" s="701"/>
      <c r="V129" s="701"/>
      <c r="W129" s="701"/>
      <c r="X129" s="701"/>
      <c r="Y129" s="701"/>
      <c r="Z129" s="701"/>
      <c r="AA129" s="701"/>
      <c r="AB129" s="701"/>
      <c r="AC129" s="701"/>
      <c r="AD129" s="701"/>
      <c r="AE129" s="701"/>
      <c r="AF129" s="701"/>
      <c r="AG129" s="701"/>
      <c r="AH129" s="701"/>
      <c r="AI129" s="701"/>
      <c r="AJ129" s="701"/>
      <c r="AK129" s="701"/>
      <c r="AL129" s="701"/>
      <c r="AM129" s="701"/>
      <c r="AN129" s="701"/>
      <c r="AO129" s="701"/>
      <c r="AP129" s="701"/>
      <c r="AQ129" s="701"/>
      <c r="AR129" s="701"/>
      <c r="AS129" s="701"/>
      <c r="AT129" s="701"/>
      <c r="AU129" s="701"/>
      <c r="AV129" s="701"/>
      <c r="AW129" s="701"/>
      <c r="AX129" s="701"/>
      <c r="AY129" s="701"/>
      <c r="AZ129" s="701"/>
      <c r="BA129" s="701"/>
      <c r="BB129" s="701"/>
      <c r="BC129" s="701"/>
    </row>
    <row r="130" spans="1:55" s="702" customFormat="1" ht="45">
      <c r="A130" s="703">
        <v>127</v>
      </c>
      <c r="B130" s="704" t="s">
        <v>2217</v>
      </c>
      <c r="C130" s="705" t="s">
        <v>677</v>
      </c>
      <c r="D130" s="708">
        <v>3250000</v>
      </c>
      <c r="E130" s="709">
        <v>3350000</v>
      </c>
      <c r="F130" s="707" t="s">
        <v>2216</v>
      </c>
      <c r="G130" s="699"/>
      <c r="H130" s="700"/>
      <c r="I130" s="700" t="s">
        <v>2061</v>
      </c>
      <c r="J130" s="700"/>
      <c r="K130" s="700"/>
      <c r="L130" s="700"/>
      <c r="M130" s="701"/>
      <c r="N130" s="701"/>
      <c r="O130" s="701"/>
      <c r="P130" s="701"/>
      <c r="Q130" s="701"/>
      <c r="R130" s="701"/>
      <c r="S130" s="701"/>
      <c r="T130" s="701"/>
      <c r="U130" s="701"/>
      <c r="V130" s="701"/>
      <c r="W130" s="701"/>
      <c r="X130" s="701"/>
      <c r="Y130" s="701"/>
      <c r="Z130" s="701"/>
      <c r="AA130" s="701"/>
      <c r="AB130" s="701"/>
      <c r="AC130" s="701"/>
      <c r="AD130" s="701"/>
      <c r="AE130" s="701"/>
      <c r="AF130" s="701"/>
      <c r="AG130" s="701"/>
      <c r="AH130" s="701"/>
      <c r="AI130" s="701"/>
      <c r="AJ130" s="701"/>
      <c r="AK130" s="701"/>
      <c r="AL130" s="701"/>
      <c r="AM130" s="701"/>
      <c r="AN130" s="701"/>
      <c r="AO130" s="701"/>
      <c r="AP130" s="701"/>
      <c r="AQ130" s="701"/>
      <c r="AR130" s="701"/>
      <c r="AS130" s="701"/>
      <c r="AT130" s="701"/>
      <c r="AU130" s="701"/>
      <c r="AV130" s="701"/>
      <c r="AW130" s="701"/>
      <c r="AX130" s="701"/>
      <c r="AY130" s="701"/>
      <c r="AZ130" s="701"/>
      <c r="BA130" s="701"/>
      <c r="BB130" s="701"/>
      <c r="BC130" s="701"/>
    </row>
    <row r="131" spans="1:55" s="702" customFormat="1" ht="35.1" customHeight="1">
      <c r="A131" s="703">
        <v>128</v>
      </c>
      <c r="B131" s="704" t="s">
        <v>2218</v>
      </c>
      <c r="C131" s="705" t="s">
        <v>677</v>
      </c>
      <c r="D131" s="706">
        <v>3100000</v>
      </c>
      <c r="E131" s="709">
        <v>3200000</v>
      </c>
      <c r="F131" s="707" t="s">
        <v>2216</v>
      </c>
      <c r="G131" s="699"/>
      <c r="H131" s="700"/>
      <c r="I131" s="700" t="s">
        <v>2061</v>
      </c>
      <c r="J131" s="700"/>
      <c r="K131" s="700"/>
      <c r="L131" s="700"/>
      <c r="M131" s="701"/>
      <c r="N131" s="701"/>
      <c r="O131" s="701"/>
      <c r="P131" s="701"/>
      <c r="Q131" s="701"/>
      <c r="R131" s="701"/>
      <c r="S131" s="701"/>
      <c r="T131" s="701"/>
      <c r="U131" s="701"/>
      <c r="V131" s="701"/>
      <c r="W131" s="701"/>
      <c r="X131" s="701"/>
      <c r="Y131" s="701"/>
      <c r="Z131" s="701"/>
      <c r="AA131" s="701"/>
      <c r="AB131" s="701"/>
      <c r="AC131" s="701"/>
      <c r="AD131" s="701"/>
      <c r="AE131" s="701"/>
      <c r="AF131" s="701"/>
      <c r="AG131" s="701"/>
      <c r="AH131" s="701"/>
      <c r="AI131" s="701"/>
      <c r="AJ131" s="701"/>
      <c r="AK131" s="701"/>
      <c r="AL131" s="701"/>
      <c r="AM131" s="701"/>
      <c r="AN131" s="701"/>
      <c r="AO131" s="701"/>
      <c r="AP131" s="701"/>
      <c r="AQ131" s="701"/>
      <c r="AR131" s="701"/>
      <c r="AS131" s="701"/>
      <c r="AT131" s="701"/>
      <c r="AU131" s="701"/>
      <c r="AV131" s="701"/>
      <c r="AW131" s="701"/>
      <c r="AX131" s="701"/>
      <c r="AY131" s="701"/>
      <c r="AZ131" s="701"/>
      <c r="BA131" s="701"/>
      <c r="BB131" s="701"/>
      <c r="BC131" s="701"/>
    </row>
    <row r="132" spans="1:55" s="702" customFormat="1" ht="45">
      <c r="A132" s="703">
        <v>129</v>
      </c>
      <c r="B132" s="704" t="s">
        <v>2219</v>
      </c>
      <c r="C132" s="705" t="s">
        <v>677</v>
      </c>
      <c r="D132" s="708">
        <v>2680000</v>
      </c>
      <c r="E132" s="709">
        <v>2780000</v>
      </c>
      <c r="F132" s="707" t="s">
        <v>2216</v>
      </c>
      <c r="G132" s="699"/>
      <c r="H132" s="700"/>
      <c r="I132" s="700" t="s">
        <v>2061</v>
      </c>
      <c r="J132" s="700"/>
      <c r="K132" s="700"/>
      <c r="L132" s="700"/>
      <c r="M132" s="701"/>
      <c r="N132" s="701"/>
      <c r="O132" s="701"/>
      <c r="P132" s="701"/>
      <c r="Q132" s="701"/>
      <c r="R132" s="701"/>
      <c r="S132" s="701"/>
      <c r="T132" s="701"/>
      <c r="U132" s="701"/>
      <c r="V132" s="701"/>
      <c r="W132" s="701"/>
      <c r="X132" s="701"/>
      <c r="Y132" s="701"/>
      <c r="Z132" s="701"/>
      <c r="AA132" s="701"/>
      <c r="AB132" s="701"/>
      <c r="AC132" s="701"/>
      <c r="AD132" s="701"/>
      <c r="AE132" s="701"/>
      <c r="AF132" s="701"/>
      <c r="AG132" s="701"/>
      <c r="AH132" s="701"/>
      <c r="AI132" s="701"/>
      <c r="AJ132" s="701"/>
      <c r="AK132" s="701"/>
      <c r="AL132" s="701"/>
      <c r="AM132" s="701"/>
      <c r="AN132" s="701"/>
      <c r="AO132" s="701"/>
      <c r="AP132" s="701"/>
      <c r="AQ132" s="701"/>
      <c r="AR132" s="701"/>
      <c r="AS132" s="701"/>
      <c r="AT132" s="701"/>
      <c r="AU132" s="701"/>
      <c r="AV132" s="701"/>
      <c r="AW132" s="701"/>
      <c r="AX132" s="701"/>
      <c r="AY132" s="701"/>
      <c r="AZ132" s="701"/>
      <c r="BA132" s="701"/>
      <c r="BB132" s="701"/>
      <c r="BC132" s="701"/>
    </row>
    <row r="133" spans="1:55" s="702" customFormat="1" ht="35.1" customHeight="1">
      <c r="A133" s="703">
        <v>130</v>
      </c>
      <c r="B133" s="704" t="s">
        <v>2220</v>
      </c>
      <c r="C133" s="705" t="s">
        <v>677</v>
      </c>
      <c r="D133" s="708">
        <v>2550000</v>
      </c>
      <c r="E133" s="709">
        <v>2650000</v>
      </c>
      <c r="F133" s="707" t="s">
        <v>2216</v>
      </c>
      <c r="G133" s="699"/>
      <c r="H133" s="700"/>
      <c r="I133" s="700" t="s">
        <v>2061</v>
      </c>
      <c r="J133" s="700"/>
      <c r="K133" s="700"/>
      <c r="L133" s="700"/>
      <c r="M133" s="701"/>
      <c r="N133" s="701"/>
      <c r="O133" s="701"/>
      <c r="P133" s="701"/>
      <c r="Q133" s="701"/>
      <c r="R133" s="701"/>
      <c r="S133" s="701"/>
      <c r="T133" s="701"/>
      <c r="U133" s="701"/>
      <c r="V133" s="701"/>
      <c r="W133" s="701"/>
      <c r="X133" s="701"/>
      <c r="Y133" s="701"/>
      <c r="Z133" s="701"/>
      <c r="AA133" s="701"/>
      <c r="AB133" s="701"/>
      <c r="AC133" s="701"/>
      <c r="AD133" s="701"/>
      <c r="AE133" s="701"/>
      <c r="AF133" s="701"/>
      <c r="AG133" s="701"/>
      <c r="AH133" s="701"/>
      <c r="AI133" s="701"/>
      <c r="AJ133" s="701"/>
      <c r="AK133" s="701"/>
      <c r="AL133" s="701"/>
      <c r="AM133" s="701"/>
      <c r="AN133" s="701"/>
      <c r="AO133" s="701"/>
      <c r="AP133" s="701"/>
      <c r="AQ133" s="701"/>
      <c r="AR133" s="701"/>
      <c r="AS133" s="701"/>
      <c r="AT133" s="701"/>
      <c r="AU133" s="701"/>
      <c r="AV133" s="701"/>
      <c r="AW133" s="701"/>
      <c r="AX133" s="701"/>
      <c r="AY133" s="701"/>
      <c r="AZ133" s="701"/>
      <c r="BA133" s="701"/>
      <c r="BB133" s="701"/>
      <c r="BC133" s="701"/>
    </row>
    <row r="134" spans="1:55" s="702" customFormat="1" ht="35.1" customHeight="1">
      <c r="A134" s="703">
        <v>131</v>
      </c>
      <c r="B134" s="704" t="s">
        <v>2221</v>
      </c>
      <c r="C134" s="705" t="s">
        <v>677</v>
      </c>
      <c r="D134" s="706">
        <v>2550000</v>
      </c>
      <c r="E134" s="709">
        <v>2650000</v>
      </c>
      <c r="F134" s="707" t="s">
        <v>2216</v>
      </c>
      <c r="G134" s="699"/>
      <c r="H134" s="700"/>
      <c r="I134" s="700" t="s">
        <v>2061</v>
      </c>
      <c r="J134" s="700"/>
      <c r="K134" s="700"/>
      <c r="L134" s="700"/>
      <c r="M134" s="701"/>
      <c r="N134" s="701"/>
      <c r="O134" s="701"/>
      <c r="P134" s="701"/>
      <c r="Q134" s="701"/>
      <c r="R134" s="701"/>
      <c r="S134" s="701"/>
      <c r="T134" s="701"/>
      <c r="U134" s="701"/>
      <c r="V134" s="701"/>
      <c r="W134" s="701"/>
      <c r="X134" s="701"/>
      <c r="Y134" s="701"/>
      <c r="Z134" s="701"/>
      <c r="AA134" s="701"/>
      <c r="AB134" s="701"/>
      <c r="AC134" s="701"/>
      <c r="AD134" s="701"/>
      <c r="AE134" s="701"/>
      <c r="AF134" s="701"/>
      <c r="AG134" s="701"/>
      <c r="AH134" s="701"/>
      <c r="AI134" s="701"/>
      <c r="AJ134" s="701"/>
      <c r="AK134" s="701"/>
      <c r="AL134" s="701"/>
      <c r="AM134" s="701"/>
      <c r="AN134" s="701"/>
      <c r="AO134" s="701"/>
      <c r="AP134" s="701"/>
      <c r="AQ134" s="701"/>
      <c r="AR134" s="701"/>
      <c r="AS134" s="701"/>
      <c r="AT134" s="701"/>
      <c r="AU134" s="701"/>
      <c r="AV134" s="701"/>
      <c r="AW134" s="701"/>
      <c r="AX134" s="701"/>
      <c r="AY134" s="701"/>
      <c r="AZ134" s="701"/>
      <c r="BA134" s="701"/>
      <c r="BB134" s="701"/>
      <c r="BC134" s="701"/>
    </row>
    <row r="135" spans="1:55" s="702" customFormat="1" ht="35.1" customHeight="1">
      <c r="A135" s="703">
        <v>132</v>
      </c>
      <c r="B135" s="704" t="s">
        <v>2222</v>
      </c>
      <c r="C135" s="705" t="s">
        <v>677</v>
      </c>
      <c r="D135" s="706">
        <v>2700000</v>
      </c>
      <c r="E135" s="709">
        <v>2800000</v>
      </c>
      <c r="F135" s="707" t="s">
        <v>2216</v>
      </c>
      <c r="G135" s="699"/>
      <c r="H135" s="700"/>
      <c r="I135" s="700" t="s">
        <v>2061</v>
      </c>
      <c r="J135" s="700"/>
      <c r="K135" s="700"/>
      <c r="L135" s="700"/>
      <c r="M135" s="701"/>
      <c r="N135" s="701"/>
      <c r="O135" s="701"/>
      <c r="P135" s="701"/>
      <c r="Q135" s="701"/>
      <c r="R135" s="701"/>
      <c r="S135" s="701"/>
      <c r="T135" s="701"/>
      <c r="U135" s="701"/>
      <c r="V135" s="701"/>
      <c r="W135" s="701"/>
      <c r="X135" s="701"/>
      <c r="Y135" s="701"/>
      <c r="Z135" s="701"/>
      <c r="AA135" s="701"/>
      <c r="AB135" s="701"/>
      <c r="AC135" s="701"/>
      <c r="AD135" s="701"/>
      <c r="AE135" s="701"/>
      <c r="AF135" s="701"/>
      <c r="AG135" s="701"/>
      <c r="AH135" s="701"/>
      <c r="AI135" s="701"/>
      <c r="AJ135" s="701"/>
      <c r="AK135" s="701"/>
      <c r="AL135" s="701"/>
      <c r="AM135" s="701"/>
      <c r="AN135" s="701"/>
      <c r="AO135" s="701"/>
      <c r="AP135" s="701"/>
      <c r="AQ135" s="701"/>
      <c r="AR135" s="701"/>
      <c r="AS135" s="701"/>
      <c r="AT135" s="701"/>
      <c r="AU135" s="701"/>
      <c r="AV135" s="701"/>
      <c r="AW135" s="701"/>
      <c r="AX135" s="701"/>
      <c r="AY135" s="701"/>
      <c r="AZ135" s="701"/>
      <c r="BA135" s="701"/>
      <c r="BB135" s="701"/>
      <c r="BC135" s="701"/>
    </row>
    <row r="136" spans="1:55" s="702" customFormat="1" ht="35.1" customHeight="1">
      <c r="A136" s="703">
        <v>133</v>
      </c>
      <c r="B136" s="704" t="s">
        <v>2223</v>
      </c>
      <c r="C136" s="705" t="s">
        <v>677</v>
      </c>
      <c r="D136" s="706">
        <v>2450000</v>
      </c>
      <c r="E136" s="709">
        <v>3000000</v>
      </c>
      <c r="F136" s="707" t="s">
        <v>2216</v>
      </c>
      <c r="G136" s="699"/>
      <c r="H136" s="700"/>
      <c r="I136" s="700" t="s">
        <v>2061</v>
      </c>
      <c r="J136" s="700" t="s">
        <v>624</v>
      </c>
      <c r="K136" s="700"/>
      <c r="L136" s="700"/>
      <c r="M136" s="701"/>
      <c r="N136" s="701"/>
      <c r="O136" s="701"/>
      <c r="P136" s="701"/>
      <c r="Q136" s="701"/>
      <c r="R136" s="701"/>
      <c r="S136" s="701"/>
      <c r="T136" s="701"/>
      <c r="U136" s="701"/>
      <c r="V136" s="701"/>
      <c r="W136" s="701"/>
      <c r="X136" s="701"/>
      <c r="Y136" s="701"/>
      <c r="Z136" s="701"/>
      <c r="AA136" s="701"/>
      <c r="AB136" s="701"/>
      <c r="AC136" s="701"/>
      <c r="AD136" s="701"/>
      <c r="AE136" s="701"/>
      <c r="AF136" s="701"/>
      <c r="AG136" s="701"/>
      <c r="AH136" s="701"/>
      <c r="AI136" s="701"/>
      <c r="AJ136" s="701"/>
      <c r="AK136" s="701"/>
      <c r="AL136" s="701"/>
      <c r="AM136" s="701"/>
      <c r="AN136" s="701"/>
      <c r="AO136" s="701"/>
      <c r="AP136" s="701"/>
      <c r="AQ136" s="701"/>
      <c r="AR136" s="701"/>
      <c r="AS136" s="701"/>
      <c r="AT136" s="701"/>
      <c r="AU136" s="701"/>
      <c r="AV136" s="701"/>
      <c r="AW136" s="701"/>
      <c r="AX136" s="701"/>
      <c r="AY136" s="701"/>
      <c r="AZ136" s="701"/>
      <c r="BA136" s="701"/>
      <c r="BB136" s="701"/>
      <c r="BC136" s="701"/>
    </row>
    <row r="137" spans="1:55" s="702" customFormat="1" ht="35.1" customHeight="1">
      <c r="A137" s="703">
        <v>134</v>
      </c>
      <c r="B137" s="704" t="s">
        <v>2224</v>
      </c>
      <c r="C137" s="705" t="s">
        <v>677</v>
      </c>
      <c r="D137" s="706">
        <v>2500000</v>
      </c>
      <c r="E137" s="709">
        <v>2900000</v>
      </c>
      <c r="F137" s="707" t="s">
        <v>2216</v>
      </c>
      <c r="G137" s="699"/>
      <c r="H137" s="700"/>
      <c r="I137" s="700" t="s">
        <v>2061</v>
      </c>
      <c r="J137" s="700" t="s">
        <v>624</v>
      </c>
      <c r="K137" s="700"/>
      <c r="L137" s="700"/>
      <c r="M137" s="701"/>
      <c r="N137" s="701"/>
      <c r="O137" s="701"/>
      <c r="P137" s="701"/>
      <c r="Q137" s="701"/>
      <c r="R137" s="701"/>
      <c r="S137" s="701"/>
      <c r="T137" s="701"/>
      <c r="U137" s="701"/>
      <c r="V137" s="701"/>
      <c r="W137" s="701"/>
      <c r="X137" s="701"/>
      <c r="Y137" s="701"/>
      <c r="Z137" s="701"/>
      <c r="AA137" s="701"/>
      <c r="AB137" s="701"/>
      <c r="AC137" s="701"/>
      <c r="AD137" s="701"/>
      <c r="AE137" s="701"/>
      <c r="AF137" s="701"/>
      <c r="AG137" s="701"/>
      <c r="AH137" s="701"/>
      <c r="AI137" s="701"/>
      <c r="AJ137" s="701"/>
      <c r="AK137" s="701"/>
      <c r="AL137" s="701"/>
      <c r="AM137" s="701"/>
      <c r="AN137" s="701"/>
      <c r="AO137" s="701"/>
      <c r="AP137" s="701"/>
      <c r="AQ137" s="701"/>
      <c r="AR137" s="701"/>
      <c r="AS137" s="701"/>
      <c r="AT137" s="701"/>
      <c r="AU137" s="701"/>
      <c r="AV137" s="701"/>
      <c r="AW137" s="701"/>
      <c r="AX137" s="701"/>
      <c r="AY137" s="701"/>
      <c r="AZ137" s="701"/>
      <c r="BA137" s="701"/>
      <c r="BB137" s="701"/>
      <c r="BC137" s="701"/>
    </row>
    <row r="138" spans="1:55" s="702" customFormat="1" ht="45">
      <c r="A138" s="703">
        <v>135</v>
      </c>
      <c r="B138" s="704" t="s">
        <v>2225</v>
      </c>
      <c r="C138" s="705" t="s">
        <v>677</v>
      </c>
      <c r="D138" s="708">
        <v>1200000</v>
      </c>
      <c r="E138" s="709">
        <v>1350000</v>
      </c>
      <c r="F138" s="707" t="s">
        <v>2226</v>
      </c>
      <c r="G138" s="699"/>
      <c r="H138" s="700"/>
      <c r="I138" s="700" t="s">
        <v>2061</v>
      </c>
      <c r="J138" s="700" t="s">
        <v>624</v>
      </c>
      <c r="K138" s="700"/>
      <c r="L138" s="700"/>
      <c r="M138" s="701"/>
      <c r="N138" s="701"/>
      <c r="O138" s="701"/>
      <c r="P138" s="701"/>
      <c r="Q138" s="701"/>
      <c r="R138" s="701"/>
      <c r="S138" s="701"/>
      <c r="T138" s="701"/>
      <c r="U138" s="701"/>
      <c r="V138" s="701"/>
      <c r="W138" s="701"/>
      <c r="X138" s="701"/>
      <c r="Y138" s="701"/>
      <c r="Z138" s="701"/>
      <c r="AA138" s="701"/>
      <c r="AB138" s="701"/>
      <c r="AC138" s="701"/>
      <c r="AD138" s="701"/>
      <c r="AE138" s="701"/>
      <c r="AF138" s="701"/>
      <c r="AG138" s="701"/>
      <c r="AH138" s="701"/>
      <c r="AI138" s="701"/>
      <c r="AJ138" s="701"/>
      <c r="AK138" s="701"/>
      <c r="AL138" s="701"/>
      <c r="AM138" s="701"/>
      <c r="AN138" s="701"/>
      <c r="AO138" s="701"/>
      <c r="AP138" s="701"/>
      <c r="AQ138" s="701"/>
      <c r="AR138" s="701"/>
      <c r="AS138" s="701"/>
      <c r="AT138" s="701"/>
      <c r="AU138" s="701"/>
      <c r="AV138" s="701"/>
      <c r="AW138" s="701"/>
      <c r="AX138" s="701"/>
      <c r="AY138" s="701"/>
      <c r="AZ138" s="701"/>
      <c r="BA138" s="701"/>
      <c r="BB138" s="701"/>
      <c r="BC138" s="701"/>
    </row>
    <row r="139" spans="1:55" s="702" customFormat="1" ht="45">
      <c r="A139" s="703">
        <v>136</v>
      </c>
      <c r="B139" s="704" t="s">
        <v>2227</v>
      </c>
      <c r="C139" s="705" t="s">
        <v>677</v>
      </c>
      <c r="D139" s="708">
        <v>350000</v>
      </c>
      <c r="E139" s="717">
        <v>450000</v>
      </c>
      <c r="F139" s="707" t="s">
        <v>2228</v>
      </c>
      <c r="G139" s="699"/>
      <c r="H139" s="700"/>
      <c r="I139" s="700" t="s">
        <v>2061</v>
      </c>
      <c r="J139" s="700"/>
      <c r="K139" s="700"/>
      <c r="L139" s="700"/>
      <c r="M139" s="701"/>
      <c r="N139" s="701"/>
      <c r="O139" s="701"/>
      <c r="P139" s="701"/>
      <c r="Q139" s="701"/>
      <c r="R139" s="701"/>
      <c r="S139" s="701"/>
      <c r="T139" s="701"/>
      <c r="U139" s="701"/>
      <c r="V139" s="701"/>
      <c r="W139" s="701"/>
      <c r="X139" s="701"/>
      <c r="Y139" s="701"/>
      <c r="Z139" s="701"/>
      <c r="AA139" s="701"/>
      <c r="AB139" s="701"/>
      <c r="AC139" s="701"/>
      <c r="AD139" s="701"/>
      <c r="AE139" s="701"/>
      <c r="AF139" s="701"/>
      <c r="AG139" s="701"/>
      <c r="AH139" s="701"/>
      <c r="AI139" s="701"/>
      <c r="AJ139" s="701"/>
      <c r="AK139" s="701"/>
      <c r="AL139" s="701"/>
      <c r="AM139" s="701"/>
      <c r="AN139" s="701"/>
      <c r="AO139" s="701"/>
      <c r="AP139" s="701"/>
      <c r="AQ139" s="701"/>
      <c r="AR139" s="701"/>
      <c r="AS139" s="701"/>
      <c r="AT139" s="701"/>
      <c r="AU139" s="701"/>
      <c r="AV139" s="701"/>
      <c r="AW139" s="701"/>
      <c r="AX139" s="701"/>
      <c r="AY139" s="701"/>
      <c r="AZ139" s="701"/>
      <c r="BA139" s="701"/>
      <c r="BB139" s="701"/>
      <c r="BC139" s="701"/>
    </row>
    <row r="140" spans="1:55" s="702" customFormat="1" ht="45">
      <c r="A140" s="703">
        <v>137</v>
      </c>
      <c r="B140" s="704" t="s">
        <v>2229</v>
      </c>
      <c r="C140" s="705" t="s">
        <v>677</v>
      </c>
      <c r="D140" s="706">
        <v>1300000</v>
      </c>
      <c r="E140" s="709">
        <v>1350000</v>
      </c>
      <c r="F140" s="707" t="s">
        <v>2226</v>
      </c>
      <c r="G140" s="699"/>
      <c r="H140" s="700"/>
      <c r="I140" s="700" t="s">
        <v>2061</v>
      </c>
      <c r="J140" s="700"/>
      <c r="K140" s="700"/>
      <c r="L140" s="700"/>
      <c r="M140" s="701"/>
      <c r="N140" s="701"/>
      <c r="O140" s="701"/>
      <c r="P140" s="701"/>
      <c r="Q140" s="701"/>
      <c r="R140" s="701"/>
      <c r="S140" s="701"/>
      <c r="T140" s="701"/>
      <c r="U140" s="701"/>
      <c r="V140" s="701"/>
      <c r="W140" s="701"/>
      <c r="X140" s="701"/>
      <c r="Y140" s="701"/>
      <c r="Z140" s="701"/>
      <c r="AA140" s="701"/>
      <c r="AB140" s="701"/>
      <c r="AC140" s="701"/>
      <c r="AD140" s="701"/>
      <c r="AE140" s="701"/>
      <c r="AF140" s="701"/>
      <c r="AG140" s="701"/>
      <c r="AH140" s="701"/>
      <c r="AI140" s="701"/>
      <c r="AJ140" s="701"/>
      <c r="AK140" s="701"/>
      <c r="AL140" s="701"/>
      <c r="AM140" s="701"/>
      <c r="AN140" s="701"/>
      <c r="AO140" s="701"/>
      <c r="AP140" s="701"/>
      <c r="AQ140" s="701"/>
      <c r="AR140" s="701"/>
      <c r="AS140" s="701"/>
      <c r="AT140" s="701"/>
      <c r="AU140" s="701"/>
      <c r="AV140" s="701"/>
      <c r="AW140" s="701"/>
      <c r="AX140" s="701"/>
      <c r="AY140" s="701"/>
      <c r="AZ140" s="701"/>
      <c r="BA140" s="701"/>
      <c r="BB140" s="701"/>
      <c r="BC140" s="701"/>
    </row>
    <row r="141" spans="1:55" s="702" customFormat="1" ht="45">
      <c r="A141" s="703">
        <v>138</v>
      </c>
      <c r="B141" s="704" t="s">
        <v>2230</v>
      </c>
      <c r="C141" s="705" t="s">
        <v>677</v>
      </c>
      <c r="D141" s="706">
        <v>2550000</v>
      </c>
      <c r="E141" s="709">
        <v>2650000</v>
      </c>
      <c r="F141" s="707" t="s">
        <v>2068</v>
      </c>
      <c r="G141" s="699"/>
      <c r="H141" s="700"/>
      <c r="I141" s="700" t="s">
        <v>2061</v>
      </c>
      <c r="J141" s="700"/>
      <c r="K141" s="700"/>
      <c r="L141" s="700"/>
      <c r="M141" s="701"/>
      <c r="N141" s="701"/>
      <c r="O141" s="701"/>
      <c r="P141" s="701"/>
      <c r="Q141" s="701"/>
      <c r="R141" s="701"/>
      <c r="S141" s="701"/>
      <c r="T141" s="701"/>
      <c r="U141" s="701"/>
      <c r="V141" s="701"/>
      <c r="W141" s="701"/>
      <c r="X141" s="701"/>
      <c r="Y141" s="701"/>
      <c r="Z141" s="701"/>
      <c r="AA141" s="701"/>
      <c r="AB141" s="701"/>
      <c r="AC141" s="701"/>
      <c r="AD141" s="701"/>
      <c r="AE141" s="701"/>
      <c r="AF141" s="701"/>
      <c r="AG141" s="701"/>
      <c r="AH141" s="701"/>
      <c r="AI141" s="701"/>
      <c r="AJ141" s="701"/>
      <c r="AK141" s="701"/>
      <c r="AL141" s="701"/>
      <c r="AM141" s="701"/>
      <c r="AN141" s="701"/>
      <c r="AO141" s="701"/>
      <c r="AP141" s="701"/>
      <c r="AQ141" s="701"/>
      <c r="AR141" s="701"/>
      <c r="AS141" s="701"/>
      <c r="AT141" s="701"/>
      <c r="AU141" s="701"/>
      <c r="AV141" s="701"/>
      <c r="AW141" s="701"/>
      <c r="AX141" s="701"/>
      <c r="AY141" s="701"/>
      <c r="AZ141" s="701"/>
      <c r="BA141" s="701"/>
      <c r="BB141" s="701"/>
      <c r="BC141" s="701"/>
    </row>
    <row r="142" spans="1:55" s="702" customFormat="1" ht="45">
      <c r="A142" s="703">
        <v>139</v>
      </c>
      <c r="B142" s="704" t="s">
        <v>2231</v>
      </c>
      <c r="C142" s="705" t="s">
        <v>677</v>
      </c>
      <c r="D142" s="706">
        <v>2250000</v>
      </c>
      <c r="E142" s="709">
        <v>2450000</v>
      </c>
      <c r="F142" s="707" t="s">
        <v>2068</v>
      </c>
      <c r="G142" s="699"/>
      <c r="H142" s="700"/>
      <c r="I142" s="700" t="s">
        <v>2061</v>
      </c>
      <c r="J142" s="700"/>
      <c r="K142" s="700"/>
      <c r="L142" s="700"/>
      <c r="M142" s="701"/>
      <c r="N142" s="701"/>
      <c r="O142" s="701"/>
      <c r="P142" s="701"/>
      <c r="Q142" s="701"/>
      <c r="R142" s="701"/>
      <c r="S142" s="701"/>
      <c r="T142" s="701"/>
      <c r="U142" s="701"/>
      <c r="V142" s="701"/>
      <c r="W142" s="701"/>
      <c r="X142" s="701"/>
      <c r="Y142" s="701"/>
      <c r="Z142" s="701"/>
      <c r="AA142" s="701"/>
      <c r="AB142" s="701"/>
      <c r="AC142" s="701"/>
      <c r="AD142" s="701"/>
      <c r="AE142" s="701"/>
      <c r="AF142" s="701"/>
      <c r="AG142" s="701"/>
      <c r="AH142" s="701"/>
      <c r="AI142" s="701"/>
      <c r="AJ142" s="701"/>
      <c r="AK142" s="701"/>
      <c r="AL142" s="701"/>
      <c r="AM142" s="701"/>
      <c r="AN142" s="701"/>
      <c r="AO142" s="701"/>
      <c r="AP142" s="701"/>
      <c r="AQ142" s="701"/>
      <c r="AR142" s="701"/>
      <c r="AS142" s="701"/>
      <c r="AT142" s="701"/>
      <c r="AU142" s="701"/>
      <c r="AV142" s="701"/>
      <c r="AW142" s="701"/>
      <c r="AX142" s="701"/>
      <c r="AY142" s="701"/>
      <c r="AZ142" s="701"/>
      <c r="BA142" s="701"/>
      <c r="BB142" s="701"/>
      <c r="BC142" s="701"/>
    </row>
    <row r="143" spans="1:55" s="702" customFormat="1" ht="35.1" customHeight="1">
      <c r="A143" s="703">
        <v>140</v>
      </c>
      <c r="B143" s="704" t="s">
        <v>2232</v>
      </c>
      <c r="C143" s="705" t="s">
        <v>677</v>
      </c>
      <c r="D143" s="706">
        <v>0</v>
      </c>
      <c r="E143" s="706">
        <v>1100000</v>
      </c>
      <c r="F143" s="707"/>
      <c r="G143" s="699" t="s">
        <v>2233</v>
      </c>
      <c r="H143" s="700"/>
      <c r="I143" s="700"/>
      <c r="J143" s="700"/>
      <c r="K143" s="700"/>
      <c r="L143" s="700"/>
      <c r="M143" s="701"/>
      <c r="N143" s="701"/>
      <c r="O143" s="701"/>
      <c r="P143" s="701"/>
      <c r="Q143" s="701"/>
      <c r="R143" s="701"/>
      <c r="S143" s="701"/>
      <c r="T143" s="701"/>
      <c r="U143" s="701"/>
      <c r="V143" s="701"/>
      <c r="W143" s="701"/>
      <c r="X143" s="701"/>
      <c r="Y143" s="701"/>
      <c r="Z143" s="701"/>
      <c r="AA143" s="701"/>
      <c r="AB143" s="701"/>
      <c r="AC143" s="701"/>
      <c r="AD143" s="701"/>
      <c r="AE143" s="701"/>
      <c r="AF143" s="701"/>
      <c r="AG143" s="701"/>
      <c r="AH143" s="701"/>
      <c r="AI143" s="701"/>
      <c r="AJ143" s="701"/>
      <c r="AK143" s="701"/>
      <c r="AL143" s="701"/>
      <c r="AM143" s="701"/>
      <c r="AN143" s="701"/>
      <c r="AO143" s="701"/>
      <c r="AP143" s="701"/>
      <c r="AQ143" s="701"/>
      <c r="AR143" s="701"/>
      <c r="AS143" s="701"/>
      <c r="AT143" s="701"/>
      <c r="AU143" s="701"/>
      <c r="AV143" s="701"/>
      <c r="AW143" s="701"/>
      <c r="AX143" s="701"/>
      <c r="AY143" s="701"/>
      <c r="AZ143" s="701"/>
      <c r="BA143" s="701"/>
      <c r="BB143" s="701"/>
      <c r="BC143" s="701"/>
    </row>
    <row r="144" spans="1:55" s="702" customFormat="1" ht="35.1" customHeight="1">
      <c r="A144" s="703">
        <v>141</v>
      </c>
      <c r="B144" s="704" t="s">
        <v>2234</v>
      </c>
      <c r="C144" s="705" t="s">
        <v>655</v>
      </c>
      <c r="D144" s="708">
        <v>4400</v>
      </c>
      <c r="E144" s="708">
        <v>4400</v>
      </c>
      <c r="F144" s="707" t="s">
        <v>2084</v>
      </c>
      <c r="G144" s="699"/>
      <c r="H144" s="700"/>
      <c r="I144" s="700" t="s">
        <v>2061</v>
      </c>
      <c r="J144" s="700"/>
      <c r="K144" s="700"/>
      <c r="L144" s="700"/>
      <c r="M144" s="701"/>
      <c r="N144" s="701"/>
      <c r="O144" s="701"/>
      <c r="P144" s="701"/>
      <c r="Q144" s="701"/>
      <c r="R144" s="701"/>
      <c r="S144" s="701"/>
      <c r="T144" s="701"/>
      <c r="U144" s="701"/>
      <c r="V144" s="701"/>
      <c r="W144" s="701"/>
      <c r="X144" s="701"/>
      <c r="Y144" s="701"/>
      <c r="Z144" s="701"/>
      <c r="AA144" s="701"/>
      <c r="AB144" s="701"/>
      <c r="AC144" s="701"/>
      <c r="AD144" s="701"/>
      <c r="AE144" s="701"/>
      <c r="AF144" s="701"/>
      <c r="AG144" s="701"/>
      <c r="AH144" s="701"/>
      <c r="AI144" s="701"/>
      <c r="AJ144" s="701"/>
      <c r="AK144" s="701"/>
      <c r="AL144" s="701"/>
      <c r="AM144" s="701"/>
      <c r="AN144" s="701"/>
      <c r="AO144" s="701"/>
      <c r="AP144" s="701"/>
      <c r="AQ144" s="701"/>
      <c r="AR144" s="701"/>
      <c r="AS144" s="701"/>
      <c r="AT144" s="701"/>
      <c r="AU144" s="701"/>
      <c r="AV144" s="701"/>
      <c r="AW144" s="701"/>
      <c r="AX144" s="701"/>
      <c r="AY144" s="701"/>
      <c r="AZ144" s="701"/>
      <c r="BA144" s="701"/>
      <c r="BB144" s="701"/>
      <c r="BC144" s="701"/>
    </row>
    <row r="145" spans="1:55" s="702" customFormat="1" ht="35.1" customHeight="1">
      <c r="A145" s="703">
        <v>142</v>
      </c>
      <c r="B145" s="704" t="s">
        <v>1734</v>
      </c>
      <c r="C145" s="705" t="s">
        <v>1722</v>
      </c>
      <c r="D145" s="706">
        <v>400000</v>
      </c>
      <c r="E145" s="706">
        <v>400000</v>
      </c>
      <c r="F145" s="707" t="s">
        <v>2145</v>
      </c>
      <c r="G145" s="699"/>
      <c r="H145" s="700"/>
      <c r="I145" s="700"/>
      <c r="J145" s="700"/>
      <c r="K145" s="700"/>
      <c r="L145" s="700"/>
      <c r="M145" s="701"/>
      <c r="N145" s="701"/>
      <c r="O145" s="701"/>
      <c r="P145" s="701"/>
      <c r="Q145" s="701"/>
      <c r="R145" s="701"/>
      <c r="S145" s="701"/>
      <c r="T145" s="701"/>
      <c r="U145" s="701"/>
      <c r="V145" s="701"/>
      <c r="W145" s="701"/>
      <c r="X145" s="701"/>
      <c r="Y145" s="701"/>
      <c r="Z145" s="701"/>
      <c r="AA145" s="701"/>
      <c r="AB145" s="701"/>
      <c r="AC145" s="701"/>
      <c r="AD145" s="701"/>
      <c r="AE145" s="701"/>
      <c r="AF145" s="701"/>
      <c r="AG145" s="701"/>
      <c r="AH145" s="701"/>
      <c r="AI145" s="701"/>
      <c r="AJ145" s="701"/>
      <c r="AK145" s="701"/>
      <c r="AL145" s="701"/>
      <c r="AM145" s="701"/>
      <c r="AN145" s="701"/>
      <c r="AO145" s="701"/>
      <c r="AP145" s="701"/>
      <c r="AQ145" s="701"/>
      <c r="AR145" s="701"/>
      <c r="AS145" s="701"/>
      <c r="AT145" s="701"/>
      <c r="AU145" s="701"/>
      <c r="AV145" s="701"/>
      <c r="AW145" s="701"/>
      <c r="AX145" s="701"/>
      <c r="AY145" s="701"/>
      <c r="AZ145" s="701"/>
      <c r="BA145" s="701"/>
      <c r="BB145" s="701"/>
      <c r="BC145" s="701"/>
    </row>
    <row r="146" spans="1:55" s="702" customFormat="1" ht="45">
      <c r="A146" s="703">
        <v>143</v>
      </c>
      <c r="B146" s="704" t="s">
        <v>2235</v>
      </c>
      <c r="C146" s="705" t="s">
        <v>677</v>
      </c>
      <c r="D146" s="706">
        <v>250000</v>
      </c>
      <c r="E146" s="706">
        <v>250000</v>
      </c>
      <c r="F146" s="707" t="s">
        <v>2068</v>
      </c>
      <c r="G146" s="699"/>
      <c r="H146" s="700"/>
      <c r="I146" s="700" t="s">
        <v>2061</v>
      </c>
      <c r="J146" s="700"/>
      <c r="K146" s="700"/>
      <c r="L146" s="700"/>
      <c r="M146" s="701"/>
      <c r="N146" s="701"/>
      <c r="O146" s="701"/>
      <c r="P146" s="701"/>
      <c r="Q146" s="701"/>
      <c r="R146" s="701"/>
      <c r="S146" s="701"/>
      <c r="T146" s="701"/>
      <c r="U146" s="701"/>
      <c r="V146" s="701"/>
      <c r="W146" s="701"/>
      <c r="X146" s="701"/>
      <c r="Y146" s="701"/>
      <c r="Z146" s="701"/>
      <c r="AA146" s="701"/>
      <c r="AB146" s="701"/>
      <c r="AC146" s="701"/>
      <c r="AD146" s="701"/>
      <c r="AE146" s="701"/>
      <c r="AF146" s="701"/>
      <c r="AG146" s="701"/>
      <c r="AH146" s="701"/>
      <c r="AI146" s="701"/>
      <c r="AJ146" s="701"/>
      <c r="AK146" s="701"/>
      <c r="AL146" s="701"/>
      <c r="AM146" s="701"/>
      <c r="AN146" s="701"/>
      <c r="AO146" s="701"/>
      <c r="AP146" s="701"/>
      <c r="AQ146" s="701"/>
      <c r="AR146" s="701"/>
      <c r="AS146" s="701"/>
      <c r="AT146" s="701"/>
      <c r="AU146" s="701"/>
      <c r="AV146" s="701"/>
      <c r="AW146" s="701"/>
      <c r="AX146" s="701"/>
      <c r="AY146" s="701"/>
      <c r="AZ146" s="701"/>
      <c r="BA146" s="701"/>
      <c r="BB146" s="701"/>
      <c r="BC146" s="701"/>
    </row>
    <row r="147" spans="1:55" s="702" customFormat="1" ht="35.1" customHeight="1">
      <c r="A147" s="703">
        <v>144</v>
      </c>
      <c r="B147" s="704" t="s">
        <v>2236</v>
      </c>
      <c r="C147" s="705" t="s">
        <v>677</v>
      </c>
      <c r="D147" s="708">
        <v>1200000</v>
      </c>
      <c r="E147" s="708">
        <v>1200000</v>
      </c>
      <c r="F147" s="707" t="s">
        <v>2201</v>
      </c>
      <c r="G147" s="699"/>
      <c r="H147" s="700"/>
      <c r="I147" s="700" t="s">
        <v>2061</v>
      </c>
      <c r="J147" s="700"/>
      <c r="K147" s="700"/>
      <c r="L147" s="700"/>
      <c r="M147" s="701"/>
      <c r="N147" s="701"/>
      <c r="O147" s="701"/>
      <c r="P147" s="701"/>
      <c r="Q147" s="701"/>
      <c r="R147" s="701"/>
      <c r="S147" s="701"/>
      <c r="T147" s="701"/>
      <c r="U147" s="701"/>
      <c r="V147" s="701"/>
      <c r="W147" s="701"/>
      <c r="X147" s="701"/>
      <c r="Y147" s="701"/>
      <c r="Z147" s="701"/>
      <c r="AA147" s="701"/>
      <c r="AB147" s="701"/>
      <c r="AC147" s="701"/>
      <c r="AD147" s="701"/>
      <c r="AE147" s="701"/>
      <c r="AF147" s="701"/>
      <c r="AG147" s="701"/>
      <c r="AH147" s="701"/>
      <c r="AI147" s="701"/>
      <c r="AJ147" s="701"/>
      <c r="AK147" s="701"/>
      <c r="AL147" s="701"/>
      <c r="AM147" s="701"/>
      <c r="AN147" s="701"/>
      <c r="AO147" s="701"/>
      <c r="AP147" s="701"/>
      <c r="AQ147" s="701"/>
      <c r="AR147" s="701"/>
      <c r="AS147" s="701"/>
      <c r="AT147" s="701"/>
      <c r="AU147" s="701"/>
      <c r="AV147" s="701"/>
      <c r="AW147" s="701"/>
      <c r="AX147" s="701"/>
      <c r="AY147" s="701"/>
      <c r="AZ147" s="701"/>
      <c r="BA147" s="701"/>
      <c r="BB147" s="701"/>
      <c r="BC147" s="701"/>
    </row>
    <row r="148" spans="1:55" s="702" customFormat="1" ht="35.1" customHeight="1">
      <c r="A148" s="703">
        <v>145</v>
      </c>
      <c r="B148" s="704" t="s">
        <v>2237</v>
      </c>
      <c r="C148" s="705" t="s">
        <v>1808</v>
      </c>
      <c r="D148" s="706">
        <v>100000</v>
      </c>
      <c r="E148" s="706">
        <v>100000</v>
      </c>
      <c r="F148" s="707" t="s">
        <v>2201</v>
      </c>
      <c r="G148" s="699"/>
      <c r="H148" s="700"/>
      <c r="I148" s="700" t="s">
        <v>2061</v>
      </c>
      <c r="J148" s="700"/>
      <c r="K148" s="700"/>
      <c r="L148" s="700"/>
      <c r="M148" s="701"/>
      <c r="N148" s="701"/>
      <c r="O148" s="701"/>
      <c r="P148" s="701"/>
      <c r="Q148" s="701"/>
      <c r="R148" s="701"/>
      <c r="S148" s="701"/>
      <c r="T148" s="701"/>
      <c r="U148" s="701"/>
      <c r="V148" s="701"/>
      <c r="W148" s="701"/>
      <c r="X148" s="701"/>
      <c r="Y148" s="701"/>
      <c r="Z148" s="701"/>
      <c r="AA148" s="701"/>
      <c r="AB148" s="701"/>
      <c r="AC148" s="701"/>
      <c r="AD148" s="701"/>
      <c r="AE148" s="701"/>
      <c r="AF148" s="701"/>
      <c r="AG148" s="701"/>
      <c r="AH148" s="701"/>
      <c r="AI148" s="701"/>
      <c r="AJ148" s="701"/>
      <c r="AK148" s="701"/>
      <c r="AL148" s="701"/>
      <c r="AM148" s="701"/>
      <c r="AN148" s="701"/>
      <c r="AO148" s="701"/>
      <c r="AP148" s="701"/>
      <c r="AQ148" s="701"/>
      <c r="AR148" s="701"/>
      <c r="AS148" s="701"/>
      <c r="AT148" s="701"/>
      <c r="AU148" s="701"/>
      <c r="AV148" s="701"/>
      <c r="AW148" s="701"/>
      <c r="AX148" s="701"/>
      <c r="AY148" s="701"/>
      <c r="AZ148" s="701"/>
      <c r="BA148" s="701"/>
      <c r="BB148" s="701"/>
      <c r="BC148" s="701"/>
    </row>
    <row r="149" spans="1:55" s="702" customFormat="1" ht="35.1" customHeight="1">
      <c r="A149" s="703">
        <v>146</v>
      </c>
      <c r="B149" s="704" t="s">
        <v>2238</v>
      </c>
      <c r="C149" s="705" t="s">
        <v>1808</v>
      </c>
      <c r="D149" s="706">
        <v>100000</v>
      </c>
      <c r="E149" s="706">
        <v>100000</v>
      </c>
      <c r="F149" s="707" t="s">
        <v>2201</v>
      </c>
      <c r="G149" s="699"/>
      <c r="H149" s="700"/>
      <c r="I149" s="700" t="s">
        <v>2061</v>
      </c>
      <c r="J149" s="700"/>
      <c r="K149" s="700"/>
      <c r="L149" s="700"/>
      <c r="M149" s="701"/>
      <c r="N149" s="701"/>
      <c r="O149" s="701"/>
      <c r="P149" s="701"/>
      <c r="Q149" s="701"/>
      <c r="R149" s="701"/>
      <c r="S149" s="701"/>
      <c r="T149" s="701"/>
      <c r="U149" s="701"/>
      <c r="V149" s="701"/>
      <c r="W149" s="701"/>
      <c r="X149" s="701"/>
      <c r="Y149" s="701"/>
      <c r="Z149" s="701"/>
      <c r="AA149" s="701"/>
      <c r="AB149" s="701"/>
      <c r="AC149" s="701"/>
      <c r="AD149" s="701"/>
      <c r="AE149" s="701"/>
      <c r="AF149" s="701"/>
      <c r="AG149" s="701"/>
      <c r="AH149" s="701"/>
      <c r="AI149" s="701"/>
      <c r="AJ149" s="701"/>
      <c r="AK149" s="701"/>
      <c r="AL149" s="701"/>
      <c r="AM149" s="701"/>
      <c r="AN149" s="701"/>
      <c r="AO149" s="701"/>
      <c r="AP149" s="701"/>
      <c r="AQ149" s="701"/>
      <c r="AR149" s="701"/>
      <c r="AS149" s="701"/>
      <c r="AT149" s="701"/>
      <c r="AU149" s="701"/>
      <c r="AV149" s="701"/>
      <c r="AW149" s="701"/>
      <c r="AX149" s="701"/>
      <c r="AY149" s="701"/>
      <c r="AZ149" s="701"/>
      <c r="BA149" s="701"/>
      <c r="BB149" s="701"/>
      <c r="BC149" s="701"/>
    </row>
    <row r="150" spans="1:55" s="702" customFormat="1" ht="35.1" customHeight="1">
      <c r="A150" s="703">
        <v>147</v>
      </c>
      <c r="B150" s="704" t="s">
        <v>2012</v>
      </c>
      <c r="C150" s="705" t="s">
        <v>1722</v>
      </c>
      <c r="D150" s="706">
        <f>[35]VC!P16</f>
        <v>306832</v>
      </c>
      <c r="E150" s="706"/>
      <c r="F150" s="707" t="s">
        <v>2239</v>
      </c>
      <c r="G150" s="699"/>
      <c r="H150" s="700"/>
      <c r="I150" s="700"/>
      <c r="J150" s="700"/>
      <c r="K150" s="700"/>
      <c r="L150" s="700"/>
      <c r="M150" s="701"/>
      <c r="N150" s="701"/>
      <c r="O150" s="701"/>
      <c r="P150" s="701"/>
      <c r="Q150" s="701"/>
      <c r="R150" s="701"/>
      <c r="S150" s="701"/>
      <c r="T150" s="701"/>
      <c r="U150" s="701"/>
      <c r="V150" s="701"/>
      <c r="W150" s="701"/>
      <c r="X150" s="701"/>
      <c r="Y150" s="701"/>
      <c r="Z150" s="701"/>
      <c r="AA150" s="701"/>
      <c r="AB150" s="701"/>
      <c r="AC150" s="701"/>
      <c r="AD150" s="701"/>
      <c r="AE150" s="701"/>
      <c r="AF150" s="701"/>
      <c r="AG150" s="701"/>
      <c r="AH150" s="701"/>
      <c r="AI150" s="701"/>
      <c r="AJ150" s="701"/>
      <c r="AK150" s="701"/>
      <c r="AL150" s="701"/>
      <c r="AM150" s="701"/>
      <c r="AN150" s="701"/>
      <c r="AO150" s="701"/>
      <c r="AP150" s="701"/>
      <c r="AQ150" s="701"/>
      <c r="AR150" s="701"/>
      <c r="AS150" s="701"/>
      <c r="AT150" s="701"/>
      <c r="AU150" s="701"/>
      <c r="AV150" s="701"/>
      <c r="AW150" s="701"/>
      <c r="AX150" s="701"/>
      <c r="AY150" s="701"/>
      <c r="AZ150" s="701"/>
      <c r="BA150" s="701"/>
      <c r="BB150" s="701"/>
      <c r="BC150" s="701"/>
    </row>
    <row r="151" spans="1:55" s="702" customFormat="1" ht="35.1" customHeight="1">
      <c r="A151" s="703">
        <v>148</v>
      </c>
      <c r="B151" s="704" t="s">
        <v>2240</v>
      </c>
      <c r="C151" s="705" t="s">
        <v>2241</v>
      </c>
      <c r="D151" s="706">
        <v>10000000</v>
      </c>
      <c r="E151" s="706">
        <v>10000000</v>
      </c>
      <c r="F151" s="707" t="s">
        <v>2201</v>
      </c>
      <c r="G151" s="699"/>
      <c r="H151" s="700"/>
      <c r="I151" s="700" t="s">
        <v>2061</v>
      </c>
      <c r="J151" s="700"/>
      <c r="K151" s="700"/>
      <c r="L151" s="700"/>
      <c r="M151" s="701"/>
      <c r="N151" s="701"/>
      <c r="O151" s="701"/>
      <c r="P151" s="701"/>
      <c r="Q151" s="701"/>
      <c r="R151" s="701"/>
      <c r="S151" s="701"/>
      <c r="T151" s="701"/>
      <c r="U151" s="701"/>
      <c r="V151" s="701"/>
      <c r="W151" s="701"/>
      <c r="X151" s="701"/>
      <c r="Y151" s="701"/>
      <c r="Z151" s="701"/>
      <c r="AA151" s="701"/>
      <c r="AB151" s="701"/>
      <c r="AC151" s="701"/>
      <c r="AD151" s="701"/>
      <c r="AE151" s="701"/>
      <c r="AF151" s="701"/>
      <c r="AG151" s="701"/>
      <c r="AH151" s="701"/>
      <c r="AI151" s="701"/>
      <c r="AJ151" s="701"/>
      <c r="AK151" s="701"/>
      <c r="AL151" s="701"/>
      <c r="AM151" s="701"/>
      <c r="AN151" s="701"/>
      <c r="AO151" s="701"/>
      <c r="AP151" s="701"/>
      <c r="AQ151" s="701"/>
      <c r="AR151" s="701"/>
      <c r="AS151" s="701"/>
      <c r="AT151" s="701"/>
      <c r="AU151" s="701"/>
      <c r="AV151" s="701"/>
      <c r="AW151" s="701"/>
      <c r="AX151" s="701"/>
      <c r="AY151" s="701"/>
      <c r="AZ151" s="701"/>
      <c r="BA151" s="701"/>
      <c r="BB151" s="701"/>
      <c r="BC151" s="701"/>
    </row>
    <row r="152" spans="1:55" s="702" customFormat="1" ht="35.1" customHeight="1">
      <c r="A152" s="703">
        <v>149</v>
      </c>
      <c r="B152" s="704" t="s">
        <v>2242</v>
      </c>
      <c r="C152" s="705" t="s">
        <v>655</v>
      </c>
      <c r="D152" s="706">
        <f>100000/1.1</f>
        <v>90909.090909090897</v>
      </c>
      <c r="E152" s="706">
        <f>100000/1.1</f>
        <v>90909.090909090897</v>
      </c>
      <c r="F152" s="707" t="s">
        <v>2243</v>
      </c>
      <c r="G152" s="699"/>
      <c r="H152" s="700"/>
      <c r="I152" s="700" t="s">
        <v>2061</v>
      </c>
      <c r="J152" s="700"/>
      <c r="K152" s="700"/>
      <c r="L152" s="700"/>
      <c r="M152" s="701"/>
      <c r="N152" s="701"/>
      <c r="O152" s="701"/>
      <c r="P152" s="701"/>
      <c r="Q152" s="701"/>
      <c r="R152" s="701"/>
      <c r="S152" s="701"/>
      <c r="T152" s="701"/>
      <c r="U152" s="701"/>
      <c r="V152" s="701"/>
      <c r="W152" s="701"/>
      <c r="X152" s="701"/>
      <c r="Y152" s="701"/>
      <c r="Z152" s="701"/>
      <c r="AA152" s="701"/>
      <c r="AB152" s="701"/>
      <c r="AC152" s="701"/>
      <c r="AD152" s="701"/>
      <c r="AE152" s="701"/>
      <c r="AF152" s="701"/>
      <c r="AG152" s="701"/>
      <c r="AH152" s="701"/>
      <c r="AI152" s="701"/>
      <c r="AJ152" s="701"/>
      <c r="AK152" s="701"/>
      <c r="AL152" s="701"/>
      <c r="AM152" s="701"/>
      <c r="AN152" s="701"/>
      <c r="AO152" s="701"/>
      <c r="AP152" s="701"/>
      <c r="AQ152" s="701"/>
      <c r="AR152" s="701"/>
      <c r="AS152" s="701"/>
      <c r="AT152" s="701"/>
      <c r="AU152" s="701"/>
      <c r="AV152" s="701"/>
      <c r="AW152" s="701"/>
      <c r="AX152" s="701"/>
      <c r="AY152" s="701"/>
      <c r="AZ152" s="701"/>
      <c r="BA152" s="701"/>
      <c r="BB152" s="701"/>
      <c r="BC152" s="701"/>
    </row>
    <row r="153" spans="1:55" s="702" customFormat="1" ht="35.1" customHeight="1">
      <c r="A153" s="703">
        <v>150</v>
      </c>
      <c r="B153" s="704" t="s">
        <v>1732</v>
      </c>
      <c r="C153" s="705" t="s">
        <v>1730</v>
      </c>
      <c r="D153" s="708">
        <v>22000</v>
      </c>
      <c r="E153" s="708">
        <v>22000</v>
      </c>
      <c r="F153" s="707" t="s">
        <v>2201</v>
      </c>
      <c r="G153" s="699"/>
      <c r="H153" s="700"/>
      <c r="I153" s="700" t="s">
        <v>2061</v>
      </c>
      <c r="J153" s="700"/>
      <c r="K153" s="700"/>
      <c r="L153" s="700"/>
      <c r="M153" s="701"/>
      <c r="N153" s="701"/>
      <c r="O153" s="701"/>
      <c r="P153" s="701"/>
      <c r="Q153" s="701"/>
      <c r="R153" s="701"/>
      <c r="S153" s="701"/>
      <c r="T153" s="701"/>
      <c r="U153" s="701"/>
      <c r="V153" s="701"/>
      <c r="W153" s="701"/>
      <c r="X153" s="701"/>
      <c r="Y153" s="701"/>
      <c r="Z153" s="701"/>
      <c r="AA153" s="701"/>
      <c r="AB153" s="701"/>
      <c r="AC153" s="701"/>
      <c r="AD153" s="701"/>
      <c r="AE153" s="701"/>
      <c r="AF153" s="701"/>
      <c r="AG153" s="701"/>
      <c r="AH153" s="701"/>
      <c r="AI153" s="701"/>
      <c r="AJ153" s="701"/>
      <c r="AK153" s="701"/>
      <c r="AL153" s="701"/>
      <c r="AM153" s="701"/>
      <c r="AN153" s="701"/>
      <c r="AO153" s="701"/>
      <c r="AP153" s="701"/>
      <c r="AQ153" s="701"/>
      <c r="AR153" s="701"/>
      <c r="AS153" s="701"/>
      <c r="AT153" s="701"/>
      <c r="AU153" s="701"/>
      <c r="AV153" s="701"/>
      <c r="AW153" s="701"/>
      <c r="AX153" s="701"/>
      <c r="AY153" s="701"/>
      <c r="AZ153" s="701"/>
      <c r="BA153" s="701"/>
      <c r="BB153" s="701"/>
      <c r="BC153" s="701"/>
    </row>
    <row r="154" spans="1:55" s="702" customFormat="1" ht="35.1" customHeight="1">
      <c r="A154" s="703">
        <v>151</v>
      </c>
      <c r="B154" s="704" t="s">
        <v>2244</v>
      </c>
      <c r="C154" s="705" t="s">
        <v>677</v>
      </c>
      <c r="D154" s="706">
        <v>120000</v>
      </c>
      <c r="E154" s="706">
        <v>120000</v>
      </c>
      <c r="F154" s="707" t="s">
        <v>2201</v>
      </c>
      <c r="G154" s="699"/>
      <c r="H154" s="700"/>
      <c r="I154" s="700" t="s">
        <v>2061</v>
      </c>
      <c r="J154" s="700"/>
      <c r="K154" s="700"/>
      <c r="L154" s="700"/>
      <c r="M154" s="701"/>
      <c r="N154" s="701"/>
      <c r="O154" s="701"/>
      <c r="P154" s="701"/>
      <c r="Q154" s="701"/>
      <c r="R154" s="701"/>
      <c r="S154" s="701"/>
      <c r="T154" s="701"/>
      <c r="U154" s="701"/>
      <c r="V154" s="701"/>
      <c r="W154" s="701"/>
      <c r="X154" s="701"/>
      <c r="Y154" s="701"/>
      <c r="Z154" s="701"/>
      <c r="AA154" s="701"/>
      <c r="AB154" s="701"/>
      <c r="AC154" s="701"/>
      <c r="AD154" s="701"/>
      <c r="AE154" s="701"/>
      <c r="AF154" s="701"/>
      <c r="AG154" s="701"/>
      <c r="AH154" s="701"/>
      <c r="AI154" s="701"/>
      <c r="AJ154" s="701"/>
      <c r="AK154" s="701"/>
      <c r="AL154" s="701"/>
      <c r="AM154" s="701"/>
      <c r="AN154" s="701"/>
      <c r="AO154" s="701"/>
      <c r="AP154" s="701"/>
      <c r="AQ154" s="701"/>
      <c r="AR154" s="701"/>
      <c r="AS154" s="701"/>
      <c r="AT154" s="701"/>
      <c r="AU154" s="701"/>
      <c r="AV154" s="701"/>
      <c r="AW154" s="701"/>
      <c r="AX154" s="701"/>
      <c r="AY154" s="701"/>
      <c r="AZ154" s="701"/>
      <c r="BA154" s="701"/>
      <c r="BB154" s="701"/>
      <c r="BC154" s="701"/>
    </row>
    <row r="155" spans="1:55" s="702" customFormat="1" ht="35.1" customHeight="1">
      <c r="A155" s="703">
        <v>152</v>
      </c>
      <c r="B155" s="704" t="s">
        <v>2245</v>
      </c>
      <c r="C155" s="705" t="s">
        <v>655</v>
      </c>
      <c r="D155" s="706">
        <f>10500/1.1</f>
        <v>9545.4545454545441</v>
      </c>
      <c r="E155" s="709">
        <f>10500/1.1</f>
        <v>9545.4545454545441</v>
      </c>
      <c r="F155" s="707" t="s">
        <v>2246</v>
      </c>
      <c r="G155" s="699"/>
      <c r="H155" s="700"/>
      <c r="I155" s="700"/>
      <c r="J155" s="700"/>
      <c r="K155" s="700"/>
      <c r="L155" s="700"/>
      <c r="M155" s="701"/>
      <c r="N155" s="701"/>
      <c r="O155" s="701"/>
      <c r="P155" s="701"/>
      <c r="Q155" s="701"/>
      <c r="R155" s="701"/>
      <c r="S155" s="701"/>
      <c r="T155" s="701"/>
      <c r="U155" s="701"/>
      <c r="V155" s="701"/>
      <c r="W155" s="701"/>
      <c r="X155" s="701"/>
      <c r="Y155" s="701"/>
      <c r="Z155" s="701"/>
      <c r="AA155" s="701"/>
      <c r="AB155" s="701"/>
      <c r="AC155" s="701"/>
      <c r="AD155" s="701"/>
      <c r="AE155" s="701"/>
      <c r="AF155" s="701"/>
      <c r="AG155" s="701"/>
      <c r="AH155" s="701"/>
      <c r="AI155" s="701"/>
      <c r="AJ155" s="701"/>
      <c r="AK155" s="701"/>
      <c r="AL155" s="701"/>
      <c r="AM155" s="701"/>
      <c r="AN155" s="701"/>
      <c r="AO155" s="701"/>
      <c r="AP155" s="701"/>
      <c r="AQ155" s="701"/>
      <c r="AR155" s="701"/>
      <c r="AS155" s="701"/>
      <c r="AT155" s="701"/>
      <c r="AU155" s="701"/>
      <c r="AV155" s="701"/>
      <c r="AW155" s="701"/>
      <c r="AX155" s="701"/>
      <c r="AY155" s="701"/>
      <c r="AZ155" s="701"/>
      <c r="BA155" s="701"/>
      <c r="BB155" s="701"/>
      <c r="BC155" s="701"/>
    </row>
    <row r="156" spans="1:55" s="702" customFormat="1" ht="35.1" customHeight="1">
      <c r="A156" s="703">
        <v>153</v>
      </c>
      <c r="B156" s="704" t="s">
        <v>2247</v>
      </c>
      <c r="C156" s="705" t="s">
        <v>624</v>
      </c>
      <c r="D156" s="706">
        <v>58000</v>
      </c>
      <c r="E156" s="709">
        <f>ROUND(81954/1.1,0)</f>
        <v>74504</v>
      </c>
      <c r="F156" s="707" t="s">
        <v>2248</v>
      </c>
      <c r="G156" s="699"/>
      <c r="H156" s="700">
        <f>74504*1.1</f>
        <v>81954.400000000009</v>
      </c>
      <c r="I156" s="700"/>
      <c r="J156" s="700"/>
      <c r="K156" s="700"/>
      <c r="L156" s="700"/>
      <c r="M156" s="701"/>
      <c r="N156" s="701"/>
      <c r="O156" s="701"/>
      <c r="P156" s="701"/>
      <c r="Q156" s="701"/>
      <c r="R156" s="701"/>
      <c r="S156" s="701"/>
      <c r="T156" s="701"/>
      <c r="U156" s="701"/>
      <c r="V156" s="701"/>
      <c r="W156" s="701"/>
      <c r="X156" s="701"/>
      <c r="Y156" s="701"/>
      <c r="Z156" s="701"/>
      <c r="AA156" s="701"/>
      <c r="AB156" s="701"/>
      <c r="AC156" s="701"/>
      <c r="AD156" s="701"/>
      <c r="AE156" s="701"/>
      <c r="AF156" s="701"/>
      <c r="AG156" s="701"/>
      <c r="AH156" s="701"/>
      <c r="AI156" s="701"/>
      <c r="AJ156" s="701"/>
      <c r="AK156" s="701"/>
      <c r="AL156" s="701"/>
      <c r="AM156" s="701"/>
      <c r="AN156" s="701"/>
      <c r="AO156" s="701"/>
      <c r="AP156" s="701"/>
      <c r="AQ156" s="701"/>
      <c r="AR156" s="701"/>
      <c r="AS156" s="701"/>
      <c r="AT156" s="701"/>
      <c r="AU156" s="701"/>
      <c r="AV156" s="701"/>
      <c r="AW156" s="701"/>
      <c r="AX156" s="701"/>
      <c r="AY156" s="701"/>
      <c r="AZ156" s="701"/>
      <c r="BA156" s="701"/>
      <c r="BB156" s="701"/>
      <c r="BC156" s="701"/>
    </row>
    <row r="157" spans="1:55" s="702" customFormat="1" ht="35.1" customHeight="1">
      <c r="A157" s="703">
        <v>154</v>
      </c>
      <c r="B157" s="704" t="s">
        <v>2249</v>
      </c>
      <c r="C157" s="705" t="s">
        <v>624</v>
      </c>
      <c r="D157" s="706">
        <v>208000</v>
      </c>
      <c r="E157" s="706">
        <v>208000</v>
      </c>
      <c r="F157" s="707" t="s">
        <v>2250</v>
      </c>
      <c r="G157" s="699"/>
      <c r="H157" s="700"/>
      <c r="I157" s="700"/>
      <c r="J157" s="700"/>
      <c r="K157" s="700"/>
      <c r="L157" s="700"/>
      <c r="M157" s="701"/>
      <c r="N157" s="701"/>
      <c r="O157" s="701"/>
      <c r="P157" s="701"/>
      <c r="Q157" s="701"/>
      <c r="R157" s="701"/>
      <c r="S157" s="701"/>
      <c r="T157" s="701"/>
      <c r="U157" s="701"/>
      <c r="V157" s="701"/>
      <c r="W157" s="701"/>
      <c r="X157" s="701"/>
      <c r="Y157" s="701"/>
      <c r="Z157" s="701"/>
      <c r="AA157" s="701"/>
      <c r="AB157" s="701"/>
      <c r="AC157" s="701"/>
      <c r="AD157" s="701"/>
      <c r="AE157" s="701"/>
      <c r="AF157" s="701"/>
      <c r="AG157" s="701"/>
      <c r="AH157" s="701"/>
      <c r="AI157" s="701"/>
      <c r="AJ157" s="701"/>
      <c r="AK157" s="701"/>
      <c r="AL157" s="701"/>
      <c r="AM157" s="701"/>
      <c r="AN157" s="701"/>
      <c r="AO157" s="701"/>
      <c r="AP157" s="701"/>
      <c r="AQ157" s="701"/>
      <c r="AR157" s="701"/>
      <c r="AS157" s="701"/>
      <c r="AT157" s="701"/>
      <c r="AU157" s="701"/>
      <c r="AV157" s="701"/>
      <c r="AW157" s="701"/>
      <c r="AX157" s="701"/>
      <c r="AY157" s="701"/>
      <c r="AZ157" s="701"/>
      <c r="BA157" s="701"/>
      <c r="BB157" s="701"/>
      <c r="BC157" s="701"/>
    </row>
    <row r="158" spans="1:55" s="702" customFormat="1" ht="35.1" customHeight="1">
      <c r="A158" s="703">
        <v>155</v>
      </c>
      <c r="B158" s="704" t="s">
        <v>2251</v>
      </c>
      <c r="C158" s="705" t="s">
        <v>624</v>
      </c>
      <c r="D158" s="706">
        <v>113000</v>
      </c>
      <c r="E158" s="709">
        <v>113000</v>
      </c>
      <c r="F158" s="707" t="s">
        <v>2250</v>
      </c>
      <c r="G158" s="699"/>
      <c r="H158" s="700"/>
      <c r="I158" s="700"/>
      <c r="J158" s="700"/>
      <c r="K158" s="700"/>
      <c r="L158" s="700"/>
      <c r="M158" s="701"/>
      <c r="N158" s="701"/>
      <c r="O158" s="701"/>
      <c r="P158" s="701"/>
      <c r="Q158" s="701"/>
      <c r="R158" s="701"/>
      <c r="S158" s="701"/>
      <c r="T158" s="701"/>
      <c r="U158" s="701"/>
      <c r="V158" s="701"/>
      <c r="W158" s="701"/>
      <c r="X158" s="701"/>
      <c r="Y158" s="701"/>
      <c r="Z158" s="701"/>
      <c r="AA158" s="701"/>
      <c r="AB158" s="701"/>
      <c r="AC158" s="701"/>
      <c r="AD158" s="701"/>
      <c r="AE158" s="701"/>
      <c r="AF158" s="701"/>
      <c r="AG158" s="701"/>
      <c r="AH158" s="701"/>
      <c r="AI158" s="701"/>
      <c r="AJ158" s="701"/>
      <c r="AK158" s="701"/>
      <c r="AL158" s="701"/>
      <c r="AM158" s="701"/>
      <c r="AN158" s="701"/>
      <c r="AO158" s="701"/>
      <c r="AP158" s="701"/>
      <c r="AQ158" s="701"/>
      <c r="AR158" s="701"/>
      <c r="AS158" s="701"/>
      <c r="AT158" s="701"/>
      <c r="AU158" s="701"/>
      <c r="AV158" s="701"/>
      <c r="AW158" s="701"/>
      <c r="AX158" s="701"/>
      <c r="AY158" s="701"/>
      <c r="AZ158" s="701"/>
      <c r="BA158" s="701"/>
      <c r="BB158" s="701"/>
      <c r="BC158" s="701"/>
    </row>
    <row r="159" spans="1:55" s="702" customFormat="1" ht="35.1" customHeight="1">
      <c r="A159" s="703">
        <v>156</v>
      </c>
      <c r="B159" s="704" t="s">
        <v>2252</v>
      </c>
      <c r="C159" s="705" t="s">
        <v>624</v>
      </c>
      <c r="D159" s="706">
        <v>113000</v>
      </c>
      <c r="E159" s="706">
        <v>113000</v>
      </c>
      <c r="F159" s="707" t="s">
        <v>2250</v>
      </c>
      <c r="G159" s="699"/>
      <c r="H159" s="700"/>
      <c r="I159" s="700"/>
      <c r="J159" s="700"/>
      <c r="K159" s="700"/>
      <c r="L159" s="700"/>
      <c r="M159" s="701"/>
      <c r="N159" s="701"/>
      <c r="O159" s="701"/>
      <c r="P159" s="701"/>
      <c r="Q159" s="701"/>
      <c r="R159" s="701"/>
      <c r="S159" s="701"/>
      <c r="T159" s="701"/>
      <c r="U159" s="701"/>
      <c r="V159" s="701"/>
      <c r="W159" s="701"/>
      <c r="X159" s="701"/>
      <c r="Y159" s="701"/>
      <c r="Z159" s="701"/>
      <c r="AA159" s="701"/>
      <c r="AB159" s="701"/>
      <c r="AC159" s="701"/>
      <c r="AD159" s="701"/>
      <c r="AE159" s="701"/>
      <c r="AF159" s="701"/>
      <c r="AG159" s="701"/>
      <c r="AH159" s="701"/>
      <c r="AI159" s="701"/>
      <c r="AJ159" s="701"/>
      <c r="AK159" s="701"/>
      <c r="AL159" s="701"/>
      <c r="AM159" s="701"/>
      <c r="AN159" s="701"/>
      <c r="AO159" s="701"/>
      <c r="AP159" s="701"/>
      <c r="AQ159" s="701"/>
      <c r="AR159" s="701"/>
      <c r="AS159" s="701"/>
      <c r="AT159" s="701"/>
      <c r="AU159" s="701"/>
      <c r="AV159" s="701"/>
      <c r="AW159" s="701"/>
      <c r="AX159" s="701"/>
      <c r="AY159" s="701"/>
      <c r="AZ159" s="701"/>
      <c r="BA159" s="701"/>
      <c r="BB159" s="701"/>
      <c r="BC159" s="701"/>
    </row>
    <row r="160" spans="1:55" s="702" customFormat="1" ht="35.1" customHeight="1">
      <c r="A160" s="703">
        <v>157</v>
      </c>
      <c r="B160" s="704" t="s">
        <v>2253</v>
      </c>
      <c r="C160" s="705" t="s">
        <v>624</v>
      </c>
      <c r="D160" s="706">
        <f>233000+150000</f>
        <v>383000</v>
      </c>
      <c r="E160" s="709">
        <f>329000+120000</f>
        <v>449000</v>
      </c>
      <c r="F160" s="707" t="s">
        <v>2250</v>
      </c>
      <c r="G160" s="699"/>
      <c r="H160" s="700"/>
      <c r="I160" s="700" t="s">
        <v>2254</v>
      </c>
      <c r="J160" s="700"/>
      <c r="K160" s="700"/>
      <c r="L160" s="700"/>
      <c r="M160" s="701"/>
      <c r="N160" s="701"/>
      <c r="O160" s="701"/>
      <c r="P160" s="701"/>
      <c r="Q160" s="701"/>
      <c r="R160" s="701"/>
      <c r="S160" s="701"/>
      <c r="T160" s="701"/>
      <c r="U160" s="701"/>
      <c r="V160" s="701"/>
      <c r="W160" s="701"/>
      <c r="X160" s="701"/>
      <c r="Y160" s="701"/>
      <c r="Z160" s="701"/>
      <c r="AA160" s="701"/>
      <c r="AB160" s="701"/>
      <c r="AC160" s="701"/>
      <c r="AD160" s="701"/>
      <c r="AE160" s="701"/>
      <c r="AF160" s="701"/>
      <c r="AG160" s="701"/>
      <c r="AH160" s="701"/>
      <c r="AI160" s="701"/>
      <c r="AJ160" s="701"/>
      <c r="AK160" s="701"/>
      <c r="AL160" s="701"/>
      <c r="AM160" s="701"/>
      <c r="AN160" s="701"/>
      <c r="AO160" s="701"/>
      <c r="AP160" s="701"/>
      <c r="AQ160" s="701"/>
      <c r="AR160" s="701"/>
      <c r="AS160" s="701"/>
      <c r="AT160" s="701"/>
      <c r="AU160" s="701"/>
      <c r="AV160" s="701"/>
      <c r="AW160" s="701"/>
      <c r="AX160" s="701"/>
      <c r="AY160" s="701"/>
      <c r="AZ160" s="701"/>
      <c r="BA160" s="701"/>
      <c r="BB160" s="701"/>
      <c r="BC160" s="701"/>
    </row>
    <row r="161" spans="1:55" s="702" customFormat="1" ht="35.1" customHeight="1">
      <c r="A161" s="703">
        <v>158</v>
      </c>
      <c r="B161" s="704" t="s">
        <v>2255</v>
      </c>
      <c r="C161" s="705" t="s">
        <v>624</v>
      </c>
      <c r="D161" s="706">
        <v>206000</v>
      </c>
      <c r="E161" s="706">
        <v>206000</v>
      </c>
      <c r="F161" s="707" t="s">
        <v>2250</v>
      </c>
      <c r="G161" s="699"/>
      <c r="H161" s="700"/>
      <c r="I161" s="700"/>
      <c r="J161" s="700"/>
      <c r="K161" s="700"/>
      <c r="L161" s="700"/>
      <c r="M161" s="701"/>
      <c r="N161" s="701"/>
      <c r="O161" s="701"/>
      <c r="P161" s="701"/>
      <c r="Q161" s="701"/>
      <c r="R161" s="701"/>
      <c r="S161" s="701"/>
      <c r="T161" s="701"/>
      <c r="U161" s="701"/>
      <c r="V161" s="701"/>
      <c r="W161" s="701"/>
      <c r="X161" s="701"/>
      <c r="Y161" s="701"/>
      <c r="Z161" s="701"/>
      <c r="AA161" s="701"/>
      <c r="AB161" s="701"/>
      <c r="AC161" s="701"/>
      <c r="AD161" s="701"/>
      <c r="AE161" s="701"/>
      <c r="AF161" s="701"/>
      <c r="AG161" s="701"/>
      <c r="AH161" s="701"/>
      <c r="AI161" s="701"/>
      <c r="AJ161" s="701"/>
      <c r="AK161" s="701"/>
      <c r="AL161" s="701"/>
      <c r="AM161" s="701"/>
      <c r="AN161" s="701"/>
      <c r="AO161" s="701"/>
      <c r="AP161" s="701"/>
      <c r="AQ161" s="701"/>
      <c r="AR161" s="701"/>
      <c r="AS161" s="701"/>
      <c r="AT161" s="701"/>
      <c r="AU161" s="701"/>
      <c r="AV161" s="701"/>
      <c r="AW161" s="701"/>
      <c r="AX161" s="701"/>
      <c r="AY161" s="701"/>
      <c r="AZ161" s="701"/>
      <c r="BA161" s="701"/>
      <c r="BB161" s="701"/>
      <c r="BC161" s="701"/>
    </row>
    <row r="162" spans="1:55" s="702" customFormat="1" ht="35.1" customHeight="1">
      <c r="A162" s="703">
        <v>159</v>
      </c>
      <c r="B162" s="704" t="s">
        <v>2256</v>
      </c>
      <c r="C162" s="705" t="s">
        <v>624</v>
      </c>
      <c r="D162" s="706">
        <v>493000</v>
      </c>
      <c r="E162" s="709">
        <v>493000</v>
      </c>
      <c r="F162" s="707" t="s">
        <v>2250</v>
      </c>
      <c r="G162" s="699"/>
      <c r="H162" s="700"/>
      <c r="I162" s="700" t="s">
        <v>2257</v>
      </c>
      <c r="J162" s="700"/>
      <c r="K162" s="700"/>
      <c r="L162" s="700"/>
      <c r="M162" s="701"/>
      <c r="N162" s="701"/>
      <c r="O162" s="701"/>
      <c r="P162" s="701"/>
      <c r="Q162" s="701"/>
      <c r="R162" s="701"/>
      <c r="S162" s="701"/>
      <c r="T162" s="701"/>
      <c r="U162" s="701"/>
      <c r="V162" s="701"/>
      <c r="W162" s="701"/>
      <c r="X162" s="701"/>
      <c r="Y162" s="701"/>
      <c r="Z162" s="701"/>
      <c r="AA162" s="701"/>
      <c r="AB162" s="701"/>
      <c r="AC162" s="701"/>
      <c r="AD162" s="701"/>
      <c r="AE162" s="701"/>
      <c r="AF162" s="701"/>
      <c r="AG162" s="701"/>
      <c r="AH162" s="701"/>
      <c r="AI162" s="701"/>
      <c r="AJ162" s="701"/>
      <c r="AK162" s="701"/>
      <c r="AL162" s="701"/>
      <c r="AM162" s="701"/>
      <c r="AN162" s="701"/>
      <c r="AO162" s="701"/>
      <c r="AP162" s="701"/>
      <c r="AQ162" s="701"/>
      <c r="AR162" s="701"/>
      <c r="AS162" s="701"/>
      <c r="AT162" s="701"/>
      <c r="AU162" s="701"/>
      <c r="AV162" s="701"/>
      <c r="AW162" s="701"/>
      <c r="AX162" s="701"/>
      <c r="AY162" s="701"/>
      <c r="AZ162" s="701"/>
      <c r="BA162" s="701"/>
      <c r="BB162" s="701"/>
      <c r="BC162" s="701"/>
    </row>
    <row r="163" spans="1:55" s="702" customFormat="1" ht="35.1" customHeight="1">
      <c r="A163" s="703">
        <v>160</v>
      </c>
      <c r="B163" s="704" t="s">
        <v>2258</v>
      </c>
      <c r="C163" s="705" t="s">
        <v>655</v>
      </c>
      <c r="D163" s="706">
        <v>0</v>
      </c>
      <c r="E163" s="706">
        <v>15000</v>
      </c>
      <c r="F163" s="707"/>
      <c r="G163" s="699" t="s">
        <v>2093</v>
      </c>
      <c r="H163" s="700"/>
      <c r="I163" s="700"/>
      <c r="J163" s="700"/>
      <c r="K163" s="700"/>
      <c r="L163" s="700"/>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1"/>
      <c r="AJ163" s="701"/>
      <c r="AK163" s="701"/>
      <c r="AL163" s="701"/>
      <c r="AM163" s="701"/>
      <c r="AN163" s="701"/>
      <c r="AO163" s="701"/>
      <c r="AP163" s="701"/>
      <c r="AQ163" s="701"/>
      <c r="AR163" s="701"/>
      <c r="AS163" s="701"/>
      <c r="AT163" s="701"/>
      <c r="AU163" s="701"/>
      <c r="AV163" s="701"/>
      <c r="AW163" s="701"/>
      <c r="AX163" s="701"/>
      <c r="AY163" s="701"/>
      <c r="AZ163" s="701"/>
      <c r="BA163" s="701"/>
      <c r="BB163" s="701"/>
      <c r="BC163" s="701"/>
    </row>
    <row r="164" spans="1:55" s="702" customFormat="1" ht="35.1" customHeight="1">
      <c r="A164" s="703">
        <v>161</v>
      </c>
      <c r="B164" s="704" t="s">
        <v>1736</v>
      </c>
      <c r="C164" s="705" t="s">
        <v>1730</v>
      </c>
      <c r="D164" s="708">
        <v>22000</v>
      </c>
      <c r="E164" s="708">
        <v>22000</v>
      </c>
      <c r="F164" s="707" t="s">
        <v>2201</v>
      </c>
      <c r="G164" s="699"/>
      <c r="H164" s="700"/>
      <c r="I164" s="700"/>
      <c r="J164" s="700"/>
      <c r="K164" s="700"/>
      <c r="L164" s="700"/>
      <c r="M164" s="701"/>
      <c r="N164" s="701"/>
      <c r="O164" s="701"/>
      <c r="P164" s="701"/>
      <c r="Q164" s="701"/>
      <c r="R164" s="701"/>
      <c r="S164" s="701"/>
      <c r="T164" s="701"/>
      <c r="U164" s="701"/>
      <c r="V164" s="701"/>
      <c r="W164" s="701"/>
      <c r="X164" s="701"/>
      <c r="Y164" s="701"/>
      <c r="Z164" s="701"/>
      <c r="AA164" s="701"/>
      <c r="AB164" s="701"/>
      <c r="AC164" s="701"/>
      <c r="AD164" s="701"/>
      <c r="AE164" s="701"/>
      <c r="AF164" s="701"/>
      <c r="AG164" s="701"/>
      <c r="AH164" s="701"/>
      <c r="AI164" s="701"/>
      <c r="AJ164" s="701"/>
      <c r="AK164" s="701"/>
      <c r="AL164" s="701"/>
      <c r="AM164" s="701"/>
      <c r="AN164" s="701"/>
      <c r="AO164" s="701"/>
      <c r="AP164" s="701"/>
      <c r="AQ164" s="701"/>
      <c r="AR164" s="701"/>
      <c r="AS164" s="701"/>
      <c r="AT164" s="701"/>
      <c r="AU164" s="701"/>
      <c r="AV164" s="701"/>
      <c r="AW164" s="701"/>
      <c r="AX164" s="701"/>
      <c r="AY164" s="701"/>
      <c r="AZ164" s="701"/>
      <c r="BA164" s="701"/>
      <c r="BB164" s="701"/>
      <c r="BC164" s="701"/>
    </row>
    <row r="165" spans="1:55" s="702" customFormat="1" ht="35.1" customHeight="1">
      <c r="A165" s="703">
        <v>162</v>
      </c>
      <c r="B165" s="704" t="s">
        <v>1800</v>
      </c>
      <c r="C165" s="705" t="s">
        <v>655</v>
      </c>
      <c r="D165" s="706">
        <v>1500</v>
      </c>
      <c r="E165" s="706">
        <v>1500</v>
      </c>
      <c r="F165" s="707" t="s">
        <v>2201</v>
      </c>
      <c r="G165" s="699"/>
      <c r="H165" s="700"/>
      <c r="I165" s="700"/>
      <c r="J165" s="700"/>
      <c r="K165" s="700"/>
      <c r="L165" s="700"/>
      <c r="M165" s="701"/>
      <c r="N165" s="701"/>
      <c r="O165" s="701"/>
      <c r="P165" s="701"/>
      <c r="Q165" s="701"/>
      <c r="R165" s="701"/>
      <c r="S165" s="701"/>
      <c r="T165" s="701"/>
      <c r="U165" s="701"/>
      <c r="V165" s="701"/>
      <c r="W165" s="701"/>
      <c r="X165" s="701"/>
      <c r="Y165" s="701"/>
      <c r="Z165" s="701"/>
      <c r="AA165" s="701"/>
      <c r="AB165" s="701"/>
      <c r="AC165" s="701"/>
      <c r="AD165" s="701"/>
      <c r="AE165" s="701"/>
      <c r="AF165" s="701"/>
      <c r="AG165" s="701"/>
      <c r="AH165" s="701"/>
      <c r="AI165" s="701"/>
      <c r="AJ165" s="701"/>
      <c r="AK165" s="701"/>
      <c r="AL165" s="701"/>
      <c r="AM165" s="701"/>
      <c r="AN165" s="701"/>
      <c r="AO165" s="701"/>
      <c r="AP165" s="701"/>
      <c r="AQ165" s="701"/>
      <c r="AR165" s="701"/>
      <c r="AS165" s="701"/>
      <c r="AT165" s="701"/>
      <c r="AU165" s="701"/>
      <c r="AV165" s="701"/>
      <c r="AW165" s="701"/>
      <c r="AX165" s="701"/>
      <c r="AY165" s="701"/>
      <c r="AZ165" s="701"/>
      <c r="BA165" s="701"/>
      <c r="BB165" s="701"/>
      <c r="BC165" s="701"/>
    </row>
    <row r="166" spans="1:55" s="702" customFormat="1" ht="35.1" customHeight="1">
      <c r="A166" s="703">
        <v>163</v>
      </c>
      <c r="B166" s="704" t="s">
        <v>2259</v>
      </c>
      <c r="C166" s="705" t="s">
        <v>655</v>
      </c>
      <c r="D166" s="706">
        <v>1000</v>
      </c>
      <c r="E166" s="706">
        <v>1000</v>
      </c>
      <c r="F166" s="707" t="s">
        <v>2201</v>
      </c>
      <c r="G166" s="699"/>
      <c r="H166" s="700"/>
      <c r="I166" s="700"/>
      <c r="J166" s="700"/>
      <c r="K166" s="700"/>
      <c r="L166" s="700"/>
      <c r="M166" s="701"/>
      <c r="N166" s="701"/>
      <c r="O166" s="701"/>
      <c r="P166" s="701"/>
      <c r="Q166" s="701"/>
      <c r="R166" s="701"/>
      <c r="S166" s="701"/>
      <c r="T166" s="701"/>
      <c r="U166" s="701"/>
      <c r="V166" s="701"/>
      <c r="W166" s="701"/>
      <c r="X166" s="701"/>
      <c r="Y166" s="701"/>
      <c r="Z166" s="701"/>
      <c r="AA166" s="701"/>
      <c r="AB166" s="701"/>
      <c r="AC166" s="701"/>
      <c r="AD166" s="701"/>
      <c r="AE166" s="701"/>
      <c r="AF166" s="701"/>
      <c r="AG166" s="701"/>
      <c r="AH166" s="701"/>
      <c r="AI166" s="701"/>
      <c r="AJ166" s="701"/>
      <c r="AK166" s="701"/>
      <c r="AL166" s="701"/>
      <c r="AM166" s="701"/>
      <c r="AN166" s="701"/>
      <c r="AO166" s="701"/>
      <c r="AP166" s="701"/>
      <c r="AQ166" s="701"/>
      <c r="AR166" s="701"/>
      <c r="AS166" s="701"/>
      <c r="AT166" s="701"/>
      <c r="AU166" s="701"/>
      <c r="AV166" s="701"/>
      <c r="AW166" s="701"/>
      <c r="AX166" s="701"/>
      <c r="AY166" s="701"/>
      <c r="AZ166" s="701"/>
      <c r="BA166" s="701"/>
      <c r="BB166" s="701"/>
      <c r="BC166" s="701"/>
    </row>
    <row r="167" spans="1:55" s="702" customFormat="1" ht="35.1" customHeight="1">
      <c r="A167" s="703">
        <v>164</v>
      </c>
      <c r="B167" s="704" t="s">
        <v>2260</v>
      </c>
      <c r="C167" s="705" t="s">
        <v>677</v>
      </c>
      <c r="D167" s="706">
        <v>147182</v>
      </c>
      <c r="E167" s="706">
        <v>147182</v>
      </c>
      <c r="F167" s="707" t="s">
        <v>2261</v>
      </c>
      <c r="G167" s="699"/>
      <c r="H167" s="700"/>
      <c r="I167" s="700" t="s">
        <v>2061</v>
      </c>
      <c r="J167" s="700"/>
      <c r="K167" s="700"/>
      <c r="L167" s="700"/>
      <c r="M167" s="701"/>
      <c r="N167" s="701"/>
      <c r="O167" s="701"/>
      <c r="P167" s="701"/>
      <c r="Q167" s="701"/>
      <c r="R167" s="701"/>
      <c r="S167" s="701"/>
      <c r="T167" s="701"/>
      <c r="U167" s="701"/>
      <c r="V167" s="701"/>
      <c r="W167" s="701"/>
      <c r="X167" s="701"/>
      <c r="Y167" s="701"/>
      <c r="Z167" s="701"/>
      <c r="AA167" s="701"/>
      <c r="AB167" s="701"/>
      <c r="AC167" s="701"/>
      <c r="AD167" s="701"/>
      <c r="AE167" s="701"/>
      <c r="AF167" s="701"/>
      <c r="AG167" s="701"/>
      <c r="AH167" s="701"/>
      <c r="AI167" s="701"/>
      <c r="AJ167" s="701"/>
      <c r="AK167" s="701"/>
      <c r="AL167" s="701"/>
      <c r="AM167" s="701"/>
      <c r="AN167" s="701"/>
      <c r="AO167" s="701"/>
      <c r="AP167" s="701"/>
      <c r="AQ167" s="701"/>
      <c r="AR167" s="701"/>
      <c r="AS167" s="701"/>
      <c r="AT167" s="701"/>
      <c r="AU167" s="701"/>
      <c r="AV167" s="701"/>
      <c r="AW167" s="701"/>
      <c r="AX167" s="701"/>
      <c r="AY167" s="701"/>
      <c r="AZ167" s="701"/>
      <c r="BA167" s="701"/>
      <c r="BB167" s="701"/>
      <c r="BC167" s="701"/>
    </row>
    <row r="168" spans="1:55" s="702" customFormat="1" ht="35.1" customHeight="1">
      <c r="A168" s="703">
        <v>165</v>
      </c>
      <c r="B168" s="704" t="s">
        <v>2262</v>
      </c>
      <c r="C168" s="705" t="s">
        <v>677</v>
      </c>
      <c r="D168" s="706">
        <v>156363</v>
      </c>
      <c r="E168" s="706">
        <v>156363</v>
      </c>
      <c r="F168" s="707" t="s">
        <v>2261</v>
      </c>
      <c r="G168" s="699"/>
      <c r="H168" s="700"/>
      <c r="I168" s="700" t="s">
        <v>2061</v>
      </c>
      <c r="J168" s="700"/>
      <c r="K168" s="700"/>
      <c r="L168" s="700"/>
      <c r="M168" s="701"/>
      <c r="N168" s="701"/>
      <c r="O168" s="701"/>
      <c r="P168" s="701"/>
      <c r="Q168" s="701"/>
      <c r="R168" s="701"/>
      <c r="S168" s="701"/>
      <c r="T168" s="701"/>
      <c r="U168" s="701"/>
      <c r="V168" s="701"/>
      <c r="W168" s="701"/>
      <c r="X168" s="701"/>
      <c r="Y168" s="701"/>
      <c r="Z168" s="701"/>
      <c r="AA168" s="701"/>
      <c r="AB168" s="701"/>
      <c r="AC168" s="701"/>
      <c r="AD168" s="701"/>
      <c r="AE168" s="701"/>
      <c r="AF168" s="701"/>
      <c r="AG168" s="701"/>
      <c r="AH168" s="701"/>
      <c r="AI168" s="701"/>
      <c r="AJ168" s="701"/>
      <c r="AK168" s="701"/>
      <c r="AL168" s="701"/>
      <c r="AM168" s="701"/>
      <c r="AN168" s="701"/>
      <c r="AO168" s="701"/>
      <c r="AP168" s="701"/>
      <c r="AQ168" s="701"/>
      <c r="AR168" s="701"/>
      <c r="AS168" s="701"/>
      <c r="AT168" s="701"/>
      <c r="AU168" s="701"/>
      <c r="AV168" s="701"/>
      <c r="AW168" s="701"/>
      <c r="AX168" s="701"/>
      <c r="AY168" s="701"/>
      <c r="AZ168" s="701"/>
      <c r="BA168" s="701"/>
      <c r="BB168" s="701"/>
      <c r="BC168" s="701"/>
    </row>
    <row r="169" spans="1:55" s="702" customFormat="1" ht="35.1" customHeight="1">
      <c r="A169" s="703">
        <v>166</v>
      </c>
      <c r="B169" s="704" t="s">
        <v>2263</v>
      </c>
      <c r="C169" s="705" t="s">
        <v>677</v>
      </c>
      <c r="D169" s="706">
        <v>244545</v>
      </c>
      <c r="E169" s="706">
        <v>244545</v>
      </c>
      <c r="F169" s="707" t="s">
        <v>2261</v>
      </c>
      <c r="G169" s="699"/>
      <c r="H169" s="700"/>
      <c r="I169" s="700" t="s">
        <v>2061</v>
      </c>
      <c r="J169" s="700"/>
      <c r="K169" s="700"/>
      <c r="L169" s="700"/>
      <c r="M169" s="701"/>
      <c r="N169" s="701"/>
      <c r="O169" s="701"/>
      <c r="P169" s="701"/>
      <c r="Q169" s="701"/>
      <c r="R169" s="701"/>
      <c r="S169" s="701"/>
      <c r="T169" s="701"/>
      <c r="U169" s="701"/>
      <c r="V169" s="701"/>
      <c r="W169" s="701"/>
      <c r="X169" s="701"/>
      <c r="Y169" s="701"/>
      <c r="Z169" s="701"/>
      <c r="AA169" s="701"/>
      <c r="AB169" s="701"/>
      <c r="AC169" s="701"/>
      <c r="AD169" s="701"/>
      <c r="AE169" s="701"/>
      <c r="AF169" s="701"/>
      <c r="AG169" s="701"/>
      <c r="AH169" s="701"/>
      <c r="AI169" s="701"/>
      <c r="AJ169" s="701"/>
      <c r="AK169" s="701"/>
      <c r="AL169" s="701"/>
      <c r="AM169" s="701"/>
      <c r="AN169" s="701"/>
      <c r="AO169" s="701"/>
      <c r="AP169" s="701"/>
      <c r="AQ169" s="701"/>
      <c r="AR169" s="701"/>
      <c r="AS169" s="701"/>
      <c r="AT169" s="701"/>
      <c r="AU169" s="701"/>
      <c r="AV169" s="701"/>
      <c r="AW169" s="701"/>
      <c r="AX169" s="701"/>
      <c r="AY169" s="701"/>
      <c r="AZ169" s="701"/>
      <c r="BA169" s="701"/>
      <c r="BB169" s="701"/>
      <c r="BC169" s="701"/>
    </row>
    <row r="170" spans="1:55" s="702" customFormat="1" ht="35.1" customHeight="1">
      <c r="A170" s="703">
        <v>167</v>
      </c>
      <c r="B170" s="704" t="s">
        <v>2264</v>
      </c>
      <c r="C170" s="705" t="s">
        <v>677</v>
      </c>
      <c r="D170" s="706">
        <v>177273</v>
      </c>
      <c r="E170" s="706">
        <v>177273</v>
      </c>
      <c r="F170" s="707" t="s">
        <v>2261</v>
      </c>
      <c r="G170" s="699"/>
      <c r="H170" s="700"/>
      <c r="I170" s="700" t="s">
        <v>2061</v>
      </c>
      <c r="J170" s="700"/>
      <c r="K170" s="700"/>
      <c r="L170" s="700"/>
      <c r="M170" s="701"/>
      <c r="N170" s="701"/>
      <c r="O170" s="701"/>
      <c r="P170" s="701"/>
      <c r="Q170" s="701"/>
      <c r="R170" s="701"/>
      <c r="S170" s="701"/>
      <c r="T170" s="701"/>
      <c r="U170" s="701"/>
      <c r="V170" s="701"/>
      <c r="W170" s="701"/>
      <c r="X170" s="701"/>
      <c r="Y170" s="701"/>
      <c r="Z170" s="701"/>
      <c r="AA170" s="701"/>
      <c r="AB170" s="701"/>
      <c r="AC170" s="701"/>
      <c r="AD170" s="701"/>
      <c r="AE170" s="701"/>
      <c r="AF170" s="701"/>
      <c r="AG170" s="701"/>
      <c r="AH170" s="701"/>
      <c r="AI170" s="701"/>
      <c r="AJ170" s="701"/>
      <c r="AK170" s="701"/>
      <c r="AL170" s="701"/>
      <c r="AM170" s="701"/>
      <c r="AN170" s="701"/>
      <c r="AO170" s="701"/>
      <c r="AP170" s="701"/>
      <c r="AQ170" s="701"/>
      <c r="AR170" s="701"/>
      <c r="AS170" s="701"/>
      <c r="AT170" s="701"/>
      <c r="AU170" s="701"/>
      <c r="AV170" s="701"/>
      <c r="AW170" s="701"/>
      <c r="AX170" s="701"/>
      <c r="AY170" s="701"/>
      <c r="AZ170" s="701"/>
      <c r="BA170" s="701"/>
      <c r="BB170" s="701"/>
      <c r="BC170" s="701"/>
    </row>
    <row r="171" spans="1:55" s="702" customFormat="1" ht="35.1" customHeight="1">
      <c r="A171" s="703">
        <v>168</v>
      </c>
      <c r="B171" s="704" t="s">
        <v>2265</v>
      </c>
      <c r="C171" s="705" t="s">
        <v>1722</v>
      </c>
      <c r="D171" s="706">
        <v>157545</v>
      </c>
      <c r="E171" s="706">
        <v>157545</v>
      </c>
      <c r="F171" s="707" t="s">
        <v>2261</v>
      </c>
      <c r="G171" s="699"/>
      <c r="H171" s="700"/>
      <c r="I171" s="700" t="s">
        <v>2061</v>
      </c>
      <c r="J171" s="700"/>
      <c r="K171" s="700"/>
      <c r="L171" s="700"/>
      <c r="M171" s="701"/>
      <c r="N171" s="701"/>
      <c r="O171" s="701"/>
      <c r="P171" s="701"/>
      <c r="Q171" s="701"/>
      <c r="R171" s="701"/>
      <c r="S171" s="701"/>
      <c r="T171" s="701"/>
      <c r="U171" s="701"/>
      <c r="V171" s="701"/>
      <c r="W171" s="701"/>
      <c r="X171" s="701"/>
      <c r="Y171" s="701"/>
      <c r="Z171" s="701"/>
      <c r="AA171" s="701"/>
      <c r="AB171" s="701"/>
      <c r="AC171" s="701"/>
      <c r="AD171" s="701"/>
      <c r="AE171" s="701"/>
      <c r="AF171" s="701"/>
      <c r="AG171" s="701"/>
      <c r="AH171" s="701"/>
      <c r="AI171" s="701"/>
      <c r="AJ171" s="701"/>
      <c r="AK171" s="701"/>
      <c r="AL171" s="701"/>
      <c r="AM171" s="701"/>
      <c r="AN171" s="701"/>
      <c r="AO171" s="701"/>
      <c r="AP171" s="701"/>
      <c r="AQ171" s="701"/>
      <c r="AR171" s="701"/>
      <c r="AS171" s="701"/>
      <c r="AT171" s="701"/>
      <c r="AU171" s="701"/>
      <c r="AV171" s="701"/>
      <c r="AW171" s="701"/>
      <c r="AX171" s="701"/>
      <c r="AY171" s="701"/>
      <c r="AZ171" s="701"/>
      <c r="BA171" s="701"/>
      <c r="BB171" s="701"/>
      <c r="BC171" s="701"/>
    </row>
    <row r="172" spans="1:55" s="702" customFormat="1" ht="35.1" customHeight="1">
      <c r="A172" s="703">
        <v>169</v>
      </c>
      <c r="B172" s="704" t="s">
        <v>2266</v>
      </c>
      <c r="C172" s="705" t="s">
        <v>1808</v>
      </c>
      <c r="D172" s="706">
        <v>1160</v>
      </c>
      <c r="E172" s="706">
        <v>1160</v>
      </c>
      <c r="F172" s="707" t="s">
        <v>2267</v>
      </c>
      <c r="G172" s="699"/>
      <c r="H172" s="700"/>
      <c r="I172" s="700" t="s">
        <v>2061</v>
      </c>
      <c r="J172" s="700"/>
      <c r="K172" s="700"/>
      <c r="L172" s="700"/>
      <c r="M172" s="701"/>
      <c r="N172" s="701"/>
      <c r="O172" s="701"/>
      <c r="P172" s="701"/>
      <c r="Q172" s="701"/>
      <c r="R172" s="701"/>
      <c r="S172" s="701"/>
      <c r="T172" s="701"/>
      <c r="U172" s="701"/>
      <c r="V172" s="701"/>
      <c r="W172" s="701"/>
      <c r="X172" s="701"/>
      <c r="Y172" s="701"/>
      <c r="Z172" s="701"/>
      <c r="AA172" s="701"/>
      <c r="AB172" s="701"/>
      <c r="AC172" s="701"/>
      <c r="AD172" s="701"/>
      <c r="AE172" s="701"/>
      <c r="AF172" s="701"/>
      <c r="AG172" s="701"/>
      <c r="AH172" s="701"/>
      <c r="AI172" s="701"/>
      <c r="AJ172" s="701"/>
      <c r="AK172" s="701"/>
      <c r="AL172" s="701"/>
      <c r="AM172" s="701"/>
      <c r="AN172" s="701"/>
      <c r="AO172" s="701"/>
      <c r="AP172" s="701"/>
      <c r="AQ172" s="701"/>
      <c r="AR172" s="701"/>
      <c r="AS172" s="701"/>
      <c r="AT172" s="701"/>
      <c r="AU172" s="701"/>
      <c r="AV172" s="701"/>
      <c r="AW172" s="701"/>
      <c r="AX172" s="701"/>
      <c r="AY172" s="701"/>
      <c r="AZ172" s="701"/>
      <c r="BA172" s="701"/>
      <c r="BB172" s="701"/>
      <c r="BC172" s="701"/>
    </row>
    <row r="173" spans="1:55" s="702" customFormat="1" ht="35.1" customHeight="1">
      <c r="A173" s="703">
        <v>170</v>
      </c>
      <c r="B173" s="704" t="s">
        <v>2268</v>
      </c>
      <c r="C173" s="705" t="s">
        <v>1808</v>
      </c>
      <c r="D173" s="706">
        <v>1420</v>
      </c>
      <c r="E173" s="706">
        <v>1420</v>
      </c>
      <c r="F173" s="707" t="s">
        <v>2267</v>
      </c>
      <c r="G173" s="699"/>
      <c r="H173" s="700"/>
      <c r="I173" s="700" t="s">
        <v>2061</v>
      </c>
      <c r="J173" s="700"/>
      <c r="K173" s="700"/>
      <c r="L173" s="700"/>
      <c r="M173" s="701"/>
      <c r="N173" s="701"/>
      <c r="O173" s="701"/>
      <c r="P173" s="701"/>
      <c r="Q173" s="701"/>
      <c r="R173" s="701"/>
      <c r="S173" s="701"/>
      <c r="T173" s="701"/>
      <c r="U173" s="701"/>
      <c r="V173" s="701"/>
      <c r="W173" s="701"/>
      <c r="X173" s="701"/>
      <c r="Y173" s="701"/>
      <c r="Z173" s="701"/>
      <c r="AA173" s="701"/>
      <c r="AB173" s="701"/>
      <c r="AC173" s="701"/>
      <c r="AD173" s="701"/>
      <c r="AE173" s="701"/>
      <c r="AF173" s="701"/>
      <c r="AG173" s="701"/>
      <c r="AH173" s="701"/>
      <c r="AI173" s="701"/>
      <c r="AJ173" s="701"/>
      <c r="AK173" s="701"/>
      <c r="AL173" s="701"/>
      <c r="AM173" s="701"/>
      <c r="AN173" s="701"/>
      <c r="AO173" s="701"/>
      <c r="AP173" s="701"/>
      <c r="AQ173" s="701"/>
      <c r="AR173" s="701"/>
      <c r="AS173" s="701"/>
      <c r="AT173" s="701"/>
      <c r="AU173" s="701"/>
      <c r="AV173" s="701"/>
      <c r="AW173" s="701"/>
      <c r="AX173" s="701"/>
      <c r="AY173" s="701"/>
      <c r="AZ173" s="701"/>
      <c r="BA173" s="701"/>
      <c r="BB173" s="701"/>
      <c r="BC173" s="701"/>
    </row>
    <row r="174" spans="1:55" s="702" customFormat="1" ht="35.1" customHeight="1">
      <c r="A174" s="703">
        <v>171</v>
      </c>
      <c r="B174" s="704" t="s">
        <v>2269</v>
      </c>
      <c r="C174" s="705" t="s">
        <v>677</v>
      </c>
      <c r="D174" s="708">
        <v>229604</v>
      </c>
      <c r="E174" s="708">
        <v>229604</v>
      </c>
      <c r="F174" s="707" t="s">
        <v>2270</v>
      </c>
      <c r="G174" s="699"/>
      <c r="H174" s="700"/>
      <c r="I174" s="700" t="s">
        <v>2061</v>
      </c>
      <c r="J174" s="700"/>
      <c r="K174" s="700"/>
      <c r="L174" s="700"/>
      <c r="M174" s="701"/>
      <c r="N174" s="701"/>
      <c r="O174" s="701"/>
      <c r="P174" s="701"/>
      <c r="Q174" s="701"/>
      <c r="R174" s="701"/>
      <c r="S174" s="701"/>
      <c r="T174" s="701"/>
      <c r="U174" s="701"/>
      <c r="V174" s="701"/>
      <c r="W174" s="701"/>
      <c r="X174" s="701"/>
      <c r="Y174" s="701"/>
      <c r="Z174" s="701"/>
      <c r="AA174" s="701"/>
      <c r="AB174" s="701"/>
      <c r="AC174" s="701"/>
      <c r="AD174" s="701"/>
      <c r="AE174" s="701"/>
      <c r="AF174" s="701"/>
      <c r="AG174" s="701"/>
      <c r="AH174" s="701"/>
      <c r="AI174" s="701"/>
      <c r="AJ174" s="701"/>
      <c r="AK174" s="701"/>
      <c r="AL174" s="701"/>
      <c r="AM174" s="701"/>
      <c r="AN174" s="701"/>
      <c r="AO174" s="701"/>
      <c r="AP174" s="701"/>
      <c r="AQ174" s="701"/>
      <c r="AR174" s="701"/>
      <c r="AS174" s="701"/>
      <c r="AT174" s="701"/>
      <c r="AU174" s="701"/>
      <c r="AV174" s="701"/>
      <c r="AW174" s="701"/>
      <c r="AX174" s="701"/>
      <c r="AY174" s="701"/>
      <c r="AZ174" s="701"/>
      <c r="BA174" s="701"/>
      <c r="BB174" s="701"/>
      <c r="BC174" s="701"/>
    </row>
    <row r="175" spans="1:55" s="702" customFormat="1" ht="35.1" customHeight="1">
      <c r="A175" s="703">
        <v>172</v>
      </c>
      <c r="B175" s="704" t="s">
        <v>2271</v>
      </c>
      <c r="C175" s="705" t="s">
        <v>677</v>
      </c>
      <c r="D175" s="706">
        <v>200000</v>
      </c>
      <c r="E175" s="706">
        <v>200000</v>
      </c>
      <c r="F175" s="707" t="s">
        <v>2201</v>
      </c>
      <c r="G175" s="699"/>
      <c r="H175" s="700"/>
      <c r="I175" s="700" t="s">
        <v>2061</v>
      </c>
      <c r="J175" s="700"/>
      <c r="K175" s="700"/>
      <c r="L175" s="700"/>
      <c r="M175" s="701"/>
      <c r="N175" s="701"/>
      <c r="O175" s="701"/>
      <c r="P175" s="701"/>
      <c r="Q175" s="701"/>
      <c r="R175" s="701"/>
      <c r="S175" s="701"/>
      <c r="T175" s="701"/>
      <c r="U175" s="701"/>
      <c r="V175" s="701"/>
      <c r="W175" s="701"/>
      <c r="X175" s="701"/>
      <c r="Y175" s="701"/>
      <c r="Z175" s="701"/>
      <c r="AA175" s="701"/>
      <c r="AB175" s="701"/>
      <c r="AC175" s="701"/>
      <c r="AD175" s="701"/>
      <c r="AE175" s="701"/>
      <c r="AF175" s="701"/>
      <c r="AG175" s="701"/>
      <c r="AH175" s="701"/>
      <c r="AI175" s="701"/>
      <c r="AJ175" s="701"/>
      <c r="AK175" s="701"/>
      <c r="AL175" s="701"/>
      <c r="AM175" s="701"/>
      <c r="AN175" s="701"/>
      <c r="AO175" s="701"/>
      <c r="AP175" s="701"/>
      <c r="AQ175" s="701"/>
      <c r="AR175" s="701"/>
      <c r="AS175" s="701"/>
      <c r="AT175" s="701"/>
      <c r="AU175" s="701"/>
      <c r="AV175" s="701"/>
      <c r="AW175" s="701"/>
      <c r="AX175" s="701"/>
      <c r="AY175" s="701"/>
      <c r="AZ175" s="701"/>
      <c r="BA175" s="701"/>
      <c r="BB175" s="701"/>
      <c r="BC175" s="701"/>
    </row>
    <row r="176" spans="1:55" s="702" customFormat="1" ht="35.1" customHeight="1">
      <c r="A176" s="703">
        <v>173</v>
      </c>
      <c r="B176" s="704" t="s">
        <v>2272</v>
      </c>
      <c r="C176" s="705" t="s">
        <v>677</v>
      </c>
      <c r="D176" s="706">
        <v>137460</v>
      </c>
      <c r="E176" s="706">
        <v>137460</v>
      </c>
      <c r="F176" s="707" t="s">
        <v>2270</v>
      </c>
      <c r="G176" s="699"/>
      <c r="H176" s="700"/>
      <c r="I176" s="700"/>
      <c r="J176" s="700"/>
      <c r="K176" s="700"/>
      <c r="L176" s="700"/>
      <c r="M176" s="701"/>
      <c r="N176" s="701"/>
      <c r="O176" s="701"/>
      <c r="P176" s="701"/>
      <c r="Q176" s="701"/>
      <c r="R176" s="701"/>
      <c r="S176" s="701"/>
      <c r="T176" s="701"/>
      <c r="U176" s="701"/>
      <c r="V176" s="701"/>
      <c r="W176" s="701"/>
      <c r="X176" s="701"/>
      <c r="Y176" s="701"/>
      <c r="Z176" s="701"/>
      <c r="AA176" s="701"/>
      <c r="AB176" s="701"/>
      <c r="AC176" s="701"/>
      <c r="AD176" s="701"/>
      <c r="AE176" s="701"/>
      <c r="AF176" s="701"/>
      <c r="AG176" s="701"/>
      <c r="AH176" s="701"/>
      <c r="AI176" s="701"/>
      <c r="AJ176" s="701"/>
      <c r="AK176" s="701"/>
      <c r="AL176" s="701"/>
      <c r="AM176" s="701"/>
      <c r="AN176" s="701"/>
      <c r="AO176" s="701"/>
      <c r="AP176" s="701"/>
      <c r="AQ176" s="701"/>
      <c r="AR176" s="701"/>
      <c r="AS176" s="701"/>
      <c r="AT176" s="701"/>
      <c r="AU176" s="701"/>
      <c r="AV176" s="701"/>
      <c r="AW176" s="701"/>
      <c r="AX176" s="701"/>
      <c r="AY176" s="701"/>
      <c r="AZ176" s="701"/>
      <c r="BA176" s="701"/>
      <c r="BB176" s="701"/>
      <c r="BC176" s="701"/>
    </row>
    <row r="177" spans="1:55" s="702" customFormat="1" ht="35.1" customHeight="1">
      <c r="A177" s="703">
        <v>174</v>
      </c>
      <c r="B177" s="704" t="s">
        <v>2273</v>
      </c>
      <c r="C177" s="705" t="s">
        <v>677</v>
      </c>
      <c r="D177" s="706">
        <f>D180+30000</f>
        <v>226272</v>
      </c>
      <c r="E177" s="706">
        <f>E180+30000</f>
        <v>226272</v>
      </c>
      <c r="F177" s="707" t="s">
        <v>2274</v>
      </c>
      <c r="G177" s="699"/>
      <c r="H177" s="700"/>
      <c r="I177" s="700" t="s">
        <v>2061</v>
      </c>
      <c r="J177" s="700"/>
      <c r="K177" s="700"/>
      <c r="L177" s="700"/>
      <c r="M177" s="701"/>
      <c r="N177" s="701"/>
      <c r="O177" s="701"/>
      <c r="P177" s="701"/>
      <c r="Q177" s="701"/>
      <c r="R177" s="701"/>
      <c r="S177" s="701"/>
      <c r="T177" s="701"/>
      <c r="U177" s="701"/>
      <c r="V177" s="701"/>
      <c r="W177" s="701"/>
      <c r="X177" s="701"/>
      <c r="Y177" s="701"/>
      <c r="Z177" s="701"/>
      <c r="AA177" s="701"/>
      <c r="AB177" s="701"/>
      <c r="AC177" s="701"/>
      <c r="AD177" s="701"/>
      <c r="AE177" s="701"/>
      <c r="AF177" s="701"/>
      <c r="AG177" s="701"/>
      <c r="AH177" s="701"/>
      <c r="AI177" s="701"/>
      <c r="AJ177" s="701"/>
      <c r="AK177" s="701"/>
      <c r="AL177" s="701"/>
      <c r="AM177" s="701"/>
      <c r="AN177" s="701"/>
      <c r="AO177" s="701"/>
      <c r="AP177" s="701"/>
      <c r="AQ177" s="701"/>
      <c r="AR177" s="701"/>
      <c r="AS177" s="701"/>
      <c r="AT177" s="701"/>
      <c r="AU177" s="701"/>
      <c r="AV177" s="701"/>
      <c r="AW177" s="701"/>
      <c r="AX177" s="701"/>
      <c r="AY177" s="701"/>
      <c r="AZ177" s="701"/>
      <c r="BA177" s="701"/>
      <c r="BB177" s="701"/>
      <c r="BC177" s="701"/>
    </row>
    <row r="178" spans="1:55" s="702" customFormat="1" ht="35.1" customHeight="1">
      <c r="A178" s="703">
        <v>175</v>
      </c>
      <c r="B178" s="704" t="s">
        <v>2275</v>
      </c>
      <c r="C178" s="705" t="s">
        <v>677</v>
      </c>
      <c r="D178" s="706">
        <f>D181+30000</f>
        <v>250000</v>
      </c>
      <c r="E178" s="706">
        <v>250000</v>
      </c>
      <c r="F178" s="707" t="s">
        <v>2274</v>
      </c>
      <c r="G178" s="699"/>
      <c r="H178" s="700"/>
      <c r="I178" s="700" t="s">
        <v>2061</v>
      </c>
      <c r="J178" s="700"/>
      <c r="K178" s="700"/>
      <c r="L178" s="700"/>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1"/>
      <c r="AJ178" s="701"/>
      <c r="AK178" s="701"/>
      <c r="AL178" s="701"/>
      <c r="AM178" s="701"/>
      <c r="AN178" s="701"/>
      <c r="AO178" s="701"/>
      <c r="AP178" s="701"/>
      <c r="AQ178" s="701"/>
      <c r="AR178" s="701"/>
      <c r="AS178" s="701"/>
      <c r="AT178" s="701"/>
      <c r="AU178" s="701"/>
      <c r="AV178" s="701"/>
      <c r="AW178" s="701"/>
      <c r="AX178" s="701"/>
      <c r="AY178" s="701"/>
      <c r="AZ178" s="701"/>
      <c r="BA178" s="701"/>
      <c r="BB178" s="701"/>
      <c r="BC178" s="701"/>
    </row>
    <row r="179" spans="1:55" s="701" customFormat="1" ht="35.1" customHeight="1">
      <c r="A179" s="703">
        <v>176</v>
      </c>
      <c r="B179" s="704" t="s">
        <v>2276</v>
      </c>
      <c r="C179" s="705" t="s">
        <v>677</v>
      </c>
      <c r="D179" s="706">
        <v>250000</v>
      </c>
      <c r="E179" s="706">
        <v>250000</v>
      </c>
      <c r="F179" s="707" t="s">
        <v>2274</v>
      </c>
      <c r="G179" s="699"/>
      <c r="H179" s="700"/>
      <c r="I179" s="700" t="s">
        <v>2061</v>
      </c>
      <c r="J179" s="700"/>
      <c r="K179" s="700"/>
      <c r="L179" s="700"/>
    </row>
    <row r="180" spans="1:55" s="701" customFormat="1" ht="35.1" customHeight="1">
      <c r="A180" s="703">
        <v>177</v>
      </c>
      <c r="B180" s="704" t="s">
        <v>2277</v>
      </c>
      <c r="C180" s="705" t="s">
        <v>677</v>
      </c>
      <c r="D180" s="706">
        <v>196272</v>
      </c>
      <c r="E180" s="706">
        <v>196272</v>
      </c>
      <c r="F180" s="707" t="s">
        <v>2261</v>
      </c>
      <c r="G180" s="699"/>
      <c r="H180" s="700"/>
      <c r="I180" s="700" t="s">
        <v>2061</v>
      </c>
      <c r="J180" s="700"/>
      <c r="K180" s="700"/>
      <c r="L180" s="700"/>
    </row>
    <row r="181" spans="1:55" s="701" customFormat="1" ht="35.1" customHeight="1">
      <c r="A181" s="703">
        <v>178</v>
      </c>
      <c r="B181" s="704" t="s">
        <v>2278</v>
      </c>
      <c r="C181" s="705" t="s">
        <v>677</v>
      </c>
      <c r="D181" s="706">
        <v>220000</v>
      </c>
      <c r="E181" s="706">
        <v>220000</v>
      </c>
      <c r="F181" s="707" t="s">
        <v>2261</v>
      </c>
      <c r="G181" s="699"/>
      <c r="H181" s="700"/>
      <c r="I181" s="700" t="s">
        <v>2061</v>
      </c>
      <c r="J181" s="700"/>
      <c r="K181" s="700"/>
      <c r="L181" s="700"/>
    </row>
    <row r="182" spans="1:55" s="701" customFormat="1" ht="35.1" customHeight="1">
      <c r="A182" s="703">
        <v>179</v>
      </c>
      <c r="B182" s="704" t="s">
        <v>2279</v>
      </c>
      <c r="C182" s="705" t="s">
        <v>677</v>
      </c>
      <c r="D182" s="706">
        <v>220000</v>
      </c>
      <c r="E182" s="706">
        <v>220000</v>
      </c>
      <c r="F182" s="707"/>
      <c r="G182" s="699"/>
      <c r="H182" s="700"/>
      <c r="I182" s="700"/>
      <c r="J182" s="700"/>
      <c r="K182" s="700"/>
      <c r="L182" s="700"/>
    </row>
    <row r="183" spans="1:55" s="702" customFormat="1" ht="35.1" customHeight="1">
      <c r="A183" s="703">
        <v>180</v>
      </c>
      <c r="B183" s="704" t="s">
        <v>2280</v>
      </c>
      <c r="C183" s="705" t="s">
        <v>677</v>
      </c>
      <c r="D183" s="708">
        <v>203256</v>
      </c>
      <c r="E183" s="708">
        <v>203256</v>
      </c>
      <c r="F183" s="707" t="s">
        <v>2281</v>
      </c>
      <c r="G183" s="699"/>
      <c r="H183" s="700"/>
      <c r="I183" s="700"/>
      <c r="J183" s="700"/>
      <c r="K183" s="700"/>
      <c r="L183" s="700"/>
      <c r="M183" s="701"/>
      <c r="N183" s="701"/>
      <c r="O183" s="701"/>
      <c r="P183" s="701"/>
      <c r="Q183" s="701"/>
      <c r="R183" s="701"/>
      <c r="S183" s="701"/>
      <c r="T183" s="701"/>
      <c r="U183" s="701"/>
      <c r="V183" s="701"/>
      <c r="W183" s="701"/>
      <c r="X183" s="701"/>
      <c r="Y183" s="701"/>
      <c r="Z183" s="701"/>
      <c r="AA183" s="701"/>
      <c r="AB183" s="701"/>
      <c r="AC183" s="701"/>
      <c r="AD183" s="701"/>
      <c r="AE183" s="701"/>
      <c r="AF183" s="701"/>
      <c r="AG183" s="701"/>
      <c r="AH183" s="701"/>
      <c r="AI183" s="701"/>
      <c r="AJ183" s="701"/>
      <c r="AK183" s="701"/>
      <c r="AL183" s="701"/>
      <c r="AM183" s="701"/>
      <c r="AN183" s="701"/>
      <c r="AO183" s="701"/>
      <c r="AP183" s="701"/>
      <c r="AQ183" s="701"/>
      <c r="AR183" s="701"/>
      <c r="AS183" s="701"/>
      <c r="AT183" s="701"/>
      <c r="AU183" s="701"/>
      <c r="AV183" s="701"/>
      <c r="AW183" s="701"/>
      <c r="AX183" s="701"/>
      <c r="AY183" s="701"/>
      <c r="AZ183" s="701"/>
      <c r="BA183" s="701"/>
      <c r="BB183" s="701"/>
      <c r="BC183" s="701"/>
    </row>
    <row r="184" spans="1:55" s="702" customFormat="1" ht="35.1" customHeight="1">
      <c r="A184" s="703">
        <v>181</v>
      </c>
      <c r="B184" s="704" t="s">
        <v>2282</v>
      </c>
      <c r="C184" s="705" t="s">
        <v>655</v>
      </c>
      <c r="D184" s="708">
        <v>800000</v>
      </c>
      <c r="E184" s="708">
        <v>800000</v>
      </c>
      <c r="F184" s="707"/>
      <c r="G184" s="699"/>
      <c r="H184" s="700"/>
      <c r="I184" s="700" t="s">
        <v>2099</v>
      </c>
      <c r="J184" s="700"/>
      <c r="K184" s="700"/>
      <c r="L184" s="700"/>
      <c r="M184" s="701"/>
      <c r="N184" s="701"/>
      <c r="O184" s="701"/>
      <c r="P184" s="701"/>
      <c r="Q184" s="701"/>
      <c r="R184" s="701"/>
      <c r="S184" s="701"/>
      <c r="T184" s="701"/>
      <c r="U184" s="701"/>
      <c r="V184" s="701"/>
      <c r="W184" s="701"/>
      <c r="X184" s="701"/>
      <c r="Y184" s="701"/>
      <c r="Z184" s="701"/>
      <c r="AA184" s="701"/>
      <c r="AB184" s="701"/>
      <c r="AC184" s="701"/>
      <c r="AD184" s="701"/>
      <c r="AE184" s="701"/>
      <c r="AF184" s="701"/>
      <c r="AG184" s="701"/>
      <c r="AH184" s="701"/>
      <c r="AI184" s="701"/>
      <c r="AJ184" s="701"/>
      <c r="AK184" s="701"/>
      <c r="AL184" s="701"/>
      <c r="AM184" s="701"/>
      <c r="AN184" s="701"/>
      <c r="AO184" s="701"/>
      <c r="AP184" s="701"/>
      <c r="AQ184" s="701"/>
      <c r="AR184" s="701"/>
      <c r="AS184" s="701"/>
      <c r="AT184" s="701"/>
      <c r="AU184" s="701"/>
      <c r="AV184" s="701"/>
      <c r="AW184" s="701"/>
      <c r="AX184" s="701"/>
      <c r="AY184" s="701"/>
      <c r="AZ184" s="701"/>
      <c r="BA184" s="701"/>
      <c r="BB184" s="701"/>
      <c r="BC184" s="701"/>
    </row>
    <row r="185" spans="1:55" s="702" customFormat="1" ht="35.1" customHeight="1">
      <c r="A185" s="703">
        <v>182</v>
      </c>
      <c r="B185" s="704" t="s">
        <v>2283</v>
      </c>
      <c r="C185" s="705" t="s">
        <v>655</v>
      </c>
      <c r="D185" s="706">
        <v>280000</v>
      </c>
      <c r="E185" s="706">
        <v>280000</v>
      </c>
      <c r="F185" s="707" t="s">
        <v>2201</v>
      </c>
      <c r="G185" s="699"/>
      <c r="H185" s="700"/>
      <c r="I185" s="700"/>
      <c r="J185" s="700"/>
      <c r="K185" s="700"/>
      <c r="L185" s="700"/>
      <c r="M185" s="701"/>
      <c r="N185" s="701"/>
      <c r="O185" s="701"/>
      <c r="P185" s="701"/>
      <c r="Q185" s="701"/>
      <c r="R185" s="701"/>
      <c r="S185" s="701"/>
      <c r="T185" s="701"/>
      <c r="U185" s="701"/>
      <c r="V185" s="701"/>
      <c r="W185" s="701"/>
      <c r="X185" s="701"/>
      <c r="Y185" s="701"/>
      <c r="Z185" s="701"/>
      <c r="AA185" s="701"/>
      <c r="AB185" s="701"/>
      <c r="AC185" s="701"/>
      <c r="AD185" s="701"/>
      <c r="AE185" s="701"/>
      <c r="AF185" s="701"/>
      <c r="AG185" s="701"/>
      <c r="AH185" s="701"/>
      <c r="AI185" s="701"/>
      <c r="AJ185" s="701"/>
      <c r="AK185" s="701"/>
      <c r="AL185" s="701"/>
      <c r="AM185" s="701"/>
      <c r="AN185" s="701"/>
      <c r="AO185" s="701"/>
      <c r="AP185" s="701"/>
      <c r="AQ185" s="701"/>
      <c r="AR185" s="701"/>
      <c r="AS185" s="701"/>
      <c r="AT185" s="701"/>
      <c r="AU185" s="701"/>
      <c r="AV185" s="701"/>
      <c r="AW185" s="701"/>
      <c r="AX185" s="701"/>
      <c r="AY185" s="701"/>
      <c r="AZ185" s="701"/>
      <c r="BA185" s="701"/>
      <c r="BB185" s="701"/>
      <c r="BC185" s="701"/>
    </row>
    <row r="186" spans="1:55" s="702" customFormat="1" ht="35.1" customHeight="1">
      <c r="A186" s="703">
        <v>183</v>
      </c>
      <c r="B186" s="704" t="s">
        <v>1742</v>
      </c>
      <c r="C186" s="705" t="s">
        <v>1730</v>
      </c>
      <c r="D186" s="706">
        <f>D441</f>
        <v>18065</v>
      </c>
      <c r="E186" s="706">
        <f>E441</f>
        <v>18065</v>
      </c>
      <c r="F186" s="707" t="s">
        <v>2201</v>
      </c>
      <c r="G186" s="699"/>
      <c r="H186" s="700"/>
      <c r="I186" s="700"/>
      <c r="J186" s="700"/>
      <c r="K186" s="700"/>
      <c r="L186" s="700"/>
      <c r="M186" s="701"/>
      <c r="N186" s="701"/>
      <c r="O186" s="701"/>
      <c r="P186" s="701"/>
      <c r="Q186" s="701"/>
      <c r="R186" s="701"/>
      <c r="S186" s="701"/>
      <c r="T186" s="701"/>
      <c r="U186" s="701"/>
      <c r="V186" s="701"/>
      <c r="W186" s="701"/>
      <c r="X186" s="701"/>
      <c r="Y186" s="701"/>
      <c r="Z186" s="701"/>
      <c r="AA186" s="701"/>
      <c r="AB186" s="701"/>
      <c r="AC186" s="701"/>
      <c r="AD186" s="701"/>
      <c r="AE186" s="701"/>
      <c r="AF186" s="701"/>
      <c r="AG186" s="701"/>
      <c r="AH186" s="701"/>
      <c r="AI186" s="701"/>
      <c r="AJ186" s="701"/>
      <c r="AK186" s="701"/>
      <c r="AL186" s="701"/>
      <c r="AM186" s="701"/>
      <c r="AN186" s="701"/>
      <c r="AO186" s="701"/>
      <c r="AP186" s="701"/>
      <c r="AQ186" s="701"/>
      <c r="AR186" s="701"/>
      <c r="AS186" s="701"/>
      <c r="AT186" s="701"/>
      <c r="AU186" s="701"/>
      <c r="AV186" s="701"/>
      <c r="AW186" s="701"/>
      <c r="AX186" s="701"/>
      <c r="AY186" s="701"/>
      <c r="AZ186" s="701"/>
      <c r="BA186" s="701"/>
      <c r="BB186" s="701"/>
      <c r="BC186" s="701"/>
    </row>
    <row r="187" spans="1:55" s="702" customFormat="1" ht="35.1" customHeight="1">
      <c r="A187" s="703">
        <v>184</v>
      </c>
      <c r="B187" s="704" t="s">
        <v>1820</v>
      </c>
      <c r="C187" s="705" t="s">
        <v>677</v>
      </c>
      <c r="D187" s="706">
        <v>50000</v>
      </c>
      <c r="E187" s="706">
        <v>50000</v>
      </c>
      <c r="F187" s="707" t="s">
        <v>2201</v>
      </c>
      <c r="G187" s="699"/>
      <c r="H187" s="700"/>
      <c r="I187" s="700"/>
      <c r="J187" s="700"/>
      <c r="K187" s="700"/>
      <c r="L187" s="700"/>
      <c r="M187" s="701"/>
      <c r="N187" s="701"/>
      <c r="O187" s="701"/>
      <c r="P187" s="701"/>
      <c r="Q187" s="701"/>
      <c r="R187" s="701"/>
      <c r="S187" s="701"/>
      <c r="T187" s="701"/>
      <c r="U187" s="701"/>
      <c r="V187" s="701"/>
      <c r="W187" s="701"/>
      <c r="X187" s="701"/>
      <c r="Y187" s="701"/>
      <c r="Z187" s="701"/>
      <c r="AA187" s="701"/>
      <c r="AB187" s="701"/>
      <c r="AC187" s="701"/>
      <c r="AD187" s="701"/>
      <c r="AE187" s="701"/>
      <c r="AF187" s="701"/>
      <c r="AG187" s="701"/>
      <c r="AH187" s="701"/>
      <c r="AI187" s="701"/>
      <c r="AJ187" s="701"/>
      <c r="AK187" s="701"/>
      <c r="AL187" s="701"/>
      <c r="AM187" s="701"/>
      <c r="AN187" s="701"/>
      <c r="AO187" s="701"/>
      <c r="AP187" s="701"/>
      <c r="AQ187" s="701"/>
      <c r="AR187" s="701"/>
      <c r="AS187" s="701"/>
      <c r="AT187" s="701"/>
      <c r="AU187" s="701"/>
      <c r="AV187" s="701"/>
      <c r="AW187" s="701"/>
      <c r="AX187" s="701"/>
      <c r="AY187" s="701"/>
      <c r="AZ187" s="701"/>
      <c r="BA187" s="701"/>
      <c r="BB187" s="701"/>
      <c r="BC187" s="701"/>
    </row>
    <row r="188" spans="1:55" s="702" customFormat="1" ht="45">
      <c r="A188" s="703">
        <v>185</v>
      </c>
      <c r="B188" s="704" t="s">
        <v>1816</v>
      </c>
      <c r="C188" s="705" t="s">
        <v>1722</v>
      </c>
      <c r="D188" s="708">
        <v>6750000</v>
      </c>
      <c r="E188" s="708">
        <v>6750000</v>
      </c>
      <c r="F188" s="707" t="s">
        <v>2284</v>
      </c>
      <c r="G188" s="699"/>
      <c r="H188" s="700"/>
      <c r="I188" s="700" t="s">
        <v>2061</v>
      </c>
      <c r="J188" s="700"/>
      <c r="K188" s="700"/>
      <c r="L188" s="700"/>
      <c r="M188" s="701"/>
      <c r="N188" s="701"/>
      <c r="O188" s="701"/>
      <c r="P188" s="701"/>
      <c r="Q188" s="701"/>
      <c r="R188" s="701"/>
      <c r="S188" s="701"/>
      <c r="T188" s="701"/>
      <c r="U188" s="701"/>
      <c r="V188" s="701"/>
      <c r="W188" s="701"/>
      <c r="X188" s="701"/>
      <c r="Y188" s="701"/>
      <c r="Z188" s="701"/>
      <c r="AA188" s="701"/>
      <c r="AB188" s="701"/>
      <c r="AC188" s="701"/>
      <c r="AD188" s="701"/>
      <c r="AE188" s="701"/>
      <c r="AF188" s="701"/>
      <c r="AG188" s="701"/>
      <c r="AH188" s="701"/>
      <c r="AI188" s="701"/>
      <c r="AJ188" s="701"/>
      <c r="AK188" s="701"/>
      <c r="AL188" s="701"/>
      <c r="AM188" s="701"/>
      <c r="AN188" s="701"/>
      <c r="AO188" s="701"/>
      <c r="AP188" s="701"/>
      <c r="AQ188" s="701"/>
      <c r="AR188" s="701"/>
      <c r="AS188" s="701"/>
      <c r="AT188" s="701"/>
      <c r="AU188" s="701"/>
      <c r="AV188" s="701"/>
      <c r="AW188" s="701"/>
      <c r="AX188" s="701"/>
      <c r="AY188" s="701"/>
      <c r="AZ188" s="701"/>
      <c r="BA188" s="701"/>
      <c r="BB188" s="701"/>
      <c r="BC188" s="701"/>
    </row>
    <row r="189" spans="1:55" s="702" customFormat="1" ht="45">
      <c r="A189" s="703">
        <v>186</v>
      </c>
      <c r="B189" s="704" t="s">
        <v>1738</v>
      </c>
      <c r="C189" s="705" t="s">
        <v>1722</v>
      </c>
      <c r="D189" s="708">
        <v>6750000</v>
      </c>
      <c r="E189" s="708">
        <v>6750000</v>
      </c>
      <c r="F189" s="707" t="s">
        <v>2284</v>
      </c>
      <c r="G189" s="699"/>
      <c r="H189" s="700"/>
      <c r="I189" s="700" t="s">
        <v>2061</v>
      </c>
      <c r="J189" s="700"/>
      <c r="K189" s="700"/>
      <c r="L189" s="700"/>
      <c r="M189" s="701"/>
      <c r="N189" s="701"/>
      <c r="O189" s="701"/>
      <c r="P189" s="701"/>
      <c r="Q189" s="701"/>
      <c r="R189" s="701"/>
      <c r="S189" s="701"/>
      <c r="T189" s="701"/>
      <c r="U189" s="701"/>
      <c r="V189" s="701"/>
      <c r="W189" s="701"/>
      <c r="X189" s="701"/>
      <c r="Y189" s="701"/>
      <c r="Z189" s="701"/>
      <c r="AA189" s="701"/>
      <c r="AB189" s="701"/>
      <c r="AC189" s="701"/>
      <c r="AD189" s="701"/>
      <c r="AE189" s="701"/>
      <c r="AF189" s="701"/>
      <c r="AG189" s="701"/>
      <c r="AH189" s="701"/>
      <c r="AI189" s="701"/>
      <c r="AJ189" s="701"/>
      <c r="AK189" s="701"/>
      <c r="AL189" s="701"/>
      <c r="AM189" s="701"/>
      <c r="AN189" s="701"/>
      <c r="AO189" s="701"/>
      <c r="AP189" s="701"/>
      <c r="AQ189" s="701"/>
      <c r="AR189" s="701"/>
      <c r="AS189" s="701"/>
      <c r="AT189" s="701"/>
      <c r="AU189" s="701"/>
      <c r="AV189" s="701"/>
      <c r="AW189" s="701"/>
      <c r="AX189" s="701"/>
      <c r="AY189" s="701"/>
      <c r="AZ189" s="701"/>
      <c r="BA189" s="701"/>
      <c r="BB189" s="701"/>
      <c r="BC189" s="701"/>
    </row>
    <row r="190" spans="1:55" s="702" customFormat="1" ht="45">
      <c r="A190" s="703">
        <v>187</v>
      </c>
      <c r="B190" s="704" t="s">
        <v>1739</v>
      </c>
      <c r="C190" s="705" t="s">
        <v>1722</v>
      </c>
      <c r="D190" s="708">
        <v>6750000</v>
      </c>
      <c r="E190" s="708">
        <v>6750000</v>
      </c>
      <c r="F190" s="707" t="s">
        <v>2284</v>
      </c>
      <c r="G190" s="699"/>
      <c r="H190" s="700"/>
      <c r="I190" s="700" t="s">
        <v>2061</v>
      </c>
      <c r="J190" s="700"/>
      <c r="K190" s="700"/>
      <c r="L190" s="700"/>
      <c r="M190" s="701"/>
      <c r="N190" s="701"/>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1"/>
      <c r="AJ190" s="701"/>
      <c r="AK190" s="701"/>
      <c r="AL190" s="701"/>
      <c r="AM190" s="701"/>
      <c r="AN190" s="701"/>
      <c r="AO190" s="701"/>
      <c r="AP190" s="701"/>
      <c r="AQ190" s="701"/>
      <c r="AR190" s="701"/>
      <c r="AS190" s="701"/>
      <c r="AT190" s="701"/>
      <c r="AU190" s="701"/>
      <c r="AV190" s="701"/>
      <c r="AW190" s="701"/>
      <c r="AX190" s="701"/>
      <c r="AY190" s="701"/>
      <c r="AZ190" s="701"/>
      <c r="BA190" s="701"/>
      <c r="BB190" s="701"/>
      <c r="BC190" s="701"/>
    </row>
    <row r="191" spans="1:55" s="702" customFormat="1" ht="45">
      <c r="A191" s="703">
        <v>188</v>
      </c>
      <c r="B191" s="704" t="s">
        <v>2285</v>
      </c>
      <c r="C191" s="705" t="s">
        <v>1722</v>
      </c>
      <c r="D191" s="708">
        <v>6750000</v>
      </c>
      <c r="E191" s="708">
        <v>6750000</v>
      </c>
      <c r="F191" s="707" t="s">
        <v>2284</v>
      </c>
      <c r="G191" s="699"/>
      <c r="H191" s="700"/>
      <c r="I191" s="700" t="s">
        <v>2061</v>
      </c>
      <c r="J191" s="700"/>
      <c r="K191" s="700"/>
      <c r="L191" s="700"/>
      <c r="M191" s="701"/>
      <c r="N191" s="701"/>
      <c r="O191" s="701"/>
      <c r="P191" s="701"/>
      <c r="Q191" s="701"/>
      <c r="R191" s="701"/>
      <c r="S191" s="701"/>
      <c r="T191" s="701"/>
      <c r="U191" s="701"/>
      <c r="V191" s="701"/>
      <c r="W191" s="701"/>
      <c r="X191" s="701"/>
      <c r="Y191" s="701"/>
      <c r="Z191" s="701"/>
      <c r="AA191" s="701"/>
      <c r="AB191" s="701"/>
      <c r="AC191" s="701"/>
      <c r="AD191" s="701"/>
      <c r="AE191" s="701"/>
      <c r="AF191" s="701"/>
      <c r="AG191" s="701"/>
      <c r="AH191" s="701"/>
      <c r="AI191" s="701"/>
      <c r="AJ191" s="701"/>
      <c r="AK191" s="701"/>
      <c r="AL191" s="701"/>
      <c r="AM191" s="701"/>
      <c r="AN191" s="701"/>
      <c r="AO191" s="701"/>
      <c r="AP191" s="701"/>
      <c r="AQ191" s="701"/>
      <c r="AR191" s="701"/>
      <c r="AS191" s="701"/>
      <c r="AT191" s="701"/>
      <c r="AU191" s="701"/>
      <c r="AV191" s="701"/>
      <c r="AW191" s="701"/>
      <c r="AX191" s="701"/>
      <c r="AY191" s="701"/>
      <c r="AZ191" s="701"/>
      <c r="BA191" s="701"/>
      <c r="BB191" s="701"/>
      <c r="BC191" s="701"/>
    </row>
    <row r="192" spans="1:55" s="702" customFormat="1" ht="45">
      <c r="A192" s="703">
        <v>189</v>
      </c>
      <c r="B192" s="704" t="s">
        <v>1741</v>
      </c>
      <c r="C192" s="705" t="s">
        <v>1722</v>
      </c>
      <c r="D192" s="708">
        <v>6750000</v>
      </c>
      <c r="E192" s="708">
        <v>6750000</v>
      </c>
      <c r="F192" s="707" t="s">
        <v>2284</v>
      </c>
      <c r="G192" s="699"/>
      <c r="H192" s="700"/>
      <c r="I192" s="700" t="s">
        <v>2061</v>
      </c>
      <c r="J192" s="700"/>
      <c r="K192" s="700"/>
      <c r="L192" s="700"/>
      <c r="M192" s="701"/>
      <c r="N192" s="701"/>
      <c r="O192" s="701"/>
      <c r="P192" s="701"/>
      <c r="Q192" s="701"/>
      <c r="R192" s="701"/>
      <c r="S192" s="701"/>
      <c r="T192" s="701"/>
      <c r="U192" s="701"/>
      <c r="V192" s="701"/>
      <c r="W192" s="701"/>
      <c r="X192" s="701"/>
      <c r="Y192" s="701"/>
      <c r="Z192" s="701"/>
      <c r="AA192" s="701"/>
      <c r="AB192" s="701"/>
      <c r="AC192" s="701"/>
      <c r="AD192" s="701"/>
      <c r="AE192" s="701"/>
      <c r="AF192" s="701"/>
      <c r="AG192" s="701"/>
      <c r="AH192" s="701"/>
      <c r="AI192" s="701"/>
      <c r="AJ192" s="701"/>
      <c r="AK192" s="701"/>
      <c r="AL192" s="701"/>
      <c r="AM192" s="701"/>
      <c r="AN192" s="701"/>
      <c r="AO192" s="701"/>
      <c r="AP192" s="701"/>
      <c r="AQ192" s="701"/>
      <c r="AR192" s="701"/>
      <c r="AS192" s="701"/>
      <c r="AT192" s="701"/>
      <c r="AU192" s="701"/>
      <c r="AV192" s="701"/>
      <c r="AW192" s="701"/>
      <c r="AX192" s="701"/>
      <c r="AY192" s="701"/>
      <c r="AZ192" s="701"/>
      <c r="BA192" s="701"/>
      <c r="BB192" s="701"/>
      <c r="BC192" s="701"/>
    </row>
    <row r="193" spans="1:55" s="702" customFormat="1" ht="35.1" customHeight="1">
      <c r="A193" s="703">
        <v>190</v>
      </c>
      <c r="B193" s="704" t="s">
        <v>2286</v>
      </c>
      <c r="C193" s="705" t="s">
        <v>655</v>
      </c>
      <c r="D193" s="706">
        <f>ROUND(800000/1.1,0)</f>
        <v>727273</v>
      </c>
      <c r="E193" s="706">
        <f>ROUND(800000/1.1,0)</f>
        <v>727273</v>
      </c>
      <c r="F193" s="707" t="s">
        <v>2287</v>
      </c>
      <c r="G193" s="699"/>
      <c r="H193" s="700"/>
      <c r="I193" s="700" t="s">
        <v>2061</v>
      </c>
      <c r="J193" s="700"/>
      <c r="K193" s="700"/>
      <c r="L193" s="700"/>
      <c r="M193" s="701"/>
      <c r="N193" s="701"/>
      <c r="O193" s="701"/>
      <c r="P193" s="701"/>
      <c r="Q193" s="701"/>
      <c r="R193" s="701"/>
      <c r="S193" s="701"/>
      <c r="T193" s="701"/>
      <c r="U193" s="701"/>
      <c r="V193" s="701"/>
      <c r="W193" s="701"/>
      <c r="X193" s="701"/>
      <c r="Y193" s="701"/>
      <c r="Z193" s="701"/>
      <c r="AA193" s="701"/>
      <c r="AB193" s="701"/>
      <c r="AC193" s="701"/>
      <c r="AD193" s="701"/>
      <c r="AE193" s="701"/>
      <c r="AF193" s="701"/>
      <c r="AG193" s="701"/>
      <c r="AH193" s="701"/>
      <c r="AI193" s="701"/>
      <c r="AJ193" s="701"/>
      <c r="AK193" s="701"/>
      <c r="AL193" s="701"/>
      <c r="AM193" s="701"/>
      <c r="AN193" s="701"/>
      <c r="AO193" s="701"/>
      <c r="AP193" s="701"/>
      <c r="AQ193" s="701"/>
      <c r="AR193" s="701"/>
      <c r="AS193" s="701"/>
      <c r="AT193" s="701"/>
      <c r="AU193" s="701"/>
      <c r="AV193" s="701"/>
      <c r="AW193" s="701"/>
      <c r="AX193" s="701"/>
      <c r="AY193" s="701"/>
      <c r="AZ193" s="701"/>
      <c r="BA193" s="701"/>
      <c r="BB193" s="701"/>
      <c r="BC193" s="701"/>
    </row>
    <row r="194" spans="1:55" s="702" customFormat="1" ht="45">
      <c r="A194" s="703">
        <v>191</v>
      </c>
      <c r="B194" s="704" t="s">
        <v>2288</v>
      </c>
      <c r="C194" s="705" t="s">
        <v>677</v>
      </c>
      <c r="D194" s="708">
        <v>850000</v>
      </c>
      <c r="E194" s="708">
        <v>850000</v>
      </c>
      <c r="F194" s="707" t="s">
        <v>2068</v>
      </c>
      <c r="G194" s="699"/>
      <c r="H194" s="700"/>
      <c r="I194" s="700" t="s">
        <v>2061</v>
      </c>
      <c r="J194" s="700"/>
      <c r="K194" s="700"/>
      <c r="L194" s="700"/>
      <c r="M194" s="701"/>
      <c r="N194" s="701"/>
      <c r="O194" s="701"/>
      <c r="P194" s="701"/>
      <c r="Q194" s="701"/>
      <c r="R194" s="701"/>
      <c r="S194" s="701"/>
      <c r="T194" s="701"/>
      <c r="U194" s="701"/>
      <c r="V194" s="701"/>
      <c r="W194" s="701"/>
      <c r="X194" s="701"/>
      <c r="Y194" s="701"/>
      <c r="Z194" s="701"/>
      <c r="AA194" s="701"/>
      <c r="AB194" s="701"/>
      <c r="AC194" s="701"/>
      <c r="AD194" s="701"/>
      <c r="AE194" s="701"/>
      <c r="AF194" s="701"/>
      <c r="AG194" s="701"/>
      <c r="AH194" s="701"/>
      <c r="AI194" s="701"/>
      <c r="AJ194" s="701"/>
      <c r="AK194" s="701"/>
      <c r="AL194" s="701"/>
      <c r="AM194" s="701"/>
      <c r="AN194" s="701"/>
      <c r="AO194" s="701"/>
      <c r="AP194" s="701"/>
      <c r="AQ194" s="701"/>
      <c r="AR194" s="701"/>
      <c r="AS194" s="701"/>
      <c r="AT194" s="701"/>
      <c r="AU194" s="701"/>
      <c r="AV194" s="701"/>
      <c r="AW194" s="701"/>
      <c r="AX194" s="701"/>
      <c r="AY194" s="701"/>
      <c r="AZ194" s="701"/>
      <c r="BA194" s="701"/>
      <c r="BB194" s="701"/>
      <c r="BC194" s="701"/>
    </row>
    <row r="195" spans="1:55" s="702" customFormat="1" ht="45">
      <c r="A195" s="703">
        <v>192</v>
      </c>
      <c r="B195" s="704" t="s">
        <v>2289</v>
      </c>
      <c r="C195" s="705" t="s">
        <v>655</v>
      </c>
      <c r="D195" s="708">
        <v>250000</v>
      </c>
      <c r="E195" s="708">
        <v>250000</v>
      </c>
      <c r="F195" s="707" t="s">
        <v>2068</v>
      </c>
      <c r="G195" s="699"/>
      <c r="H195" s="700"/>
      <c r="I195" s="700" t="s">
        <v>2061</v>
      </c>
      <c r="J195" s="700"/>
      <c r="K195" s="700"/>
      <c r="L195" s="700"/>
      <c r="M195" s="701"/>
      <c r="N195" s="701"/>
      <c r="O195" s="701"/>
      <c r="P195" s="701"/>
      <c r="Q195" s="701"/>
      <c r="R195" s="701"/>
      <c r="S195" s="701"/>
      <c r="T195" s="701"/>
      <c r="U195" s="701"/>
      <c r="V195" s="701"/>
      <c r="W195" s="701"/>
      <c r="X195" s="701"/>
      <c r="Y195" s="701"/>
      <c r="Z195" s="701"/>
      <c r="AA195" s="701"/>
      <c r="AB195" s="701"/>
      <c r="AC195" s="701"/>
      <c r="AD195" s="701"/>
      <c r="AE195" s="701"/>
      <c r="AF195" s="701"/>
      <c r="AG195" s="701"/>
      <c r="AH195" s="701"/>
      <c r="AI195" s="701"/>
      <c r="AJ195" s="701"/>
      <c r="AK195" s="701"/>
      <c r="AL195" s="701"/>
      <c r="AM195" s="701"/>
      <c r="AN195" s="701"/>
      <c r="AO195" s="701"/>
      <c r="AP195" s="701"/>
      <c r="AQ195" s="701"/>
      <c r="AR195" s="701"/>
      <c r="AS195" s="701"/>
      <c r="AT195" s="701"/>
      <c r="AU195" s="701"/>
      <c r="AV195" s="701"/>
      <c r="AW195" s="701"/>
      <c r="AX195" s="701"/>
      <c r="AY195" s="701"/>
      <c r="AZ195" s="701"/>
      <c r="BA195" s="701"/>
      <c r="BB195" s="701"/>
      <c r="BC195" s="701"/>
    </row>
    <row r="196" spans="1:55" s="702" customFormat="1" ht="45">
      <c r="A196" s="703">
        <v>193</v>
      </c>
      <c r="B196" s="704" t="s">
        <v>2290</v>
      </c>
      <c r="C196" s="705" t="s">
        <v>677</v>
      </c>
      <c r="D196" s="708">
        <v>800000</v>
      </c>
      <c r="E196" s="717">
        <v>1100000</v>
      </c>
      <c r="F196" s="707" t="s">
        <v>2068</v>
      </c>
      <c r="G196" s="699"/>
      <c r="H196" s="700"/>
      <c r="I196" s="700" t="s">
        <v>2061</v>
      </c>
      <c r="J196" s="700"/>
      <c r="K196" s="700"/>
      <c r="L196" s="700"/>
      <c r="M196" s="701"/>
      <c r="N196" s="701"/>
      <c r="O196" s="701"/>
      <c r="P196" s="701"/>
      <c r="Q196" s="701"/>
      <c r="R196" s="701"/>
      <c r="S196" s="701"/>
      <c r="T196" s="701"/>
      <c r="U196" s="701"/>
      <c r="V196" s="701"/>
      <c r="W196" s="701"/>
      <c r="X196" s="701"/>
      <c r="Y196" s="701"/>
      <c r="Z196" s="701"/>
      <c r="AA196" s="701"/>
      <c r="AB196" s="701"/>
      <c r="AC196" s="701"/>
      <c r="AD196" s="701"/>
      <c r="AE196" s="701"/>
      <c r="AF196" s="701"/>
      <c r="AG196" s="701"/>
      <c r="AH196" s="701"/>
      <c r="AI196" s="701"/>
      <c r="AJ196" s="701"/>
      <c r="AK196" s="701"/>
      <c r="AL196" s="701"/>
      <c r="AM196" s="701"/>
      <c r="AN196" s="701"/>
      <c r="AO196" s="701"/>
      <c r="AP196" s="701"/>
      <c r="AQ196" s="701"/>
      <c r="AR196" s="701"/>
      <c r="AS196" s="701"/>
      <c r="AT196" s="701"/>
      <c r="AU196" s="701"/>
      <c r="AV196" s="701"/>
      <c r="AW196" s="701"/>
      <c r="AX196" s="701"/>
      <c r="AY196" s="701"/>
      <c r="AZ196" s="701"/>
      <c r="BA196" s="701"/>
      <c r="BB196" s="701"/>
      <c r="BC196" s="701"/>
    </row>
    <row r="197" spans="1:55" s="702" customFormat="1" ht="45">
      <c r="A197" s="703">
        <v>194</v>
      </c>
      <c r="B197" s="704" t="s">
        <v>2291</v>
      </c>
      <c r="C197" s="705" t="s">
        <v>677</v>
      </c>
      <c r="D197" s="708">
        <v>750000</v>
      </c>
      <c r="E197" s="708">
        <v>750000</v>
      </c>
      <c r="F197" s="707" t="s">
        <v>2068</v>
      </c>
      <c r="G197" s="699"/>
      <c r="H197" s="700"/>
      <c r="I197" s="700" t="s">
        <v>2061</v>
      </c>
      <c r="J197" s="700"/>
      <c r="K197" s="700"/>
      <c r="L197" s="700"/>
      <c r="M197" s="701"/>
      <c r="N197" s="701"/>
      <c r="O197" s="701"/>
      <c r="P197" s="701"/>
      <c r="Q197" s="701"/>
      <c r="R197" s="701"/>
      <c r="S197" s="701"/>
      <c r="T197" s="701"/>
      <c r="U197" s="701"/>
      <c r="V197" s="701"/>
      <c r="W197" s="701"/>
      <c r="X197" s="701"/>
      <c r="Y197" s="701"/>
      <c r="Z197" s="701"/>
      <c r="AA197" s="701"/>
      <c r="AB197" s="701"/>
      <c r="AC197" s="701"/>
      <c r="AD197" s="701"/>
      <c r="AE197" s="701"/>
      <c r="AF197" s="701"/>
      <c r="AG197" s="701"/>
      <c r="AH197" s="701"/>
      <c r="AI197" s="701"/>
      <c r="AJ197" s="701"/>
      <c r="AK197" s="701"/>
      <c r="AL197" s="701"/>
      <c r="AM197" s="701"/>
      <c r="AN197" s="701"/>
      <c r="AO197" s="701"/>
      <c r="AP197" s="701"/>
      <c r="AQ197" s="701"/>
      <c r="AR197" s="701"/>
      <c r="AS197" s="701"/>
      <c r="AT197" s="701"/>
      <c r="AU197" s="701"/>
      <c r="AV197" s="701"/>
      <c r="AW197" s="701"/>
      <c r="AX197" s="701"/>
      <c r="AY197" s="701"/>
      <c r="AZ197" s="701"/>
      <c r="BA197" s="701"/>
      <c r="BB197" s="701"/>
      <c r="BC197" s="701"/>
    </row>
    <row r="198" spans="1:55" s="702" customFormat="1" ht="35.1" customHeight="1">
      <c r="A198" s="703">
        <v>195</v>
      </c>
      <c r="B198" s="704" t="s">
        <v>2292</v>
      </c>
      <c r="C198" s="705" t="s">
        <v>677</v>
      </c>
      <c r="D198" s="708">
        <v>800000</v>
      </c>
      <c r="E198" s="708">
        <v>800000</v>
      </c>
      <c r="F198" s="707"/>
      <c r="G198" s="699"/>
      <c r="H198" s="700"/>
      <c r="I198" s="700" t="s">
        <v>2099</v>
      </c>
      <c r="J198" s="700"/>
      <c r="K198" s="700"/>
      <c r="L198" s="700"/>
      <c r="M198" s="701"/>
      <c r="N198" s="701"/>
      <c r="O198" s="701"/>
      <c r="P198" s="701"/>
      <c r="Q198" s="701"/>
      <c r="R198" s="701"/>
      <c r="S198" s="701"/>
      <c r="T198" s="701"/>
      <c r="U198" s="701"/>
      <c r="V198" s="701"/>
      <c r="W198" s="701"/>
      <c r="X198" s="701"/>
      <c r="Y198" s="701"/>
      <c r="Z198" s="701"/>
      <c r="AA198" s="701"/>
      <c r="AB198" s="701"/>
      <c r="AC198" s="701"/>
      <c r="AD198" s="701"/>
      <c r="AE198" s="701"/>
      <c r="AF198" s="701"/>
      <c r="AG198" s="701"/>
      <c r="AH198" s="701"/>
      <c r="AI198" s="701"/>
      <c r="AJ198" s="701"/>
      <c r="AK198" s="701"/>
      <c r="AL198" s="701"/>
      <c r="AM198" s="701"/>
      <c r="AN198" s="701"/>
      <c r="AO198" s="701"/>
      <c r="AP198" s="701"/>
      <c r="AQ198" s="701"/>
      <c r="AR198" s="701"/>
      <c r="AS198" s="701"/>
      <c r="AT198" s="701"/>
      <c r="AU198" s="701"/>
      <c r="AV198" s="701"/>
      <c r="AW198" s="701"/>
      <c r="AX198" s="701"/>
      <c r="AY198" s="701"/>
      <c r="AZ198" s="701"/>
      <c r="BA198" s="701"/>
      <c r="BB198" s="701"/>
      <c r="BC198" s="701"/>
    </row>
    <row r="199" spans="1:55" s="702" customFormat="1" ht="35.1" customHeight="1">
      <c r="A199" s="703">
        <v>196</v>
      </c>
      <c r="B199" s="704" t="s">
        <v>2293</v>
      </c>
      <c r="C199" s="705" t="s">
        <v>655</v>
      </c>
      <c r="D199" s="706">
        <f>ROUND((10200+12500+6000)/1.1,0)</f>
        <v>26091</v>
      </c>
      <c r="E199" s="709">
        <f>ROUND((22000+18000+10500)/1.1,0)</f>
        <v>45909</v>
      </c>
      <c r="F199" s="707" t="s">
        <v>2246</v>
      </c>
      <c r="G199" s="699"/>
      <c r="H199" s="700"/>
      <c r="I199" s="700"/>
      <c r="J199" s="700"/>
      <c r="K199" s="700"/>
      <c r="L199" s="700"/>
      <c r="M199" s="701"/>
      <c r="N199" s="701"/>
      <c r="O199" s="701"/>
      <c r="P199" s="701"/>
      <c r="Q199" s="701"/>
      <c r="R199" s="701"/>
      <c r="S199" s="701"/>
      <c r="T199" s="701"/>
      <c r="U199" s="701"/>
      <c r="V199" s="701"/>
      <c r="W199" s="701"/>
      <c r="X199" s="701"/>
      <c r="Y199" s="701"/>
      <c r="Z199" s="701"/>
      <c r="AA199" s="701"/>
      <c r="AB199" s="701"/>
      <c r="AC199" s="701"/>
      <c r="AD199" s="701"/>
      <c r="AE199" s="701"/>
      <c r="AF199" s="701"/>
      <c r="AG199" s="701"/>
      <c r="AH199" s="701"/>
      <c r="AI199" s="701"/>
      <c r="AJ199" s="701"/>
      <c r="AK199" s="701"/>
      <c r="AL199" s="701"/>
      <c r="AM199" s="701"/>
      <c r="AN199" s="701"/>
      <c r="AO199" s="701"/>
      <c r="AP199" s="701"/>
      <c r="AQ199" s="701"/>
      <c r="AR199" s="701"/>
      <c r="AS199" s="701"/>
      <c r="AT199" s="701"/>
      <c r="AU199" s="701"/>
      <c r="AV199" s="701"/>
      <c r="AW199" s="701"/>
      <c r="AX199" s="701"/>
      <c r="AY199" s="701"/>
      <c r="AZ199" s="701"/>
      <c r="BA199" s="701"/>
      <c r="BB199" s="701"/>
      <c r="BC199" s="701"/>
    </row>
    <row r="200" spans="1:55" s="702" customFormat="1" ht="35.1" customHeight="1">
      <c r="A200" s="703">
        <v>197</v>
      </c>
      <c r="B200" s="704" t="s">
        <v>2294</v>
      </c>
      <c r="C200" s="705" t="s">
        <v>655</v>
      </c>
      <c r="D200" s="706">
        <f>ROUND((17800+12500+6000)/1.1,0)</f>
        <v>33000</v>
      </c>
      <c r="E200" s="709">
        <f>ROUND((45500+18000+10500)/1.1,0)</f>
        <v>67273</v>
      </c>
      <c r="F200" s="707" t="s">
        <v>2246</v>
      </c>
      <c r="G200" s="699"/>
      <c r="H200" s="700"/>
      <c r="I200" s="700"/>
      <c r="J200" s="700"/>
      <c r="K200" s="700"/>
      <c r="L200" s="700"/>
      <c r="M200" s="701"/>
      <c r="N200" s="701"/>
      <c r="O200" s="701"/>
      <c r="P200" s="701"/>
      <c r="Q200" s="701"/>
      <c r="R200" s="701"/>
      <c r="S200" s="701"/>
      <c r="T200" s="701"/>
      <c r="U200" s="701"/>
      <c r="V200" s="701"/>
      <c r="W200" s="701"/>
      <c r="X200" s="701"/>
      <c r="Y200" s="701"/>
      <c r="Z200" s="701"/>
      <c r="AA200" s="701"/>
      <c r="AB200" s="701"/>
      <c r="AC200" s="701"/>
      <c r="AD200" s="701"/>
      <c r="AE200" s="701"/>
      <c r="AF200" s="701"/>
      <c r="AG200" s="701"/>
      <c r="AH200" s="701"/>
      <c r="AI200" s="701"/>
      <c r="AJ200" s="701"/>
      <c r="AK200" s="701"/>
      <c r="AL200" s="701"/>
      <c r="AM200" s="701"/>
      <c r="AN200" s="701"/>
      <c r="AO200" s="701"/>
      <c r="AP200" s="701"/>
      <c r="AQ200" s="701"/>
      <c r="AR200" s="701"/>
      <c r="AS200" s="701"/>
      <c r="AT200" s="701"/>
      <c r="AU200" s="701"/>
      <c r="AV200" s="701"/>
      <c r="AW200" s="701"/>
      <c r="AX200" s="701"/>
      <c r="AY200" s="701"/>
      <c r="AZ200" s="701"/>
      <c r="BA200" s="701"/>
      <c r="BB200" s="701"/>
      <c r="BC200" s="701"/>
    </row>
    <row r="201" spans="1:55" s="702" customFormat="1" ht="35.1" customHeight="1">
      <c r="A201" s="703">
        <v>198</v>
      </c>
      <c r="B201" s="704" t="s">
        <v>2295</v>
      </c>
      <c r="C201" s="705" t="s">
        <v>655</v>
      </c>
      <c r="D201" s="706">
        <f>ROUND((10200*2+12500+6000)/1.1,0)</f>
        <v>35364</v>
      </c>
      <c r="E201" s="709">
        <f>ROUND((22000*2+18000+10500)/1.1,0)</f>
        <v>65909</v>
      </c>
      <c r="F201" s="707" t="s">
        <v>2246</v>
      </c>
      <c r="G201" s="699"/>
      <c r="H201" s="700"/>
      <c r="I201" s="700"/>
      <c r="J201" s="700"/>
      <c r="K201" s="700"/>
      <c r="L201" s="700"/>
      <c r="M201" s="701"/>
      <c r="N201" s="701"/>
      <c r="O201" s="701"/>
      <c r="P201" s="701"/>
      <c r="Q201" s="701"/>
      <c r="R201" s="701"/>
      <c r="S201" s="701"/>
      <c r="T201" s="701"/>
      <c r="U201" s="701"/>
      <c r="V201" s="701"/>
      <c r="W201" s="701"/>
      <c r="X201" s="701"/>
      <c r="Y201" s="701"/>
      <c r="Z201" s="701"/>
      <c r="AA201" s="701"/>
      <c r="AB201" s="701"/>
      <c r="AC201" s="701"/>
      <c r="AD201" s="701"/>
      <c r="AE201" s="701"/>
      <c r="AF201" s="701"/>
      <c r="AG201" s="701"/>
      <c r="AH201" s="701"/>
      <c r="AI201" s="701"/>
      <c r="AJ201" s="701"/>
      <c r="AK201" s="701"/>
      <c r="AL201" s="701"/>
      <c r="AM201" s="701"/>
      <c r="AN201" s="701"/>
      <c r="AO201" s="701"/>
      <c r="AP201" s="701"/>
      <c r="AQ201" s="701"/>
      <c r="AR201" s="701"/>
      <c r="AS201" s="701"/>
      <c r="AT201" s="701"/>
      <c r="AU201" s="701"/>
      <c r="AV201" s="701"/>
      <c r="AW201" s="701"/>
      <c r="AX201" s="701"/>
      <c r="AY201" s="701"/>
      <c r="AZ201" s="701"/>
      <c r="BA201" s="701"/>
      <c r="BB201" s="701"/>
      <c r="BC201" s="701"/>
    </row>
    <row r="202" spans="1:55" s="702" customFormat="1" ht="35.1" customHeight="1">
      <c r="A202" s="703">
        <v>199</v>
      </c>
      <c r="B202" s="704" t="s">
        <v>2296</v>
      </c>
      <c r="C202" s="705" t="s">
        <v>655</v>
      </c>
      <c r="D202" s="706">
        <f>ROUND((10200*3+12500+6000)/1.1,0)</f>
        <v>44636</v>
      </c>
      <c r="E202" s="709">
        <f>ROUND((22000*3+18000+10500)/1.1,0)</f>
        <v>85909</v>
      </c>
      <c r="F202" s="707" t="s">
        <v>2246</v>
      </c>
      <c r="G202" s="699"/>
      <c r="H202" s="700"/>
      <c r="I202" s="700"/>
      <c r="J202" s="700"/>
      <c r="K202" s="700"/>
      <c r="L202" s="700"/>
      <c r="M202" s="701"/>
      <c r="N202" s="701"/>
      <c r="O202" s="701"/>
      <c r="P202" s="701"/>
      <c r="Q202" s="701"/>
      <c r="R202" s="701"/>
      <c r="S202" s="701"/>
      <c r="T202" s="701"/>
      <c r="U202" s="701"/>
      <c r="V202" s="701"/>
      <c r="W202" s="701"/>
      <c r="X202" s="701"/>
      <c r="Y202" s="701"/>
      <c r="Z202" s="701"/>
      <c r="AA202" s="701"/>
      <c r="AB202" s="701"/>
      <c r="AC202" s="701"/>
      <c r="AD202" s="701"/>
      <c r="AE202" s="701"/>
      <c r="AF202" s="701"/>
      <c r="AG202" s="701"/>
      <c r="AH202" s="701"/>
      <c r="AI202" s="701"/>
      <c r="AJ202" s="701"/>
      <c r="AK202" s="701"/>
      <c r="AL202" s="701"/>
      <c r="AM202" s="701"/>
      <c r="AN202" s="701"/>
      <c r="AO202" s="701"/>
      <c r="AP202" s="701"/>
      <c r="AQ202" s="701"/>
      <c r="AR202" s="701"/>
      <c r="AS202" s="701"/>
      <c r="AT202" s="701"/>
      <c r="AU202" s="701"/>
      <c r="AV202" s="701"/>
      <c r="AW202" s="701"/>
      <c r="AX202" s="701"/>
      <c r="AY202" s="701"/>
      <c r="AZ202" s="701"/>
      <c r="BA202" s="701"/>
      <c r="BB202" s="701"/>
      <c r="BC202" s="701"/>
    </row>
    <row r="203" spans="1:55" s="702" customFormat="1" ht="35.1" customHeight="1">
      <c r="A203" s="703">
        <v>200</v>
      </c>
      <c r="B203" s="704" t="s">
        <v>2297</v>
      </c>
      <c r="C203" s="705" t="s">
        <v>655</v>
      </c>
      <c r="D203" s="706">
        <f>ROUND((102000+12500+6000)/1.1,0)</f>
        <v>109545</v>
      </c>
      <c r="E203" s="709">
        <f>ROUND((63500+18000+10500)/1.1,0)</f>
        <v>83636</v>
      </c>
      <c r="F203" s="707" t="s">
        <v>2246</v>
      </c>
      <c r="G203" s="699"/>
      <c r="H203" s="700"/>
      <c r="I203" s="700"/>
      <c r="J203" s="700"/>
      <c r="K203" s="700"/>
      <c r="L203" s="700"/>
      <c r="M203" s="701"/>
      <c r="N203" s="701"/>
      <c r="O203" s="701"/>
      <c r="P203" s="701"/>
      <c r="Q203" s="701"/>
      <c r="R203" s="701"/>
      <c r="S203" s="701"/>
      <c r="T203" s="701"/>
      <c r="U203" s="701"/>
      <c r="V203" s="701"/>
      <c r="W203" s="701"/>
      <c r="X203" s="701"/>
      <c r="Y203" s="701"/>
      <c r="Z203" s="701"/>
      <c r="AA203" s="701"/>
      <c r="AB203" s="701"/>
      <c r="AC203" s="701"/>
      <c r="AD203" s="701"/>
      <c r="AE203" s="701"/>
      <c r="AF203" s="701"/>
      <c r="AG203" s="701"/>
      <c r="AH203" s="701"/>
      <c r="AI203" s="701"/>
      <c r="AJ203" s="701"/>
      <c r="AK203" s="701"/>
      <c r="AL203" s="701"/>
      <c r="AM203" s="701"/>
      <c r="AN203" s="701"/>
      <c r="AO203" s="701"/>
      <c r="AP203" s="701"/>
      <c r="AQ203" s="701"/>
      <c r="AR203" s="701"/>
      <c r="AS203" s="701"/>
      <c r="AT203" s="701"/>
      <c r="AU203" s="701"/>
      <c r="AV203" s="701"/>
      <c r="AW203" s="701"/>
      <c r="AX203" s="701"/>
      <c r="AY203" s="701"/>
      <c r="AZ203" s="701"/>
      <c r="BA203" s="701"/>
      <c r="BB203" s="701"/>
      <c r="BC203" s="701"/>
    </row>
    <row r="204" spans="1:55" s="702" customFormat="1" ht="35.1" customHeight="1">
      <c r="A204" s="703">
        <v>201</v>
      </c>
      <c r="B204" s="704" t="s">
        <v>2298</v>
      </c>
      <c r="C204" s="705" t="s">
        <v>655</v>
      </c>
      <c r="D204" s="706">
        <f>ROUND((102000*2+12500+6000)/1.1,0)</f>
        <v>202273</v>
      </c>
      <c r="E204" s="709">
        <f>ROUND((63500*2+18000+10500)/1.1,0)</f>
        <v>141364</v>
      </c>
      <c r="F204" s="707" t="s">
        <v>2246</v>
      </c>
      <c r="G204" s="699"/>
      <c r="H204" s="700"/>
      <c r="I204" s="700"/>
      <c r="J204" s="700"/>
      <c r="K204" s="700"/>
      <c r="L204" s="700"/>
      <c r="M204" s="701"/>
      <c r="N204" s="701"/>
      <c r="O204" s="701"/>
      <c r="P204" s="701"/>
      <c r="Q204" s="701"/>
      <c r="R204" s="701"/>
      <c r="S204" s="701"/>
      <c r="T204" s="701"/>
      <c r="U204" s="701"/>
      <c r="V204" s="701"/>
      <c r="W204" s="701"/>
      <c r="X204" s="701"/>
      <c r="Y204" s="701"/>
      <c r="Z204" s="701"/>
      <c r="AA204" s="701"/>
      <c r="AB204" s="701"/>
      <c r="AC204" s="701"/>
      <c r="AD204" s="701"/>
      <c r="AE204" s="701"/>
      <c r="AF204" s="701"/>
      <c r="AG204" s="701"/>
      <c r="AH204" s="701"/>
      <c r="AI204" s="701"/>
      <c r="AJ204" s="701"/>
      <c r="AK204" s="701"/>
      <c r="AL204" s="701"/>
      <c r="AM204" s="701"/>
      <c r="AN204" s="701"/>
      <c r="AO204" s="701"/>
      <c r="AP204" s="701"/>
      <c r="AQ204" s="701"/>
      <c r="AR204" s="701"/>
      <c r="AS204" s="701"/>
      <c r="AT204" s="701"/>
      <c r="AU204" s="701"/>
      <c r="AV204" s="701"/>
      <c r="AW204" s="701"/>
      <c r="AX204" s="701"/>
      <c r="AY204" s="701"/>
      <c r="AZ204" s="701"/>
      <c r="BA204" s="701"/>
      <c r="BB204" s="701"/>
      <c r="BC204" s="701"/>
    </row>
    <row r="205" spans="1:55" s="702" customFormat="1" ht="35.1" customHeight="1">
      <c r="A205" s="703">
        <v>202</v>
      </c>
      <c r="B205" s="704" t="s">
        <v>2299</v>
      </c>
      <c r="C205" s="705" t="s">
        <v>655</v>
      </c>
      <c r="D205" s="706">
        <f>ROUND((102000*3+12500+6000)/1.1,0)</f>
        <v>295000</v>
      </c>
      <c r="E205" s="709">
        <f>ROUND((63500*3+18000+10500)/1.1,0)</f>
        <v>199091</v>
      </c>
      <c r="F205" s="707" t="s">
        <v>2246</v>
      </c>
      <c r="G205" s="699"/>
      <c r="H205" s="700"/>
      <c r="I205" s="700"/>
      <c r="J205" s="700"/>
      <c r="K205" s="700"/>
      <c r="L205" s="700"/>
      <c r="M205" s="701"/>
      <c r="N205" s="701"/>
      <c r="O205" s="701"/>
      <c r="P205" s="701"/>
      <c r="Q205" s="701"/>
      <c r="R205" s="701"/>
      <c r="S205" s="701"/>
      <c r="T205" s="701"/>
      <c r="U205" s="701"/>
      <c r="V205" s="701"/>
      <c r="W205" s="701"/>
      <c r="X205" s="701"/>
      <c r="Y205" s="701"/>
      <c r="Z205" s="701"/>
      <c r="AA205" s="701"/>
      <c r="AB205" s="701"/>
      <c r="AC205" s="701"/>
      <c r="AD205" s="701"/>
      <c r="AE205" s="701"/>
      <c r="AF205" s="701"/>
      <c r="AG205" s="701"/>
      <c r="AH205" s="701"/>
      <c r="AI205" s="701"/>
      <c r="AJ205" s="701"/>
      <c r="AK205" s="701"/>
      <c r="AL205" s="701"/>
      <c r="AM205" s="701"/>
      <c r="AN205" s="701"/>
      <c r="AO205" s="701"/>
      <c r="AP205" s="701"/>
      <c r="AQ205" s="701"/>
      <c r="AR205" s="701"/>
      <c r="AS205" s="701"/>
      <c r="AT205" s="701"/>
      <c r="AU205" s="701"/>
      <c r="AV205" s="701"/>
      <c r="AW205" s="701"/>
      <c r="AX205" s="701"/>
      <c r="AY205" s="701"/>
      <c r="AZ205" s="701"/>
      <c r="BA205" s="701"/>
      <c r="BB205" s="701"/>
      <c r="BC205" s="701"/>
    </row>
    <row r="206" spans="1:55" s="702" customFormat="1" ht="35.1" customHeight="1">
      <c r="A206" s="703">
        <v>203</v>
      </c>
      <c r="B206" s="704" t="s">
        <v>2300</v>
      </c>
      <c r="C206" s="705" t="s">
        <v>655</v>
      </c>
      <c r="D206" s="706">
        <f>ROUND(51000/1.1,0)</f>
        <v>46364</v>
      </c>
      <c r="E206" s="706">
        <f>ROUND(51000/1.1,0)</f>
        <v>46364</v>
      </c>
      <c r="F206" s="707" t="s">
        <v>2301</v>
      </c>
      <c r="G206" s="699"/>
      <c r="H206" s="700"/>
      <c r="I206" s="700"/>
      <c r="J206" s="700"/>
      <c r="K206" s="700"/>
      <c r="L206" s="700"/>
      <c r="M206" s="701"/>
      <c r="N206" s="701"/>
      <c r="O206" s="701"/>
      <c r="P206" s="701"/>
      <c r="Q206" s="701"/>
      <c r="R206" s="701"/>
      <c r="S206" s="701"/>
      <c r="T206" s="701"/>
      <c r="U206" s="701"/>
      <c r="V206" s="701"/>
      <c r="W206" s="701"/>
      <c r="X206" s="701"/>
      <c r="Y206" s="701"/>
      <c r="Z206" s="701"/>
      <c r="AA206" s="701"/>
      <c r="AB206" s="701"/>
      <c r="AC206" s="701"/>
      <c r="AD206" s="701"/>
      <c r="AE206" s="701"/>
      <c r="AF206" s="701"/>
      <c r="AG206" s="701"/>
      <c r="AH206" s="701"/>
      <c r="AI206" s="701"/>
      <c r="AJ206" s="701"/>
      <c r="AK206" s="701"/>
      <c r="AL206" s="701"/>
      <c r="AM206" s="701"/>
      <c r="AN206" s="701"/>
      <c r="AO206" s="701"/>
      <c r="AP206" s="701"/>
      <c r="AQ206" s="701"/>
      <c r="AR206" s="701"/>
      <c r="AS206" s="701"/>
      <c r="AT206" s="701"/>
      <c r="AU206" s="701"/>
      <c r="AV206" s="701"/>
      <c r="AW206" s="701"/>
      <c r="AX206" s="701"/>
      <c r="AY206" s="701"/>
      <c r="AZ206" s="701"/>
      <c r="BA206" s="701"/>
      <c r="BB206" s="701"/>
      <c r="BC206" s="701"/>
    </row>
    <row r="207" spans="1:55" s="702" customFormat="1" ht="35.1" customHeight="1">
      <c r="A207" s="703">
        <v>204</v>
      </c>
      <c r="B207" s="704" t="s">
        <v>2302</v>
      </c>
      <c r="C207" s="705" t="s">
        <v>677</v>
      </c>
      <c r="D207" s="706">
        <v>850000</v>
      </c>
      <c r="E207" s="706">
        <v>850000</v>
      </c>
      <c r="F207" s="707" t="s">
        <v>2201</v>
      </c>
      <c r="G207" s="699"/>
      <c r="H207" s="700"/>
      <c r="I207" s="700"/>
      <c r="J207" s="700"/>
      <c r="K207" s="700"/>
      <c r="L207" s="700"/>
      <c r="M207" s="701"/>
      <c r="N207" s="701"/>
      <c r="O207" s="701"/>
      <c r="P207" s="701"/>
      <c r="Q207" s="701"/>
      <c r="R207" s="701"/>
      <c r="S207" s="701"/>
      <c r="T207" s="701"/>
      <c r="U207" s="701"/>
      <c r="V207" s="701"/>
      <c r="W207" s="701"/>
      <c r="X207" s="701"/>
      <c r="Y207" s="701"/>
      <c r="Z207" s="701"/>
      <c r="AA207" s="701"/>
      <c r="AB207" s="701"/>
      <c r="AC207" s="701"/>
      <c r="AD207" s="701"/>
      <c r="AE207" s="701"/>
      <c r="AF207" s="701"/>
      <c r="AG207" s="701"/>
      <c r="AH207" s="701"/>
      <c r="AI207" s="701"/>
      <c r="AJ207" s="701"/>
      <c r="AK207" s="701"/>
      <c r="AL207" s="701"/>
      <c r="AM207" s="701"/>
      <c r="AN207" s="701"/>
      <c r="AO207" s="701"/>
      <c r="AP207" s="701"/>
      <c r="AQ207" s="701"/>
      <c r="AR207" s="701"/>
      <c r="AS207" s="701"/>
      <c r="AT207" s="701"/>
      <c r="AU207" s="701"/>
      <c r="AV207" s="701"/>
      <c r="AW207" s="701"/>
      <c r="AX207" s="701"/>
      <c r="AY207" s="701"/>
      <c r="AZ207" s="701"/>
      <c r="BA207" s="701"/>
      <c r="BB207" s="701"/>
      <c r="BC207" s="701"/>
    </row>
    <row r="208" spans="1:55" s="702" customFormat="1" ht="35.1" customHeight="1">
      <c r="A208" s="703">
        <v>205</v>
      </c>
      <c r="B208" s="704" t="s">
        <v>2303</v>
      </c>
      <c r="C208" s="705" t="s">
        <v>655</v>
      </c>
      <c r="D208" s="706">
        <f>ROUND(460000/1.1,0)</f>
        <v>418182</v>
      </c>
      <c r="E208" s="706">
        <f>ROUND(460000/1.1,0)</f>
        <v>418182</v>
      </c>
      <c r="F208" s="707" t="s">
        <v>2304</v>
      </c>
      <c r="G208" s="699"/>
      <c r="H208" s="700"/>
      <c r="I208" s="700"/>
      <c r="J208" s="700"/>
      <c r="K208" s="700"/>
      <c r="L208" s="700"/>
      <c r="M208" s="701"/>
      <c r="N208" s="701"/>
      <c r="O208" s="701"/>
      <c r="P208" s="701"/>
      <c r="Q208" s="701"/>
      <c r="R208" s="701"/>
      <c r="S208" s="701"/>
      <c r="T208" s="701"/>
      <c r="U208" s="701"/>
      <c r="V208" s="701"/>
      <c r="W208" s="701"/>
      <c r="X208" s="701"/>
      <c r="Y208" s="701"/>
      <c r="Z208" s="701"/>
      <c r="AA208" s="701"/>
      <c r="AB208" s="701"/>
      <c r="AC208" s="701"/>
      <c r="AD208" s="701"/>
      <c r="AE208" s="701"/>
      <c r="AF208" s="701"/>
      <c r="AG208" s="701"/>
      <c r="AH208" s="701"/>
      <c r="AI208" s="701"/>
      <c r="AJ208" s="701"/>
      <c r="AK208" s="701"/>
      <c r="AL208" s="701"/>
      <c r="AM208" s="701"/>
      <c r="AN208" s="701"/>
      <c r="AO208" s="701"/>
      <c r="AP208" s="701"/>
      <c r="AQ208" s="701"/>
      <c r="AR208" s="701"/>
      <c r="AS208" s="701"/>
      <c r="AT208" s="701"/>
      <c r="AU208" s="701"/>
      <c r="AV208" s="701"/>
      <c r="AW208" s="701"/>
      <c r="AX208" s="701"/>
      <c r="AY208" s="701"/>
      <c r="AZ208" s="701"/>
      <c r="BA208" s="701"/>
      <c r="BB208" s="701"/>
      <c r="BC208" s="701"/>
    </row>
    <row r="209" spans="1:55" s="702" customFormat="1" ht="35.1" customHeight="1">
      <c r="A209" s="703">
        <v>206</v>
      </c>
      <c r="B209" s="704" t="s">
        <v>2305</v>
      </c>
      <c r="C209" s="705" t="s">
        <v>655</v>
      </c>
      <c r="D209" s="706">
        <f>ROUND(130000/1.1,0)</f>
        <v>118182</v>
      </c>
      <c r="E209" s="706">
        <f>ROUND(130000/1.1,0)</f>
        <v>118182</v>
      </c>
      <c r="F209" s="707" t="s">
        <v>2306</v>
      </c>
      <c r="G209" s="699"/>
      <c r="H209" s="700"/>
      <c r="I209" s="700"/>
      <c r="J209" s="700"/>
      <c r="K209" s="700"/>
      <c r="L209" s="700"/>
      <c r="M209" s="701"/>
      <c r="N209" s="701"/>
      <c r="O209" s="701"/>
      <c r="P209" s="701"/>
      <c r="Q209" s="701"/>
      <c r="R209" s="701"/>
      <c r="S209" s="701"/>
      <c r="T209" s="701"/>
      <c r="U209" s="701"/>
      <c r="V209" s="701"/>
      <c r="W209" s="701"/>
      <c r="X209" s="701"/>
      <c r="Y209" s="701"/>
      <c r="Z209" s="701"/>
      <c r="AA209" s="701"/>
      <c r="AB209" s="701"/>
      <c r="AC209" s="701"/>
      <c r="AD209" s="701"/>
      <c r="AE209" s="701"/>
      <c r="AF209" s="701"/>
      <c r="AG209" s="701"/>
      <c r="AH209" s="701"/>
      <c r="AI209" s="701"/>
      <c r="AJ209" s="701"/>
      <c r="AK209" s="701"/>
      <c r="AL209" s="701"/>
      <c r="AM209" s="701"/>
      <c r="AN209" s="701"/>
      <c r="AO209" s="701"/>
      <c r="AP209" s="701"/>
      <c r="AQ209" s="701"/>
      <c r="AR209" s="701"/>
      <c r="AS209" s="701"/>
      <c r="AT209" s="701"/>
      <c r="AU209" s="701"/>
      <c r="AV209" s="701"/>
      <c r="AW209" s="701"/>
      <c r="AX209" s="701"/>
      <c r="AY209" s="701"/>
      <c r="AZ209" s="701"/>
      <c r="BA209" s="701"/>
      <c r="BB209" s="701"/>
      <c r="BC209" s="701"/>
    </row>
    <row r="210" spans="1:55" s="702" customFormat="1" ht="35.1" customHeight="1">
      <c r="A210" s="703">
        <v>207</v>
      </c>
      <c r="B210" s="704" t="s">
        <v>2307</v>
      </c>
      <c r="C210" s="705" t="s">
        <v>655</v>
      </c>
      <c r="D210" s="706">
        <f>ROUND((57000+6000)/1.1,0)</f>
        <v>57273</v>
      </c>
      <c r="E210" s="709">
        <f>ROUND((99000+18000+10500)/1.1,0)</f>
        <v>115909</v>
      </c>
      <c r="F210" s="707" t="s">
        <v>2246</v>
      </c>
      <c r="G210" s="699"/>
      <c r="H210" s="700"/>
      <c r="I210" s="700"/>
      <c r="J210" s="700"/>
      <c r="K210" s="700"/>
      <c r="L210" s="700"/>
      <c r="M210" s="701"/>
      <c r="N210" s="701"/>
      <c r="O210" s="701"/>
      <c r="P210" s="701"/>
      <c r="Q210" s="701"/>
      <c r="R210" s="701"/>
      <c r="S210" s="701"/>
      <c r="T210" s="701"/>
      <c r="U210" s="701"/>
      <c r="V210" s="701"/>
      <c r="W210" s="701"/>
      <c r="X210" s="701"/>
      <c r="Y210" s="701"/>
      <c r="Z210" s="701"/>
      <c r="AA210" s="701"/>
      <c r="AB210" s="701"/>
      <c r="AC210" s="701"/>
      <c r="AD210" s="701"/>
      <c r="AE210" s="701"/>
      <c r="AF210" s="701"/>
      <c r="AG210" s="701"/>
      <c r="AH210" s="701"/>
      <c r="AI210" s="701"/>
      <c r="AJ210" s="701"/>
      <c r="AK210" s="701"/>
      <c r="AL210" s="701"/>
      <c r="AM210" s="701"/>
      <c r="AN210" s="701"/>
      <c r="AO210" s="701"/>
      <c r="AP210" s="701"/>
      <c r="AQ210" s="701"/>
      <c r="AR210" s="701"/>
      <c r="AS210" s="701"/>
      <c r="AT210" s="701"/>
      <c r="AU210" s="701"/>
      <c r="AV210" s="701"/>
      <c r="AW210" s="701"/>
      <c r="AX210" s="701"/>
      <c r="AY210" s="701"/>
      <c r="AZ210" s="701"/>
      <c r="BA210" s="701"/>
      <c r="BB210" s="701"/>
      <c r="BC210" s="701"/>
    </row>
    <row r="211" spans="1:55" s="702" customFormat="1" ht="35.1" customHeight="1">
      <c r="A211" s="703">
        <v>208</v>
      </c>
      <c r="B211" s="704" t="s">
        <v>2308</v>
      </c>
      <c r="C211" s="705" t="s">
        <v>655</v>
      </c>
      <c r="D211" s="706">
        <f>ROUND((44600+6000)/1.1,0)</f>
        <v>46000</v>
      </c>
      <c r="E211" s="709">
        <f>ROUND((41000*2+18000+10500)/1.1,0)</f>
        <v>100455</v>
      </c>
      <c r="F211" s="707" t="s">
        <v>2246</v>
      </c>
      <c r="G211" s="699"/>
      <c r="H211" s="700"/>
      <c r="I211" s="700"/>
      <c r="J211" s="700"/>
      <c r="K211" s="700"/>
      <c r="L211" s="700"/>
      <c r="M211" s="701"/>
      <c r="N211" s="701"/>
      <c r="O211" s="701"/>
      <c r="P211" s="701"/>
      <c r="Q211" s="701"/>
      <c r="R211" s="701"/>
      <c r="S211" s="701"/>
      <c r="T211" s="701"/>
      <c r="U211" s="701"/>
      <c r="V211" s="701"/>
      <c r="W211" s="701"/>
      <c r="X211" s="701"/>
      <c r="Y211" s="701"/>
      <c r="Z211" s="701"/>
      <c r="AA211" s="701"/>
      <c r="AB211" s="701"/>
      <c r="AC211" s="701"/>
      <c r="AD211" s="701"/>
      <c r="AE211" s="701"/>
      <c r="AF211" s="701"/>
      <c r="AG211" s="701"/>
      <c r="AH211" s="701"/>
      <c r="AI211" s="701"/>
      <c r="AJ211" s="701"/>
      <c r="AK211" s="701"/>
      <c r="AL211" s="701"/>
      <c r="AM211" s="701"/>
      <c r="AN211" s="701"/>
      <c r="AO211" s="701"/>
      <c r="AP211" s="701"/>
      <c r="AQ211" s="701"/>
      <c r="AR211" s="701"/>
      <c r="AS211" s="701"/>
      <c r="AT211" s="701"/>
      <c r="AU211" s="701"/>
      <c r="AV211" s="701"/>
      <c r="AW211" s="701"/>
      <c r="AX211" s="701"/>
      <c r="AY211" s="701"/>
      <c r="AZ211" s="701"/>
      <c r="BA211" s="701"/>
      <c r="BB211" s="701"/>
      <c r="BC211" s="701"/>
    </row>
    <row r="212" spans="1:55" s="702" customFormat="1" ht="35.1" customHeight="1">
      <c r="A212" s="703">
        <v>209</v>
      </c>
      <c r="B212" s="704" t="s">
        <v>2309</v>
      </c>
      <c r="C212" s="705" t="s">
        <v>655</v>
      </c>
      <c r="D212" s="706">
        <f>ROUND((75500+6000)/1.1,0)</f>
        <v>74091</v>
      </c>
      <c r="E212" s="709">
        <f>ROUND((187000+10500)/1.1,0)</f>
        <v>179545</v>
      </c>
      <c r="F212" s="707" t="s">
        <v>2246</v>
      </c>
      <c r="G212" s="699"/>
      <c r="H212" s="700"/>
      <c r="I212" s="700"/>
      <c r="J212" s="700"/>
      <c r="K212" s="700"/>
      <c r="L212" s="700"/>
      <c r="M212" s="701"/>
      <c r="N212" s="701"/>
      <c r="O212" s="701"/>
      <c r="P212" s="701"/>
      <c r="Q212" s="701"/>
      <c r="R212" s="701"/>
      <c r="S212" s="701"/>
      <c r="T212" s="701"/>
      <c r="U212" s="701"/>
      <c r="V212" s="701"/>
      <c r="W212" s="701"/>
      <c r="X212" s="701"/>
      <c r="Y212" s="701"/>
      <c r="Z212" s="701"/>
      <c r="AA212" s="701"/>
      <c r="AB212" s="701"/>
      <c r="AC212" s="701"/>
      <c r="AD212" s="701"/>
      <c r="AE212" s="701"/>
      <c r="AF212" s="701"/>
      <c r="AG212" s="701"/>
      <c r="AH212" s="701"/>
      <c r="AI212" s="701"/>
      <c r="AJ212" s="701"/>
      <c r="AK212" s="701"/>
      <c r="AL212" s="701"/>
      <c r="AM212" s="701"/>
      <c r="AN212" s="701"/>
      <c r="AO212" s="701"/>
      <c r="AP212" s="701"/>
      <c r="AQ212" s="701"/>
      <c r="AR212" s="701"/>
      <c r="AS212" s="701"/>
      <c r="AT212" s="701"/>
      <c r="AU212" s="701"/>
      <c r="AV212" s="701"/>
      <c r="AW212" s="701"/>
      <c r="AX212" s="701"/>
      <c r="AY212" s="701"/>
      <c r="AZ212" s="701"/>
      <c r="BA212" s="701"/>
      <c r="BB212" s="701"/>
      <c r="BC212" s="701"/>
    </row>
    <row r="213" spans="1:55" s="702" customFormat="1" ht="35.1" customHeight="1">
      <c r="A213" s="703">
        <v>210</v>
      </c>
      <c r="B213" s="704" t="s">
        <v>2310</v>
      </c>
      <c r="C213" s="705" t="s">
        <v>2311</v>
      </c>
      <c r="D213" s="706">
        <v>5000000</v>
      </c>
      <c r="E213" s="706">
        <v>5000000</v>
      </c>
      <c r="F213" s="707" t="s">
        <v>2201</v>
      </c>
      <c r="G213" s="699"/>
      <c r="H213" s="700"/>
      <c r="I213" s="700"/>
      <c r="J213" s="700"/>
      <c r="K213" s="700"/>
      <c r="L213" s="700"/>
      <c r="M213" s="701"/>
      <c r="N213" s="701"/>
      <c r="O213" s="701"/>
      <c r="P213" s="701"/>
      <c r="Q213" s="701"/>
      <c r="R213" s="701"/>
      <c r="S213" s="701"/>
      <c r="T213" s="701"/>
      <c r="U213" s="701"/>
      <c r="V213" s="701"/>
      <c r="W213" s="701"/>
      <c r="X213" s="701"/>
      <c r="Y213" s="701"/>
      <c r="Z213" s="701"/>
      <c r="AA213" s="701"/>
      <c r="AB213" s="701"/>
      <c r="AC213" s="701"/>
      <c r="AD213" s="701"/>
      <c r="AE213" s="701"/>
      <c r="AF213" s="701"/>
      <c r="AG213" s="701"/>
      <c r="AH213" s="701"/>
      <c r="AI213" s="701"/>
      <c r="AJ213" s="701"/>
      <c r="AK213" s="701"/>
      <c r="AL213" s="701"/>
      <c r="AM213" s="701"/>
      <c r="AN213" s="701"/>
      <c r="AO213" s="701"/>
      <c r="AP213" s="701"/>
      <c r="AQ213" s="701"/>
      <c r="AR213" s="701"/>
      <c r="AS213" s="701"/>
      <c r="AT213" s="701"/>
      <c r="AU213" s="701"/>
      <c r="AV213" s="701"/>
      <c r="AW213" s="701"/>
      <c r="AX213" s="701"/>
      <c r="AY213" s="701"/>
      <c r="AZ213" s="701"/>
      <c r="BA213" s="701"/>
      <c r="BB213" s="701"/>
      <c r="BC213" s="701"/>
    </row>
    <row r="214" spans="1:55" s="702" customFormat="1" ht="35.1" customHeight="1">
      <c r="A214" s="703">
        <v>211</v>
      </c>
      <c r="B214" s="704" t="s">
        <v>2312</v>
      </c>
      <c r="C214" s="705" t="s">
        <v>655</v>
      </c>
      <c r="D214" s="706">
        <v>115000</v>
      </c>
      <c r="E214" s="706">
        <v>115000</v>
      </c>
      <c r="F214" s="707" t="s">
        <v>2313</v>
      </c>
      <c r="G214" s="699"/>
      <c r="H214" s="700"/>
      <c r="I214" s="700"/>
      <c r="J214" s="700"/>
      <c r="K214" s="700"/>
      <c r="L214" s="700"/>
      <c r="M214" s="701"/>
      <c r="N214" s="701"/>
      <c r="O214" s="701"/>
      <c r="P214" s="701"/>
      <c r="Q214" s="701"/>
      <c r="R214" s="701"/>
      <c r="S214" s="701"/>
      <c r="T214" s="701"/>
      <c r="U214" s="701"/>
      <c r="V214" s="701"/>
      <c r="W214" s="701"/>
      <c r="X214" s="701"/>
      <c r="Y214" s="701"/>
      <c r="Z214" s="701"/>
      <c r="AA214" s="701"/>
      <c r="AB214" s="701"/>
      <c r="AC214" s="701"/>
      <c r="AD214" s="701"/>
      <c r="AE214" s="701"/>
      <c r="AF214" s="701"/>
      <c r="AG214" s="701"/>
      <c r="AH214" s="701"/>
      <c r="AI214" s="701"/>
      <c r="AJ214" s="701"/>
      <c r="AK214" s="701"/>
      <c r="AL214" s="701"/>
      <c r="AM214" s="701"/>
      <c r="AN214" s="701"/>
      <c r="AO214" s="701"/>
      <c r="AP214" s="701"/>
      <c r="AQ214" s="701"/>
      <c r="AR214" s="701"/>
      <c r="AS214" s="701"/>
      <c r="AT214" s="701"/>
      <c r="AU214" s="701"/>
      <c r="AV214" s="701"/>
      <c r="AW214" s="701"/>
      <c r="AX214" s="701"/>
      <c r="AY214" s="701"/>
      <c r="AZ214" s="701"/>
      <c r="BA214" s="701"/>
      <c r="BB214" s="701"/>
      <c r="BC214" s="701"/>
    </row>
    <row r="215" spans="1:55" s="702" customFormat="1" ht="35.1" customHeight="1">
      <c r="A215" s="703">
        <v>212</v>
      </c>
      <c r="B215" s="704" t="s">
        <v>2314</v>
      </c>
      <c r="C215" s="705" t="s">
        <v>655</v>
      </c>
      <c r="D215" s="706">
        <v>850000</v>
      </c>
      <c r="E215" s="706">
        <v>850000</v>
      </c>
      <c r="F215" s="707" t="s">
        <v>2201</v>
      </c>
      <c r="G215" s="699"/>
      <c r="H215" s="700"/>
      <c r="I215" s="700"/>
      <c r="J215" s="700"/>
      <c r="K215" s="700"/>
      <c r="L215" s="700"/>
      <c r="M215" s="701"/>
      <c r="N215" s="701"/>
      <c r="O215" s="701"/>
      <c r="P215" s="701"/>
      <c r="Q215" s="701"/>
      <c r="R215" s="701"/>
      <c r="S215" s="701"/>
      <c r="T215" s="701"/>
      <c r="U215" s="701"/>
      <c r="V215" s="701"/>
      <c r="W215" s="701"/>
      <c r="X215" s="701"/>
      <c r="Y215" s="701"/>
      <c r="Z215" s="701"/>
      <c r="AA215" s="701"/>
      <c r="AB215" s="701"/>
      <c r="AC215" s="701"/>
      <c r="AD215" s="701"/>
      <c r="AE215" s="701"/>
      <c r="AF215" s="701"/>
      <c r="AG215" s="701"/>
      <c r="AH215" s="701"/>
      <c r="AI215" s="701"/>
      <c r="AJ215" s="701"/>
      <c r="AK215" s="701"/>
      <c r="AL215" s="701"/>
      <c r="AM215" s="701"/>
      <c r="AN215" s="701"/>
      <c r="AO215" s="701"/>
      <c r="AP215" s="701"/>
      <c r="AQ215" s="701"/>
      <c r="AR215" s="701"/>
      <c r="AS215" s="701"/>
      <c r="AT215" s="701"/>
      <c r="AU215" s="701"/>
      <c r="AV215" s="701"/>
      <c r="AW215" s="701"/>
      <c r="AX215" s="701"/>
      <c r="AY215" s="701"/>
      <c r="AZ215" s="701"/>
      <c r="BA215" s="701"/>
      <c r="BB215" s="701"/>
      <c r="BC215" s="701"/>
    </row>
    <row r="216" spans="1:55" s="702" customFormat="1" ht="35.1" customHeight="1">
      <c r="A216" s="703">
        <v>213</v>
      </c>
      <c r="B216" s="704" t="s">
        <v>1886</v>
      </c>
      <c r="C216" s="705" t="s">
        <v>1730</v>
      </c>
      <c r="D216" s="706">
        <v>142500</v>
      </c>
      <c r="E216" s="706">
        <v>142500</v>
      </c>
      <c r="F216" s="707" t="s">
        <v>2084</v>
      </c>
      <c r="G216" s="699"/>
      <c r="H216" s="700"/>
      <c r="I216" s="700"/>
      <c r="J216" s="700"/>
      <c r="K216" s="700"/>
      <c r="L216" s="700"/>
      <c r="M216" s="701"/>
      <c r="N216" s="701"/>
      <c r="O216" s="701"/>
      <c r="P216" s="701"/>
      <c r="Q216" s="701"/>
      <c r="R216" s="701"/>
      <c r="S216" s="701"/>
      <c r="T216" s="701"/>
      <c r="U216" s="701"/>
      <c r="V216" s="701"/>
      <c r="W216" s="701"/>
      <c r="X216" s="701"/>
      <c r="Y216" s="701"/>
      <c r="Z216" s="701"/>
      <c r="AA216" s="701"/>
      <c r="AB216" s="701"/>
      <c r="AC216" s="701"/>
      <c r="AD216" s="701"/>
      <c r="AE216" s="701"/>
      <c r="AF216" s="701"/>
      <c r="AG216" s="701"/>
      <c r="AH216" s="701"/>
      <c r="AI216" s="701"/>
      <c r="AJ216" s="701"/>
      <c r="AK216" s="701"/>
      <c r="AL216" s="701"/>
      <c r="AM216" s="701"/>
      <c r="AN216" s="701"/>
      <c r="AO216" s="701"/>
      <c r="AP216" s="701"/>
      <c r="AQ216" s="701"/>
      <c r="AR216" s="701"/>
      <c r="AS216" s="701"/>
      <c r="AT216" s="701"/>
      <c r="AU216" s="701"/>
      <c r="AV216" s="701"/>
      <c r="AW216" s="701"/>
      <c r="AX216" s="701"/>
      <c r="AY216" s="701"/>
      <c r="AZ216" s="701"/>
      <c r="BA216" s="701"/>
      <c r="BB216" s="701"/>
      <c r="BC216" s="701"/>
    </row>
    <row r="217" spans="1:55" s="702" customFormat="1" ht="35.1" customHeight="1">
      <c r="A217" s="703">
        <v>214</v>
      </c>
      <c r="B217" s="704" t="s">
        <v>2315</v>
      </c>
      <c r="C217" s="705" t="s">
        <v>1730</v>
      </c>
      <c r="D217" s="706">
        <v>19600</v>
      </c>
      <c r="E217" s="706">
        <v>19600</v>
      </c>
      <c r="F217" s="707" t="s">
        <v>2316</v>
      </c>
      <c r="G217" s="699"/>
      <c r="H217" s="700"/>
      <c r="I217" s="700" t="s">
        <v>2061</v>
      </c>
      <c r="J217" s="700"/>
      <c r="K217" s="700"/>
      <c r="L217" s="700"/>
      <c r="M217" s="701"/>
      <c r="N217" s="701"/>
      <c r="O217" s="701"/>
      <c r="P217" s="701"/>
      <c r="Q217" s="701"/>
      <c r="R217" s="701"/>
      <c r="S217" s="701"/>
      <c r="T217" s="701"/>
      <c r="U217" s="701"/>
      <c r="V217" s="701"/>
      <c r="W217" s="701"/>
      <c r="X217" s="701"/>
      <c r="Y217" s="701"/>
      <c r="Z217" s="701"/>
      <c r="AA217" s="701"/>
      <c r="AB217" s="701"/>
      <c r="AC217" s="701"/>
      <c r="AD217" s="701"/>
      <c r="AE217" s="701"/>
      <c r="AF217" s="701"/>
      <c r="AG217" s="701"/>
      <c r="AH217" s="701"/>
      <c r="AI217" s="701"/>
      <c r="AJ217" s="701"/>
      <c r="AK217" s="701"/>
      <c r="AL217" s="701"/>
      <c r="AM217" s="701"/>
      <c r="AN217" s="701"/>
      <c r="AO217" s="701"/>
      <c r="AP217" s="701"/>
      <c r="AQ217" s="701"/>
      <c r="AR217" s="701"/>
      <c r="AS217" s="701"/>
      <c r="AT217" s="701"/>
      <c r="AU217" s="701"/>
      <c r="AV217" s="701"/>
      <c r="AW217" s="701"/>
      <c r="AX217" s="701"/>
      <c r="AY217" s="701"/>
      <c r="AZ217" s="701"/>
      <c r="BA217" s="701"/>
      <c r="BB217" s="701"/>
      <c r="BC217" s="701"/>
    </row>
    <row r="218" spans="1:55" s="702" customFormat="1" ht="35.1" customHeight="1">
      <c r="A218" s="703">
        <v>215</v>
      </c>
      <c r="B218" s="704" t="s">
        <v>2317</v>
      </c>
      <c r="C218" s="705" t="s">
        <v>1730</v>
      </c>
      <c r="D218" s="706">
        <f>ROUND(57000/1.1,0)</f>
        <v>51818</v>
      </c>
      <c r="E218" s="706">
        <f>ROUND(57000/1.1,0)</f>
        <v>51818</v>
      </c>
      <c r="F218" s="707" t="s">
        <v>2318</v>
      </c>
      <c r="G218" s="699"/>
      <c r="H218" s="700"/>
      <c r="I218" s="700"/>
      <c r="J218" s="700"/>
      <c r="K218" s="700"/>
      <c r="L218" s="700"/>
      <c r="M218" s="701"/>
      <c r="N218" s="701"/>
      <c r="O218" s="701"/>
      <c r="P218" s="701"/>
      <c r="Q218" s="701"/>
      <c r="R218" s="701"/>
      <c r="S218" s="701"/>
      <c r="T218" s="701"/>
      <c r="U218" s="701"/>
      <c r="V218" s="701"/>
      <c r="W218" s="701"/>
      <c r="X218" s="701"/>
      <c r="Y218" s="701"/>
      <c r="Z218" s="701"/>
      <c r="AA218" s="701"/>
      <c r="AB218" s="701"/>
      <c r="AC218" s="701"/>
      <c r="AD218" s="701"/>
      <c r="AE218" s="701"/>
      <c r="AF218" s="701"/>
      <c r="AG218" s="701"/>
      <c r="AH218" s="701"/>
      <c r="AI218" s="701"/>
      <c r="AJ218" s="701"/>
      <c r="AK218" s="701"/>
      <c r="AL218" s="701"/>
      <c r="AM218" s="701"/>
      <c r="AN218" s="701"/>
      <c r="AO218" s="701"/>
      <c r="AP218" s="701"/>
      <c r="AQ218" s="701"/>
      <c r="AR218" s="701"/>
      <c r="AS218" s="701"/>
      <c r="AT218" s="701"/>
      <c r="AU218" s="701"/>
      <c r="AV218" s="701"/>
      <c r="AW218" s="701"/>
      <c r="AX218" s="701"/>
      <c r="AY218" s="701"/>
      <c r="AZ218" s="701"/>
      <c r="BA218" s="701"/>
      <c r="BB218" s="701"/>
      <c r="BC218" s="701"/>
    </row>
    <row r="219" spans="1:55" s="702" customFormat="1" ht="35.1" customHeight="1">
      <c r="A219" s="703">
        <v>216</v>
      </c>
      <c r="B219" s="704" t="s">
        <v>2319</v>
      </c>
      <c r="C219" s="705" t="s">
        <v>655</v>
      </c>
      <c r="D219" s="706">
        <f>ROUND(3380/1.1,0)</f>
        <v>3073</v>
      </c>
      <c r="E219" s="706">
        <f>ROUND(3380/1.1,0)</f>
        <v>3073</v>
      </c>
      <c r="F219" s="707" t="s">
        <v>2320</v>
      </c>
      <c r="G219" s="699"/>
      <c r="H219" s="700"/>
      <c r="I219" s="700"/>
      <c r="J219" s="700"/>
      <c r="K219" s="700"/>
      <c r="L219" s="700"/>
      <c r="M219" s="701"/>
      <c r="N219" s="701"/>
      <c r="O219" s="701"/>
      <c r="P219" s="701"/>
      <c r="Q219" s="701"/>
      <c r="R219" s="701"/>
      <c r="S219" s="701"/>
      <c r="T219" s="701"/>
      <c r="U219" s="701"/>
      <c r="V219" s="701"/>
      <c r="W219" s="701"/>
      <c r="X219" s="701"/>
      <c r="Y219" s="701"/>
      <c r="Z219" s="701"/>
      <c r="AA219" s="701"/>
      <c r="AB219" s="701"/>
      <c r="AC219" s="701"/>
      <c r="AD219" s="701"/>
      <c r="AE219" s="701"/>
      <c r="AF219" s="701"/>
      <c r="AG219" s="701"/>
      <c r="AH219" s="701"/>
      <c r="AI219" s="701"/>
      <c r="AJ219" s="701"/>
      <c r="AK219" s="701"/>
      <c r="AL219" s="701"/>
      <c r="AM219" s="701"/>
      <c r="AN219" s="701"/>
      <c r="AO219" s="701"/>
      <c r="AP219" s="701"/>
      <c r="AQ219" s="701"/>
      <c r="AR219" s="701"/>
      <c r="AS219" s="701"/>
      <c r="AT219" s="701"/>
      <c r="AU219" s="701"/>
      <c r="AV219" s="701"/>
      <c r="AW219" s="701"/>
      <c r="AX219" s="701"/>
      <c r="AY219" s="701"/>
      <c r="AZ219" s="701"/>
      <c r="BA219" s="701"/>
      <c r="BB219" s="701"/>
      <c r="BC219" s="701"/>
    </row>
    <row r="220" spans="1:55" s="702" customFormat="1" ht="35.1" customHeight="1">
      <c r="A220" s="703">
        <v>217</v>
      </c>
      <c r="B220" s="704" t="s">
        <v>2321</v>
      </c>
      <c r="C220" s="705" t="s">
        <v>655</v>
      </c>
      <c r="D220" s="706">
        <v>10000</v>
      </c>
      <c r="E220" s="706">
        <v>10000</v>
      </c>
      <c r="F220" s="707" t="s">
        <v>2201</v>
      </c>
      <c r="G220" s="699"/>
      <c r="H220" s="700"/>
      <c r="I220" s="700"/>
      <c r="J220" s="700"/>
      <c r="K220" s="700"/>
      <c r="L220" s="700"/>
      <c r="M220" s="701"/>
      <c r="N220" s="701"/>
      <c r="O220" s="701"/>
      <c r="P220" s="701"/>
      <c r="Q220" s="701"/>
      <c r="R220" s="701"/>
      <c r="S220" s="701"/>
      <c r="T220" s="701"/>
      <c r="U220" s="701"/>
      <c r="V220" s="701"/>
      <c r="W220" s="701"/>
      <c r="X220" s="701"/>
      <c r="Y220" s="701"/>
      <c r="Z220" s="701"/>
      <c r="AA220" s="701"/>
      <c r="AB220" s="701"/>
      <c r="AC220" s="701"/>
      <c r="AD220" s="701"/>
      <c r="AE220" s="701"/>
      <c r="AF220" s="701"/>
      <c r="AG220" s="701"/>
      <c r="AH220" s="701"/>
      <c r="AI220" s="701"/>
      <c r="AJ220" s="701"/>
      <c r="AK220" s="701"/>
      <c r="AL220" s="701"/>
      <c r="AM220" s="701"/>
      <c r="AN220" s="701"/>
      <c r="AO220" s="701"/>
      <c r="AP220" s="701"/>
      <c r="AQ220" s="701"/>
      <c r="AR220" s="701"/>
      <c r="AS220" s="701"/>
      <c r="AT220" s="701"/>
      <c r="AU220" s="701"/>
      <c r="AV220" s="701"/>
      <c r="AW220" s="701"/>
      <c r="AX220" s="701"/>
      <c r="AY220" s="701"/>
      <c r="AZ220" s="701"/>
      <c r="BA220" s="701"/>
      <c r="BB220" s="701"/>
      <c r="BC220" s="701"/>
    </row>
    <row r="221" spans="1:55" s="702" customFormat="1" ht="35.1" customHeight="1">
      <c r="A221" s="703">
        <v>218</v>
      </c>
      <c r="B221" s="704" t="s">
        <v>2322</v>
      </c>
      <c r="C221" s="705" t="s">
        <v>655</v>
      </c>
      <c r="D221" s="706">
        <f>ROUND(630000/1.1,0)</f>
        <v>572727</v>
      </c>
      <c r="E221" s="706">
        <f>ROUND(630000/1.1,0)</f>
        <v>572727</v>
      </c>
      <c r="F221" s="707" t="s">
        <v>2323</v>
      </c>
      <c r="G221" s="699"/>
      <c r="H221" s="700"/>
      <c r="I221" s="700"/>
      <c r="J221" s="700"/>
      <c r="K221" s="700"/>
      <c r="L221" s="700"/>
      <c r="M221" s="701"/>
      <c r="N221" s="701"/>
      <c r="O221" s="701"/>
      <c r="P221" s="701"/>
      <c r="Q221" s="701"/>
      <c r="R221" s="701"/>
      <c r="S221" s="701"/>
      <c r="T221" s="701"/>
      <c r="U221" s="701"/>
      <c r="V221" s="701"/>
      <c r="W221" s="701"/>
      <c r="X221" s="701"/>
      <c r="Y221" s="701"/>
      <c r="Z221" s="701"/>
      <c r="AA221" s="701"/>
      <c r="AB221" s="701"/>
      <c r="AC221" s="701"/>
      <c r="AD221" s="701"/>
      <c r="AE221" s="701"/>
      <c r="AF221" s="701"/>
      <c r="AG221" s="701"/>
      <c r="AH221" s="701"/>
      <c r="AI221" s="701"/>
      <c r="AJ221" s="701"/>
      <c r="AK221" s="701"/>
      <c r="AL221" s="701"/>
      <c r="AM221" s="701"/>
      <c r="AN221" s="701"/>
      <c r="AO221" s="701"/>
      <c r="AP221" s="701"/>
      <c r="AQ221" s="701"/>
      <c r="AR221" s="701"/>
      <c r="AS221" s="701"/>
      <c r="AT221" s="701"/>
      <c r="AU221" s="701"/>
      <c r="AV221" s="701"/>
      <c r="AW221" s="701"/>
      <c r="AX221" s="701"/>
      <c r="AY221" s="701"/>
      <c r="AZ221" s="701"/>
      <c r="BA221" s="701"/>
      <c r="BB221" s="701"/>
      <c r="BC221" s="701"/>
    </row>
    <row r="222" spans="1:55" s="702" customFormat="1" ht="35.1" customHeight="1">
      <c r="A222" s="703">
        <v>219</v>
      </c>
      <c r="B222" s="704" t="s">
        <v>1821</v>
      </c>
      <c r="C222" s="705" t="s">
        <v>1730</v>
      </c>
      <c r="D222" s="706">
        <v>35000</v>
      </c>
      <c r="E222" s="706">
        <v>35000</v>
      </c>
      <c r="F222" s="707" t="s">
        <v>2201</v>
      </c>
      <c r="G222" s="699"/>
      <c r="H222" s="700"/>
      <c r="I222" s="700"/>
      <c r="J222" s="700"/>
      <c r="K222" s="700"/>
      <c r="L222" s="700"/>
      <c r="M222" s="701"/>
      <c r="N222" s="701"/>
      <c r="O222" s="701"/>
      <c r="P222" s="701"/>
      <c r="Q222" s="701"/>
      <c r="R222" s="701"/>
      <c r="S222" s="701"/>
      <c r="T222" s="701"/>
      <c r="U222" s="701"/>
      <c r="V222" s="701"/>
      <c r="W222" s="701"/>
      <c r="X222" s="701"/>
      <c r="Y222" s="701"/>
      <c r="Z222" s="701"/>
      <c r="AA222" s="701"/>
      <c r="AB222" s="701"/>
      <c r="AC222" s="701"/>
      <c r="AD222" s="701"/>
      <c r="AE222" s="701"/>
      <c r="AF222" s="701"/>
      <c r="AG222" s="701"/>
      <c r="AH222" s="701"/>
      <c r="AI222" s="701"/>
      <c r="AJ222" s="701"/>
      <c r="AK222" s="701"/>
      <c r="AL222" s="701"/>
      <c r="AM222" s="701"/>
      <c r="AN222" s="701"/>
      <c r="AO222" s="701"/>
      <c r="AP222" s="701"/>
      <c r="AQ222" s="701"/>
      <c r="AR222" s="701"/>
      <c r="AS222" s="701"/>
      <c r="AT222" s="701"/>
      <c r="AU222" s="701"/>
      <c r="AV222" s="701"/>
      <c r="AW222" s="701"/>
      <c r="AX222" s="701"/>
      <c r="AY222" s="701"/>
      <c r="AZ222" s="701"/>
      <c r="BA222" s="701"/>
      <c r="BB222" s="701"/>
      <c r="BC222" s="701"/>
    </row>
    <row r="223" spans="1:55" s="702" customFormat="1" ht="35.1" customHeight="1">
      <c r="A223" s="703">
        <v>220</v>
      </c>
      <c r="B223" s="704" t="s">
        <v>2324</v>
      </c>
      <c r="C223" s="705" t="s">
        <v>655</v>
      </c>
      <c r="D223" s="706">
        <f>ROUND(745000/1.1,0)</f>
        <v>677273</v>
      </c>
      <c r="E223" s="706">
        <f>ROUND(745000/1.1,0)</f>
        <v>677273</v>
      </c>
      <c r="F223" s="707" t="s">
        <v>2301</v>
      </c>
      <c r="G223" s="699"/>
      <c r="H223" s="700"/>
      <c r="I223" s="700"/>
      <c r="J223" s="700"/>
      <c r="K223" s="700"/>
      <c r="L223" s="700"/>
      <c r="M223" s="701"/>
      <c r="N223" s="701"/>
      <c r="O223" s="701"/>
      <c r="P223" s="701"/>
      <c r="Q223" s="701"/>
      <c r="R223" s="701"/>
      <c r="S223" s="701"/>
      <c r="T223" s="701"/>
      <c r="U223" s="701"/>
      <c r="V223" s="701"/>
      <c r="W223" s="701"/>
      <c r="X223" s="701"/>
      <c r="Y223" s="701"/>
      <c r="Z223" s="701"/>
      <c r="AA223" s="701"/>
      <c r="AB223" s="701"/>
      <c r="AC223" s="701"/>
      <c r="AD223" s="701"/>
      <c r="AE223" s="701"/>
      <c r="AF223" s="701"/>
      <c r="AG223" s="701"/>
      <c r="AH223" s="701"/>
      <c r="AI223" s="701"/>
      <c r="AJ223" s="701"/>
      <c r="AK223" s="701"/>
      <c r="AL223" s="701"/>
      <c r="AM223" s="701"/>
      <c r="AN223" s="701"/>
      <c r="AO223" s="701"/>
      <c r="AP223" s="701"/>
      <c r="AQ223" s="701"/>
      <c r="AR223" s="701"/>
      <c r="AS223" s="701"/>
      <c r="AT223" s="701"/>
      <c r="AU223" s="701"/>
      <c r="AV223" s="701"/>
      <c r="AW223" s="701"/>
      <c r="AX223" s="701"/>
      <c r="AY223" s="701"/>
      <c r="AZ223" s="701"/>
      <c r="BA223" s="701"/>
      <c r="BB223" s="701"/>
      <c r="BC223" s="701"/>
    </row>
    <row r="224" spans="1:55" s="702" customFormat="1" ht="35.1" customHeight="1">
      <c r="A224" s="703">
        <v>221</v>
      </c>
      <c r="B224" s="704" t="s">
        <v>2325</v>
      </c>
      <c r="C224" s="705" t="s">
        <v>677</v>
      </c>
      <c r="D224" s="706">
        <v>950000</v>
      </c>
      <c r="E224" s="706">
        <v>950000</v>
      </c>
      <c r="F224" s="707" t="s">
        <v>2201</v>
      </c>
      <c r="G224" s="699"/>
      <c r="H224" s="700"/>
      <c r="I224" s="700" t="s">
        <v>2061</v>
      </c>
      <c r="J224" s="700"/>
      <c r="K224" s="700"/>
      <c r="L224" s="700"/>
      <c r="M224" s="701"/>
      <c r="N224" s="701"/>
      <c r="O224" s="701"/>
      <c r="P224" s="701"/>
      <c r="Q224" s="701"/>
      <c r="R224" s="701"/>
      <c r="S224" s="701"/>
      <c r="T224" s="701"/>
      <c r="U224" s="701"/>
      <c r="V224" s="701"/>
      <c r="W224" s="701"/>
      <c r="X224" s="701"/>
      <c r="Y224" s="701"/>
      <c r="Z224" s="701"/>
      <c r="AA224" s="701"/>
      <c r="AB224" s="701"/>
      <c r="AC224" s="701"/>
      <c r="AD224" s="701"/>
      <c r="AE224" s="701"/>
      <c r="AF224" s="701"/>
      <c r="AG224" s="701"/>
      <c r="AH224" s="701"/>
      <c r="AI224" s="701"/>
      <c r="AJ224" s="701"/>
      <c r="AK224" s="701"/>
      <c r="AL224" s="701"/>
      <c r="AM224" s="701"/>
      <c r="AN224" s="701"/>
      <c r="AO224" s="701"/>
      <c r="AP224" s="701"/>
      <c r="AQ224" s="701"/>
      <c r="AR224" s="701"/>
      <c r="AS224" s="701"/>
      <c r="AT224" s="701"/>
      <c r="AU224" s="701"/>
      <c r="AV224" s="701"/>
      <c r="AW224" s="701"/>
      <c r="AX224" s="701"/>
      <c r="AY224" s="701"/>
      <c r="AZ224" s="701"/>
      <c r="BA224" s="701"/>
      <c r="BB224" s="701"/>
      <c r="BC224" s="701"/>
    </row>
    <row r="225" spans="1:55" s="702" customFormat="1" ht="35.1" customHeight="1">
      <c r="A225" s="703">
        <v>222</v>
      </c>
      <c r="B225" s="704" t="s">
        <v>2326</v>
      </c>
      <c r="C225" s="705" t="s">
        <v>1730</v>
      </c>
      <c r="D225" s="706">
        <v>21000</v>
      </c>
      <c r="E225" s="706">
        <v>21000</v>
      </c>
      <c r="F225" s="707" t="s">
        <v>2201</v>
      </c>
      <c r="G225" s="699"/>
      <c r="H225" s="700"/>
      <c r="I225" s="700"/>
      <c r="J225" s="700"/>
      <c r="K225" s="700"/>
      <c r="L225" s="700"/>
      <c r="M225" s="701"/>
      <c r="N225" s="701"/>
      <c r="O225" s="701"/>
      <c r="P225" s="701"/>
      <c r="Q225" s="701"/>
      <c r="R225" s="701"/>
      <c r="S225" s="701"/>
      <c r="T225" s="701"/>
      <c r="U225" s="701"/>
      <c r="V225" s="701"/>
      <c r="W225" s="701"/>
      <c r="X225" s="701"/>
      <c r="Y225" s="701"/>
      <c r="Z225" s="701"/>
      <c r="AA225" s="701"/>
      <c r="AB225" s="701"/>
      <c r="AC225" s="701"/>
      <c r="AD225" s="701"/>
      <c r="AE225" s="701"/>
      <c r="AF225" s="701"/>
      <c r="AG225" s="701"/>
      <c r="AH225" s="701"/>
      <c r="AI225" s="701"/>
      <c r="AJ225" s="701"/>
      <c r="AK225" s="701"/>
      <c r="AL225" s="701"/>
      <c r="AM225" s="701"/>
      <c r="AN225" s="701"/>
      <c r="AO225" s="701"/>
      <c r="AP225" s="701"/>
      <c r="AQ225" s="701"/>
      <c r="AR225" s="701"/>
      <c r="AS225" s="701"/>
      <c r="AT225" s="701"/>
      <c r="AU225" s="701"/>
      <c r="AV225" s="701"/>
      <c r="AW225" s="701"/>
      <c r="AX225" s="701"/>
      <c r="AY225" s="701"/>
      <c r="AZ225" s="701"/>
      <c r="BA225" s="701"/>
      <c r="BB225" s="701"/>
      <c r="BC225" s="701"/>
    </row>
    <row r="226" spans="1:55" s="702" customFormat="1" ht="35.1" customHeight="1">
      <c r="A226" s="703">
        <v>223</v>
      </c>
      <c r="B226" s="704" t="s">
        <v>2327</v>
      </c>
      <c r="C226" s="705" t="s">
        <v>2241</v>
      </c>
      <c r="D226" s="706">
        <v>3000000</v>
      </c>
      <c r="E226" s="706">
        <v>3000000</v>
      </c>
      <c r="F226" s="707" t="s">
        <v>2201</v>
      </c>
      <c r="G226" s="699"/>
      <c r="H226" s="700"/>
      <c r="I226" s="700"/>
      <c r="J226" s="700"/>
      <c r="K226" s="700"/>
      <c r="L226" s="700"/>
      <c r="M226" s="701"/>
      <c r="N226" s="701"/>
      <c r="O226" s="701"/>
      <c r="P226" s="701"/>
      <c r="Q226" s="701"/>
      <c r="R226" s="701"/>
      <c r="S226" s="701"/>
      <c r="T226" s="701"/>
      <c r="U226" s="701"/>
      <c r="V226" s="701"/>
      <c r="W226" s="701"/>
      <c r="X226" s="701"/>
      <c r="Y226" s="701"/>
      <c r="Z226" s="701"/>
      <c r="AA226" s="701"/>
      <c r="AB226" s="701"/>
      <c r="AC226" s="701"/>
      <c r="AD226" s="701"/>
      <c r="AE226" s="701"/>
      <c r="AF226" s="701"/>
      <c r="AG226" s="701"/>
      <c r="AH226" s="701"/>
      <c r="AI226" s="701"/>
      <c r="AJ226" s="701"/>
      <c r="AK226" s="701"/>
      <c r="AL226" s="701"/>
      <c r="AM226" s="701"/>
      <c r="AN226" s="701"/>
      <c r="AO226" s="701"/>
      <c r="AP226" s="701"/>
      <c r="AQ226" s="701"/>
      <c r="AR226" s="701"/>
      <c r="AS226" s="701"/>
      <c r="AT226" s="701"/>
      <c r="AU226" s="701"/>
      <c r="AV226" s="701"/>
      <c r="AW226" s="701"/>
      <c r="AX226" s="701"/>
      <c r="AY226" s="701"/>
      <c r="AZ226" s="701"/>
      <c r="BA226" s="701"/>
      <c r="BB226" s="701"/>
      <c r="BC226" s="701"/>
    </row>
    <row r="227" spans="1:55" s="702" customFormat="1" ht="35.1" customHeight="1">
      <c r="A227" s="703">
        <v>224</v>
      </c>
      <c r="B227" s="704" t="s">
        <v>2328</v>
      </c>
      <c r="C227" s="705" t="s">
        <v>677</v>
      </c>
      <c r="D227" s="706">
        <v>350000</v>
      </c>
      <c r="E227" s="706">
        <v>350000</v>
      </c>
      <c r="F227" s="707" t="s">
        <v>2201</v>
      </c>
      <c r="G227" s="699"/>
      <c r="H227" s="700"/>
      <c r="I227" s="700"/>
      <c r="J227" s="700"/>
      <c r="K227" s="700"/>
      <c r="L227" s="700"/>
      <c r="M227" s="701"/>
      <c r="N227" s="701"/>
      <c r="O227" s="701"/>
      <c r="P227" s="701"/>
      <c r="Q227" s="701"/>
      <c r="R227" s="701"/>
      <c r="S227" s="701"/>
      <c r="T227" s="701"/>
      <c r="U227" s="701"/>
      <c r="V227" s="701"/>
      <c r="W227" s="701"/>
      <c r="X227" s="701"/>
      <c r="Y227" s="701"/>
      <c r="Z227" s="701"/>
      <c r="AA227" s="701"/>
      <c r="AB227" s="701"/>
      <c r="AC227" s="701"/>
      <c r="AD227" s="701"/>
      <c r="AE227" s="701"/>
      <c r="AF227" s="701"/>
      <c r="AG227" s="701"/>
      <c r="AH227" s="701"/>
      <c r="AI227" s="701"/>
      <c r="AJ227" s="701"/>
      <c r="AK227" s="701"/>
      <c r="AL227" s="701"/>
      <c r="AM227" s="701"/>
      <c r="AN227" s="701"/>
      <c r="AO227" s="701"/>
      <c r="AP227" s="701"/>
      <c r="AQ227" s="701"/>
      <c r="AR227" s="701"/>
      <c r="AS227" s="701"/>
      <c r="AT227" s="701"/>
      <c r="AU227" s="701"/>
      <c r="AV227" s="701"/>
      <c r="AW227" s="701"/>
      <c r="AX227" s="701"/>
      <c r="AY227" s="701"/>
      <c r="AZ227" s="701"/>
      <c r="BA227" s="701"/>
      <c r="BB227" s="701"/>
      <c r="BC227" s="701"/>
    </row>
    <row r="228" spans="1:55" s="702" customFormat="1" ht="35.1" customHeight="1">
      <c r="A228" s="703">
        <v>225</v>
      </c>
      <c r="B228" s="704" t="s">
        <v>2329</v>
      </c>
      <c r="C228" s="705" t="s">
        <v>677</v>
      </c>
      <c r="D228" s="706">
        <v>400000</v>
      </c>
      <c r="E228" s="706">
        <v>400000</v>
      </c>
      <c r="F228" s="707" t="s">
        <v>2201</v>
      </c>
      <c r="G228" s="699"/>
      <c r="H228" s="700"/>
      <c r="I228" s="700"/>
      <c r="J228" s="700"/>
      <c r="K228" s="700"/>
      <c r="L228" s="700"/>
      <c r="M228" s="701"/>
      <c r="N228" s="701"/>
      <c r="O228" s="701"/>
      <c r="P228" s="701"/>
      <c r="Q228" s="701"/>
      <c r="R228" s="701"/>
      <c r="S228" s="701"/>
      <c r="T228" s="701"/>
      <c r="U228" s="701"/>
      <c r="V228" s="701"/>
      <c r="W228" s="701"/>
      <c r="X228" s="701"/>
      <c r="Y228" s="701"/>
      <c r="Z228" s="701"/>
      <c r="AA228" s="701"/>
      <c r="AB228" s="701"/>
      <c r="AC228" s="701"/>
      <c r="AD228" s="701"/>
      <c r="AE228" s="701"/>
      <c r="AF228" s="701"/>
      <c r="AG228" s="701"/>
      <c r="AH228" s="701"/>
      <c r="AI228" s="701"/>
      <c r="AJ228" s="701"/>
      <c r="AK228" s="701"/>
      <c r="AL228" s="701"/>
      <c r="AM228" s="701"/>
      <c r="AN228" s="701"/>
      <c r="AO228" s="701"/>
      <c r="AP228" s="701"/>
      <c r="AQ228" s="701"/>
      <c r="AR228" s="701"/>
      <c r="AS228" s="701"/>
      <c r="AT228" s="701"/>
      <c r="AU228" s="701"/>
      <c r="AV228" s="701"/>
      <c r="AW228" s="701"/>
      <c r="AX228" s="701"/>
      <c r="AY228" s="701"/>
      <c r="AZ228" s="701"/>
      <c r="BA228" s="701"/>
      <c r="BB228" s="701"/>
      <c r="BC228" s="701"/>
    </row>
    <row r="229" spans="1:55" s="702" customFormat="1" ht="35.1" customHeight="1">
      <c r="A229" s="703">
        <v>226</v>
      </c>
      <c r="B229" s="704" t="s">
        <v>2330</v>
      </c>
      <c r="C229" s="705" t="s">
        <v>677</v>
      </c>
      <c r="D229" s="706">
        <v>950000</v>
      </c>
      <c r="E229" s="706">
        <v>950000</v>
      </c>
      <c r="F229" s="707" t="s">
        <v>2201</v>
      </c>
      <c r="G229" s="699"/>
      <c r="H229" s="700"/>
      <c r="I229" s="700"/>
      <c r="J229" s="700"/>
      <c r="K229" s="700"/>
      <c r="L229" s="700"/>
      <c r="M229" s="701"/>
      <c r="N229" s="701"/>
      <c r="O229" s="701"/>
      <c r="P229" s="701"/>
      <c r="Q229" s="701"/>
      <c r="R229" s="701"/>
      <c r="S229" s="701"/>
      <c r="T229" s="701"/>
      <c r="U229" s="701"/>
      <c r="V229" s="701"/>
      <c r="W229" s="701"/>
      <c r="X229" s="701"/>
      <c r="Y229" s="701"/>
      <c r="Z229" s="701"/>
      <c r="AA229" s="701"/>
      <c r="AB229" s="701"/>
      <c r="AC229" s="701"/>
      <c r="AD229" s="701"/>
      <c r="AE229" s="701"/>
      <c r="AF229" s="701"/>
      <c r="AG229" s="701"/>
      <c r="AH229" s="701"/>
      <c r="AI229" s="701"/>
      <c r="AJ229" s="701"/>
      <c r="AK229" s="701"/>
      <c r="AL229" s="701"/>
      <c r="AM229" s="701"/>
      <c r="AN229" s="701"/>
      <c r="AO229" s="701"/>
      <c r="AP229" s="701"/>
      <c r="AQ229" s="701"/>
      <c r="AR229" s="701"/>
      <c r="AS229" s="701"/>
      <c r="AT229" s="701"/>
      <c r="AU229" s="701"/>
      <c r="AV229" s="701"/>
      <c r="AW229" s="701"/>
      <c r="AX229" s="701"/>
      <c r="AY229" s="701"/>
      <c r="AZ229" s="701"/>
      <c r="BA229" s="701"/>
      <c r="BB229" s="701"/>
      <c r="BC229" s="701"/>
    </row>
    <row r="230" spans="1:55" s="702" customFormat="1" ht="35.1" customHeight="1">
      <c r="A230" s="703">
        <v>227</v>
      </c>
      <c r="B230" s="704" t="s">
        <v>2331</v>
      </c>
      <c r="C230" s="705" t="s">
        <v>655</v>
      </c>
      <c r="D230" s="706">
        <v>473700</v>
      </c>
      <c r="E230" s="706">
        <v>473700</v>
      </c>
      <c r="F230" s="707" t="s">
        <v>2332</v>
      </c>
      <c r="G230" s="699"/>
      <c r="H230" s="700"/>
      <c r="I230" s="700"/>
      <c r="J230" s="700"/>
      <c r="K230" s="700"/>
      <c r="L230" s="700"/>
      <c r="M230" s="701"/>
      <c r="N230" s="701"/>
      <c r="O230" s="701"/>
      <c r="P230" s="701"/>
      <c r="Q230" s="701"/>
      <c r="R230" s="701"/>
      <c r="S230" s="701"/>
      <c r="T230" s="701"/>
      <c r="U230" s="701"/>
      <c r="V230" s="701"/>
      <c r="W230" s="701"/>
      <c r="X230" s="701"/>
      <c r="Y230" s="701"/>
      <c r="Z230" s="701"/>
      <c r="AA230" s="701"/>
      <c r="AB230" s="701"/>
      <c r="AC230" s="701"/>
      <c r="AD230" s="701"/>
      <c r="AE230" s="701"/>
      <c r="AF230" s="701"/>
      <c r="AG230" s="701"/>
      <c r="AH230" s="701"/>
      <c r="AI230" s="701"/>
      <c r="AJ230" s="701"/>
      <c r="AK230" s="701"/>
      <c r="AL230" s="701"/>
      <c r="AM230" s="701"/>
      <c r="AN230" s="701"/>
      <c r="AO230" s="701"/>
      <c r="AP230" s="701"/>
      <c r="AQ230" s="701"/>
      <c r="AR230" s="701"/>
      <c r="AS230" s="701"/>
      <c r="AT230" s="701"/>
      <c r="AU230" s="701"/>
      <c r="AV230" s="701"/>
      <c r="AW230" s="701"/>
      <c r="AX230" s="701"/>
      <c r="AY230" s="701"/>
      <c r="AZ230" s="701"/>
      <c r="BA230" s="701"/>
      <c r="BB230" s="701"/>
      <c r="BC230" s="701"/>
    </row>
    <row r="231" spans="1:55" s="702" customFormat="1" ht="35.1" customHeight="1">
      <c r="A231" s="703">
        <v>228</v>
      </c>
      <c r="B231" s="704" t="s">
        <v>2333</v>
      </c>
      <c r="C231" s="705" t="s">
        <v>655</v>
      </c>
      <c r="D231" s="706">
        <v>800000</v>
      </c>
      <c r="E231" s="706">
        <v>800000</v>
      </c>
      <c r="F231" s="707" t="s">
        <v>2334</v>
      </c>
      <c r="G231" s="699"/>
      <c r="H231" s="700"/>
      <c r="I231" s="700"/>
      <c r="J231" s="700"/>
      <c r="K231" s="700"/>
      <c r="L231" s="700"/>
      <c r="M231" s="701"/>
      <c r="N231" s="701"/>
      <c r="O231" s="701"/>
      <c r="P231" s="701"/>
      <c r="Q231" s="701"/>
      <c r="R231" s="701"/>
      <c r="S231" s="701"/>
      <c r="T231" s="701"/>
      <c r="U231" s="701"/>
      <c r="V231" s="701"/>
      <c r="W231" s="701"/>
      <c r="X231" s="701"/>
      <c r="Y231" s="701"/>
      <c r="Z231" s="701"/>
      <c r="AA231" s="701"/>
      <c r="AB231" s="701"/>
      <c r="AC231" s="701"/>
      <c r="AD231" s="701"/>
      <c r="AE231" s="701"/>
      <c r="AF231" s="701"/>
      <c r="AG231" s="701"/>
      <c r="AH231" s="701"/>
      <c r="AI231" s="701"/>
      <c r="AJ231" s="701"/>
      <c r="AK231" s="701"/>
      <c r="AL231" s="701"/>
      <c r="AM231" s="701"/>
      <c r="AN231" s="701"/>
      <c r="AO231" s="701"/>
      <c r="AP231" s="701"/>
      <c r="AQ231" s="701"/>
      <c r="AR231" s="701"/>
      <c r="AS231" s="701"/>
      <c r="AT231" s="701"/>
      <c r="AU231" s="701"/>
      <c r="AV231" s="701"/>
      <c r="AW231" s="701"/>
      <c r="AX231" s="701"/>
      <c r="AY231" s="701"/>
      <c r="AZ231" s="701"/>
      <c r="BA231" s="701"/>
      <c r="BB231" s="701"/>
      <c r="BC231" s="701"/>
    </row>
    <row r="232" spans="1:55" s="702" customFormat="1" ht="35.1" customHeight="1">
      <c r="A232" s="703">
        <v>229</v>
      </c>
      <c r="B232" s="704" t="s">
        <v>2335</v>
      </c>
      <c r="C232" s="705" t="s">
        <v>677</v>
      </c>
      <c r="D232" s="706">
        <v>18000</v>
      </c>
      <c r="E232" s="706">
        <v>18000</v>
      </c>
      <c r="F232" s="707" t="s">
        <v>2201</v>
      </c>
      <c r="G232" s="699"/>
      <c r="H232" s="700"/>
      <c r="I232" s="700"/>
      <c r="J232" s="700"/>
      <c r="K232" s="700"/>
      <c r="L232" s="700"/>
      <c r="M232" s="701"/>
      <c r="N232" s="701"/>
      <c r="O232" s="701"/>
      <c r="P232" s="701"/>
      <c r="Q232" s="701"/>
      <c r="R232" s="701"/>
      <c r="S232" s="701"/>
      <c r="T232" s="701"/>
      <c r="U232" s="701"/>
      <c r="V232" s="701"/>
      <c r="W232" s="701"/>
      <c r="X232" s="701"/>
      <c r="Y232" s="701"/>
      <c r="Z232" s="701"/>
      <c r="AA232" s="701"/>
      <c r="AB232" s="701"/>
      <c r="AC232" s="701"/>
      <c r="AD232" s="701"/>
      <c r="AE232" s="701"/>
      <c r="AF232" s="701"/>
      <c r="AG232" s="701"/>
      <c r="AH232" s="701"/>
      <c r="AI232" s="701"/>
      <c r="AJ232" s="701"/>
      <c r="AK232" s="701"/>
      <c r="AL232" s="701"/>
      <c r="AM232" s="701"/>
      <c r="AN232" s="701"/>
      <c r="AO232" s="701"/>
      <c r="AP232" s="701"/>
      <c r="AQ232" s="701"/>
      <c r="AR232" s="701"/>
      <c r="AS232" s="701"/>
      <c r="AT232" s="701"/>
      <c r="AU232" s="701"/>
      <c r="AV232" s="701"/>
      <c r="AW232" s="701"/>
      <c r="AX232" s="701"/>
      <c r="AY232" s="701"/>
      <c r="AZ232" s="701"/>
      <c r="BA232" s="701"/>
      <c r="BB232" s="701"/>
      <c r="BC232" s="701"/>
    </row>
    <row r="233" spans="1:55" s="702" customFormat="1" ht="35.1" customHeight="1">
      <c r="A233" s="703">
        <v>230</v>
      </c>
      <c r="B233" s="704" t="s">
        <v>2336</v>
      </c>
      <c r="C233" s="705" t="s">
        <v>677</v>
      </c>
      <c r="D233" s="706">
        <v>30000</v>
      </c>
      <c r="E233" s="709">
        <v>40000</v>
      </c>
      <c r="F233" s="707"/>
      <c r="G233" s="699"/>
      <c r="H233" s="700"/>
      <c r="I233" s="700"/>
      <c r="J233" s="700"/>
      <c r="K233" s="700"/>
      <c r="L233" s="700"/>
      <c r="M233" s="701"/>
      <c r="N233" s="701"/>
      <c r="O233" s="701"/>
      <c r="P233" s="701"/>
      <c r="Q233" s="701"/>
      <c r="R233" s="701"/>
      <c r="S233" s="701"/>
      <c r="T233" s="701"/>
      <c r="U233" s="701"/>
      <c r="V233" s="701"/>
      <c r="W233" s="701"/>
      <c r="X233" s="701"/>
      <c r="Y233" s="701"/>
      <c r="Z233" s="701"/>
      <c r="AA233" s="701"/>
      <c r="AB233" s="701"/>
      <c r="AC233" s="701"/>
      <c r="AD233" s="701"/>
      <c r="AE233" s="701"/>
      <c r="AF233" s="701"/>
      <c r="AG233" s="701"/>
      <c r="AH233" s="701"/>
      <c r="AI233" s="701"/>
      <c r="AJ233" s="701"/>
      <c r="AK233" s="701"/>
      <c r="AL233" s="701"/>
      <c r="AM233" s="701"/>
      <c r="AN233" s="701"/>
      <c r="AO233" s="701"/>
      <c r="AP233" s="701"/>
      <c r="AQ233" s="701"/>
      <c r="AR233" s="701"/>
      <c r="AS233" s="701"/>
      <c r="AT233" s="701"/>
      <c r="AU233" s="701"/>
      <c r="AV233" s="701"/>
      <c r="AW233" s="701"/>
      <c r="AX233" s="701"/>
      <c r="AY233" s="701"/>
      <c r="AZ233" s="701"/>
      <c r="BA233" s="701"/>
      <c r="BB233" s="701"/>
      <c r="BC233" s="701"/>
    </row>
    <row r="234" spans="1:55" s="702" customFormat="1" ht="45">
      <c r="A234" s="703">
        <v>231</v>
      </c>
      <c r="B234" s="704" t="s">
        <v>2337</v>
      </c>
      <c r="C234" s="705" t="s">
        <v>685</v>
      </c>
      <c r="D234" s="706">
        <f>90200+53000</f>
        <v>143200</v>
      </c>
      <c r="E234" s="706">
        <f>90200+53000</f>
        <v>143200</v>
      </c>
      <c r="F234" s="707" t="s">
        <v>2193</v>
      </c>
      <c r="G234" s="699"/>
      <c r="H234" s="700"/>
      <c r="I234" s="700" t="s">
        <v>2061</v>
      </c>
      <c r="J234" s="700"/>
      <c r="K234" s="700"/>
      <c r="L234" s="700"/>
      <c r="M234" s="701"/>
      <c r="N234" s="701"/>
      <c r="O234" s="701"/>
      <c r="P234" s="701"/>
      <c r="Q234" s="701"/>
      <c r="R234" s="701"/>
      <c r="S234" s="701"/>
      <c r="T234" s="701"/>
      <c r="U234" s="701"/>
      <c r="V234" s="701"/>
      <c r="W234" s="701"/>
      <c r="X234" s="701"/>
      <c r="Y234" s="701"/>
      <c r="Z234" s="701"/>
      <c r="AA234" s="701"/>
      <c r="AB234" s="701"/>
      <c r="AC234" s="701"/>
      <c r="AD234" s="701"/>
      <c r="AE234" s="701"/>
      <c r="AF234" s="701"/>
      <c r="AG234" s="701"/>
      <c r="AH234" s="701"/>
      <c r="AI234" s="701"/>
      <c r="AJ234" s="701"/>
      <c r="AK234" s="701"/>
      <c r="AL234" s="701"/>
      <c r="AM234" s="701"/>
      <c r="AN234" s="701"/>
      <c r="AO234" s="701"/>
      <c r="AP234" s="701"/>
      <c r="AQ234" s="701"/>
      <c r="AR234" s="701"/>
      <c r="AS234" s="701"/>
      <c r="AT234" s="701"/>
      <c r="AU234" s="701"/>
      <c r="AV234" s="701"/>
      <c r="AW234" s="701"/>
      <c r="AX234" s="701"/>
      <c r="AY234" s="701"/>
      <c r="AZ234" s="701"/>
      <c r="BA234" s="701"/>
      <c r="BB234" s="701"/>
      <c r="BC234" s="701"/>
    </row>
    <row r="235" spans="1:55" s="702" customFormat="1" ht="45">
      <c r="A235" s="703">
        <v>232</v>
      </c>
      <c r="B235" s="704" t="s">
        <v>2338</v>
      </c>
      <c r="C235" s="705" t="s">
        <v>685</v>
      </c>
      <c r="D235" s="706">
        <f>117700+57000</f>
        <v>174700</v>
      </c>
      <c r="E235" s="706">
        <f>117700+57000</f>
        <v>174700</v>
      </c>
      <c r="F235" s="707" t="s">
        <v>2193</v>
      </c>
      <c r="G235" s="699"/>
      <c r="H235" s="700"/>
      <c r="I235" s="700" t="s">
        <v>2061</v>
      </c>
      <c r="J235" s="700"/>
      <c r="K235" s="700"/>
      <c r="L235" s="700"/>
      <c r="M235" s="701"/>
      <c r="N235" s="701"/>
      <c r="O235" s="701"/>
      <c r="P235" s="701"/>
      <c r="Q235" s="701"/>
      <c r="R235" s="701"/>
      <c r="S235" s="701"/>
      <c r="T235" s="701"/>
      <c r="U235" s="701"/>
      <c r="V235" s="701"/>
      <c r="W235" s="701"/>
      <c r="X235" s="701"/>
      <c r="Y235" s="701"/>
      <c r="Z235" s="701"/>
      <c r="AA235" s="701"/>
      <c r="AB235" s="701"/>
      <c r="AC235" s="701"/>
      <c r="AD235" s="701"/>
      <c r="AE235" s="701"/>
      <c r="AF235" s="701"/>
      <c r="AG235" s="701"/>
      <c r="AH235" s="701"/>
      <c r="AI235" s="701"/>
      <c r="AJ235" s="701"/>
      <c r="AK235" s="701"/>
      <c r="AL235" s="701"/>
      <c r="AM235" s="701"/>
      <c r="AN235" s="701"/>
      <c r="AO235" s="701"/>
      <c r="AP235" s="701"/>
      <c r="AQ235" s="701"/>
      <c r="AR235" s="701"/>
      <c r="AS235" s="701"/>
      <c r="AT235" s="701"/>
      <c r="AU235" s="701"/>
      <c r="AV235" s="701"/>
      <c r="AW235" s="701"/>
      <c r="AX235" s="701"/>
      <c r="AY235" s="701"/>
      <c r="AZ235" s="701"/>
      <c r="BA235" s="701"/>
      <c r="BB235" s="701"/>
      <c r="BC235" s="701"/>
    </row>
    <row r="236" spans="1:55" s="702" customFormat="1" ht="45">
      <c r="A236" s="703">
        <v>233</v>
      </c>
      <c r="B236" s="704" t="s">
        <v>2339</v>
      </c>
      <c r="C236" s="705" t="s">
        <v>685</v>
      </c>
      <c r="D236" s="706">
        <f>108900+52000</f>
        <v>160900</v>
      </c>
      <c r="E236" s="706">
        <f>108900+52000</f>
        <v>160900</v>
      </c>
      <c r="F236" s="707" t="s">
        <v>2193</v>
      </c>
      <c r="G236" s="699"/>
      <c r="H236" s="700"/>
      <c r="I236" s="700" t="s">
        <v>2061</v>
      </c>
      <c r="J236" s="700"/>
      <c r="K236" s="700"/>
      <c r="L236" s="700"/>
      <c r="M236" s="701"/>
      <c r="N236" s="701"/>
      <c r="O236" s="701"/>
      <c r="P236" s="701"/>
      <c r="Q236" s="701"/>
      <c r="R236" s="701"/>
      <c r="S236" s="701"/>
      <c r="T236" s="701"/>
      <c r="U236" s="701"/>
      <c r="V236" s="701"/>
      <c r="W236" s="701"/>
      <c r="X236" s="701"/>
      <c r="Y236" s="701"/>
      <c r="Z236" s="701"/>
      <c r="AA236" s="701"/>
      <c r="AB236" s="701"/>
      <c r="AC236" s="701"/>
      <c r="AD236" s="701"/>
      <c r="AE236" s="701"/>
      <c r="AF236" s="701"/>
      <c r="AG236" s="701"/>
      <c r="AH236" s="701"/>
      <c r="AI236" s="701"/>
      <c r="AJ236" s="701"/>
      <c r="AK236" s="701"/>
      <c r="AL236" s="701"/>
      <c r="AM236" s="701"/>
      <c r="AN236" s="701"/>
      <c r="AO236" s="701"/>
      <c r="AP236" s="701"/>
      <c r="AQ236" s="701"/>
      <c r="AR236" s="701"/>
      <c r="AS236" s="701"/>
      <c r="AT236" s="701"/>
      <c r="AU236" s="701"/>
      <c r="AV236" s="701"/>
      <c r="AW236" s="701"/>
      <c r="AX236" s="701"/>
      <c r="AY236" s="701"/>
      <c r="AZ236" s="701"/>
      <c r="BA236" s="701"/>
      <c r="BB236" s="701"/>
      <c r="BC236" s="701"/>
    </row>
    <row r="237" spans="1:55" s="702" customFormat="1" ht="45">
      <c r="A237" s="703">
        <v>234</v>
      </c>
      <c r="B237" s="704" t="s">
        <v>2340</v>
      </c>
      <c r="C237" s="705" t="s">
        <v>685</v>
      </c>
      <c r="D237" s="706">
        <f>125400+70000</f>
        <v>195400</v>
      </c>
      <c r="E237" s="706">
        <f>125400+70000</f>
        <v>195400</v>
      </c>
      <c r="F237" s="707" t="s">
        <v>2193</v>
      </c>
      <c r="G237" s="699"/>
      <c r="H237" s="700"/>
      <c r="I237" s="700" t="s">
        <v>2061</v>
      </c>
      <c r="J237" s="700"/>
      <c r="K237" s="700"/>
      <c r="L237" s="700"/>
      <c r="M237" s="701"/>
      <c r="N237" s="701"/>
      <c r="O237" s="701"/>
      <c r="P237" s="701"/>
      <c r="Q237" s="701"/>
      <c r="R237" s="701"/>
      <c r="S237" s="701"/>
      <c r="T237" s="701"/>
      <c r="U237" s="701"/>
      <c r="V237" s="701"/>
      <c r="W237" s="701"/>
      <c r="X237" s="701"/>
      <c r="Y237" s="701"/>
      <c r="Z237" s="701"/>
      <c r="AA237" s="701"/>
      <c r="AB237" s="701"/>
      <c r="AC237" s="701"/>
      <c r="AD237" s="701"/>
      <c r="AE237" s="701"/>
      <c r="AF237" s="701"/>
      <c r="AG237" s="701"/>
      <c r="AH237" s="701"/>
      <c r="AI237" s="701"/>
      <c r="AJ237" s="701"/>
      <c r="AK237" s="701"/>
      <c r="AL237" s="701"/>
      <c r="AM237" s="701"/>
      <c r="AN237" s="701"/>
      <c r="AO237" s="701"/>
      <c r="AP237" s="701"/>
      <c r="AQ237" s="701"/>
      <c r="AR237" s="701"/>
      <c r="AS237" s="701"/>
      <c r="AT237" s="701"/>
      <c r="AU237" s="701"/>
      <c r="AV237" s="701"/>
      <c r="AW237" s="701"/>
      <c r="AX237" s="701"/>
      <c r="AY237" s="701"/>
      <c r="AZ237" s="701"/>
      <c r="BA237" s="701"/>
      <c r="BB237" s="701"/>
      <c r="BC237" s="701"/>
    </row>
    <row r="238" spans="1:55" s="702" customFormat="1" ht="45">
      <c r="A238" s="703">
        <v>235</v>
      </c>
      <c r="B238" s="704" t="s">
        <v>2341</v>
      </c>
      <c r="C238" s="705" t="s">
        <v>685</v>
      </c>
      <c r="D238" s="706">
        <f>139700+78000</f>
        <v>217700</v>
      </c>
      <c r="E238" s="706">
        <f>139700+78000</f>
        <v>217700</v>
      </c>
      <c r="F238" s="707" t="s">
        <v>2193</v>
      </c>
      <c r="G238" s="699"/>
      <c r="H238" s="700"/>
      <c r="I238" s="700" t="s">
        <v>2061</v>
      </c>
      <c r="J238" s="700"/>
      <c r="K238" s="700"/>
      <c r="L238" s="700"/>
      <c r="M238" s="701"/>
      <c r="N238" s="701"/>
      <c r="O238" s="701"/>
      <c r="P238" s="701"/>
      <c r="Q238" s="701"/>
      <c r="R238" s="701"/>
      <c r="S238" s="701"/>
      <c r="T238" s="701"/>
      <c r="U238" s="701"/>
      <c r="V238" s="701"/>
      <c r="W238" s="701"/>
      <c r="X238" s="701"/>
      <c r="Y238" s="701"/>
      <c r="Z238" s="701"/>
      <c r="AA238" s="701"/>
      <c r="AB238" s="701"/>
      <c r="AC238" s="701"/>
      <c r="AD238" s="701"/>
      <c r="AE238" s="701"/>
      <c r="AF238" s="701"/>
      <c r="AG238" s="701"/>
      <c r="AH238" s="701"/>
      <c r="AI238" s="701"/>
      <c r="AJ238" s="701"/>
      <c r="AK238" s="701"/>
      <c r="AL238" s="701"/>
      <c r="AM238" s="701"/>
      <c r="AN238" s="701"/>
      <c r="AO238" s="701"/>
      <c r="AP238" s="701"/>
      <c r="AQ238" s="701"/>
      <c r="AR238" s="701"/>
      <c r="AS238" s="701"/>
      <c r="AT238" s="701"/>
      <c r="AU238" s="701"/>
      <c r="AV238" s="701"/>
      <c r="AW238" s="701"/>
      <c r="AX238" s="701"/>
      <c r="AY238" s="701"/>
      <c r="AZ238" s="701"/>
      <c r="BA238" s="701"/>
      <c r="BB238" s="701"/>
      <c r="BC238" s="701"/>
    </row>
    <row r="239" spans="1:55" s="702" customFormat="1" ht="45">
      <c r="A239" s="703">
        <v>236</v>
      </c>
      <c r="B239" s="704" t="s">
        <v>2342</v>
      </c>
      <c r="C239" s="705" t="s">
        <v>685</v>
      </c>
      <c r="D239" s="706">
        <f>160600+88000</f>
        <v>248600</v>
      </c>
      <c r="E239" s="706">
        <f>160600+88000</f>
        <v>248600</v>
      </c>
      <c r="F239" s="707" t="s">
        <v>2193</v>
      </c>
      <c r="G239" s="699"/>
      <c r="H239" s="700"/>
      <c r="I239" s="700" t="s">
        <v>2061</v>
      </c>
      <c r="J239" s="700"/>
      <c r="K239" s="700"/>
      <c r="L239" s="700"/>
      <c r="M239" s="701"/>
      <c r="N239" s="701"/>
      <c r="O239" s="701"/>
      <c r="P239" s="701"/>
      <c r="Q239" s="701"/>
      <c r="R239" s="701"/>
      <c r="S239" s="701"/>
      <c r="T239" s="701"/>
      <c r="U239" s="701"/>
      <c r="V239" s="701"/>
      <c r="W239" s="701"/>
      <c r="X239" s="701"/>
      <c r="Y239" s="701"/>
      <c r="Z239" s="701"/>
      <c r="AA239" s="701"/>
      <c r="AB239" s="701"/>
      <c r="AC239" s="701"/>
      <c r="AD239" s="701"/>
      <c r="AE239" s="701"/>
      <c r="AF239" s="701"/>
      <c r="AG239" s="701"/>
      <c r="AH239" s="701"/>
      <c r="AI239" s="701"/>
      <c r="AJ239" s="701"/>
      <c r="AK239" s="701"/>
      <c r="AL239" s="701"/>
      <c r="AM239" s="701"/>
      <c r="AN239" s="701"/>
      <c r="AO239" s="701"/>
      <c r="AP239" s="701"/>
      <c r="AQ239" s="701"/>
      <c r="AR239" s="701"/>
      <c r="AS239" s="701"/>
      <c r="AT239" s="701"/>
      <c r="AU239" s="701"/>
      <c r="AV239" s="701"/>
      <c r="AW239" s="701"/>
      <c r="AX239" s="701"/>
      <c r="AY239" s="701"/>
      <c r="AZ239" s="701"/>
      <c r="BA239" s="701"/>
      <c r="BB239" s="701"/>
      <c r="BC239" s="701"/>
    </row>
    <row r="240" spans="1:55" s="702" customFormat="1" ht="35.1" customHeight="1">
      <c r="A240" s="703">
        <v>237</v>
      </c>
      <c r="B240" s="704" t="s">
        <v>2343</v>
      </c>
      <c r="C240" s="705" t="s">
        <v>685</v>
      </c>
      <c r="D240" s="706">
        <f>ROUND(15000/(1.7*1.1),0)</f>
        <v>8021</v>
      </c>
      <c r="E240" s="706">
        <f>ROUND(15000/(1.7*1.1),0)</f>
        <v>8021</v>
      </c>
      <c r="F240" s="707" t="s">
        <v>2320</v>
      </c>
      <c r="G240" s="699"/>
      <c r="H240" s="700"/>
      <c r="I240" s="700"/>
      <c r="J240" s="700"/>
      <c r="K240" s="700"/>
      <c r="L240" s="700"/>
      <c r="M240" s="701"/>
      <c r="N240" s="701"/>
      <c r="O240" s="701"/>
      <c r="P240" s="701"/>
      <c r="Q240" s="701"/>
      <c r="R240" s="701"/>
      <c r="S240" s="701"/>
      <c r="T240" s="701"/>
      <c r="U240" s="701"/>
      <c r="V240" s="701"/>
      <c r="W240" s="701"/>
      <c r="X240" s="701"/>
      <c r="Y240" s="701"/>
      <c r="Z240" s="701"/>
      <c r="AA240" s="701"/>
      <c r="AB240" s="701"/>
      <c r="AC240" s="701"/>
      <c r="AD240" s="701"/>
      <c r="AE240" s="701"/>
      <c r="AF240" s="701"/>
      <c r="AG240" s="701"/>
      <c r="AH240" s="701"/>
      <c r="AI240" s="701"/>
      <c r="AJ240" s="701"/>
      <c r="AK240" s="701"/>
      <c r="AL240" s="701"/>
      <c r="AM240" s="701"/>
      <c r="AN240" s="701"/>
      <c r="AO240" s="701"/>
      <c r="AP240" s="701"/>
      <c r="AQ240" s="701"/>
      <c r="AR240" s="701"/>
      <c r="AS240" s="701"/>
      <c r="AT240" s="701"/>
      <c r="AU240" s="701"/>
      <c r="AV240" s="701"/>
      <c r="AW240" s="701"/>
      <c r="AX240" s="701"/>
      <c r="AY240" s="701"/>
      <c r="AZ240" s="701"/>
      <c r="BA240" s="701"/>
      <c r="BB240" s="701"/>
      <c r="BC240" s="701"/>
    </row>
    <row r="241" spans="1:55" s="702" customFormat="1" ht="35.1" customHeight="1">
      <c r="A241" s="703">
        <v>238</v>
      </c>
      <c r="B241" s="704" t="s">
        <v>2344</v>
      </c>
      <c r="C241" s="705" t="s">
        <v>685</v>
      </c>
      <c r="D241" s="706">
        <f>ROUND(20500/(1.7*1.1),0)</f>
        <v>10963</v>
      </c>
      <c r="E241" s="706">
        <f>ROUND(20500/(1.7*1.1),0)</f>
        <v>10963</v>
      </c>
      <c r="F241" s="707" t="s">
        <v>2320</v>
      </c>
      <c r="G241" s="699"/>
      <c r="H241" s="700"/>
      <c r="I241" s="700"/>
      <c r="J241" s="700"/>
      <c r="K241" s="700"/>
      <c r="L241" s="700"/>
      <c r="M241" s="701"/>
      <c r="N241" s="701"/>
      <c r="O241" s="701"/>
      <c r="P241" s="701"/>
      <c r="Q241" s="701"/>
      <c r="R241" s="701"/>
      <c r="S241" s="701"/>
      <c r="T241" s="701"/>
      <c r="U241" s="701"/>
      <c r="V241" s="701"/>
      <c r="W241" s="701"/>
      <c r="X241" s="701"/>
      <c r="Y241" s="701"/>
      <c r="Z241" s="701"/>
      <c r="AA241" s="701"/>
      <c r="AB241" s="701"/>
      <c r="AC241" s="701"/>
      <c r="AD241" s="701"/>
      <c r="AE241" s="701"/>
      <c r="AF241" s="701"/>
      <c r="AG241" s="701"/>
      <c r="AH241" s="701"/>
      <c r="AI241" s="701"/>
      <c r="AJ241" s="701"/>
      <c r="AK241" s="701"/>
      <c r="AL241" s="701"/>
      <c r="AM241" s="701"/>
      <c r="AN241" s="701"/>
      <c r="AO241" s="701"/>
      <c r="AP241" s="701"/>
      <c r="AQ241" s="701"/>
      <c r="AR241" s="701"/>
      <c r="AS241" s="701"/>
      <c r="AT241" s="701"/>
      <c r="AU241" s="701"/>
      <c r="AV241" s="701"/>
      <c r="AW241" s="701"/>
      <c r="AX241" s="701"/>
      <c r="AY241" s="701"/>
      <c r="AZ241" s="701"/>
      <c r="BA241" s="701"/>
      <c r="BB241" s="701"/>
      <c r="BC241" s="701"/>
    </row>
    <row r="242" spans="1:55" s="702" customFormat="1" ht="35.1" customHeight="1">
      <c r="A242" s="703">
        <v>239</v>
      </c>
      <c r="B242" s="704" t="s">
        <v>2345</v>
      </c>
      <c r="C242" s="705" t="s">
        <v>685</v>
      </c>
      <c r="D242" s="706">
        <f>ROUND(21000/(1.7*1.1),0)</f>
        <v>11230</v>
      </c>
      <c r="E242" s="706">
        <f>ROUND(21000/(1.7*1.1),0)</f>
        <v>11230</v>
      </c>
      <c r="F242" s="707" t="s">
        <v>2320</v>
      </c>
      <c r="G242" s="699"/>
      <c r="H242" s="700"/>
      <c r="I242" s="700"/>
      <c r="J242" s="700"/>
      <c r="K242" s="700"/>
      <c r="L242" s="700"/>
      <c r="M242" s="701"/>
      <c r="N242" s="701"/>
      <c r="O242" s="701"/>
      <c r="P242" s="701"/>
      <c r="Q242" s="701"/>
      <c r="R242" s="701"/>
      <c r="S242" s="701"/>
      <c r="T242" s="701"/>
      <c r="U242" s="701"/>
      <c r="V242" s="701"/>
      <c r="W242" s="701"/>
      <c r="X242" s="701"/>
      <c r="Y242" s="701"/>
      <c r="Z242" s="701"/>
      <c r="AA242" s="701"/>
      <c r="AB242" s="701"/>
      <c r="AC242" s="701"/>
      <c r="AD242" s="701"/>
      <c r="AE242" s="701"/>
      <c r="AF242" s="701"/>
      <c r="AG242" s="701"/>
      <c r="AH242" s="701"/>
      <c r="AI242" s="701"/>
      <c r="AJ242" s="701"/>
      <c r="AK242" s="701"/>
      <c r="AL242" s="701"/>
      <c r="AM242" s="701"/>
      <c r="AN242" s="701"/>
      <c r="AO242" s="701"/>
      <c r="AP242" s="701"/>
      <c r="AQ242" s="701"/>
      <c r="AR242" s="701"/>
      <c r="AS242" s="701"/>
      <c r="AT242" s="701"/>
      <c r="AU242" s="701"/>
      <c r="AV242" s="701"/>
      <c r="AW242" s="701"/>
      <c r="AX242" s="701"/>
      <c r="AY242" s="701"/>
      <c r="AZ242" s="701"/>
      <c r="BA242" s="701"/>
      <c r="BB242" s="701"/>
      <c r="BC242" s="701"/>
    </row>
    <row r="243" spans="1:55" s="702" customFormat="1" ht="35.1" customHeight="1">
      <c r="A243" s="703">
        <v>240</v>
      </c>
      <c r="B243" s="704" t="s">
        <v>2346</v>
      </c>
      <c r="C243" s="705" t="s">
        <v>685</v>
      </c>
      <c r="D243" s="706">
        <f>ROUND(44200/(2*1.1),0)</f>
        <v>20091</v>
      </c>
      <c r="E243" s="706">
        <f>ROUND(44200/(2*1.1),0)</f>
        <v>20091</v>
      </c>
      <c r="F243" s="707" t="s">
        <v>2320</v>
      </c>
      <c r="G243" s="699"/>
      <c r="H243" s="700"/>
      <c r="I243" s="700"/>
      <c r="J243" s="700"/>
      <c r="K243" s="700"/>
      <c r="L243" s="700"/>
      <c r="M243" s="701"/>
      <c r="N243" s="701"/>
      <c r="O243" s="701"/>
      <c r="P243" s="701"/>
      <c r="Q243" s="701"/>
      <c r="R243" s="701"/>
      <c r="S243" s="701"/>
      <c r="T243" s="701"/>
      <c r="U243" s="701"/>
      <c r="V243" s="701"/>
      <c r="W243" s="701"/>
      <c r="X243" s="701"/>
      <c r="Y243" s="701"/>
      <c r="Z243" s="701"/>
      <c r="AA243" s="701"/>
      <c r="AB243" s="701"/>
      <c r="AC243" s="701"/>
      <c r="AD243" s="701"/>
      <c r="AE243" s="701"/>
      <c r="AF243" s="701"/>
      <c r="AG243" s="701"/>
      <c r="AH243" s="701"/>
      <c r="AI243" s="701"/>
      <c r="AJ243" s="701"/>
      <c r="AK243" s="701"/>
      <c r="AL243" s="701"/>
      <c r="AM243" s="701"/>
      <c r="AN243" s="701"/>
      <c r="AO243" s="701"/>
      <c r="AP243" s="701"/>
      <c r="AQ243" s="701"/>
      <c r="AR243" s="701"/>
      <c r="AS243" s="701"/>
      <c r="AT243" s="701"/>
      <c r="AU243" s="701"/>
      <c r="AV243" s="701"/>
      <c r="AW243" s="701"/>
      <c r="AX243" s="701"/>
      <c r="AY243" s="701"/>
      <c r="AZ243" s="701"/>
      <c r="BA243" s="701"/>
      <c r="BB243" s="701"/>
      <c r="BC243" s="701"/>
    </row>
    <row r="244" spans="1:55" s="702" customFormat="1" ht="35.1" customHeight="1">
      <c r="A244" s="703">
        <v>241</v>
      </c>
      <c r="B244" s="704" t="s">
        <v>2347</v>
      </c>
      <c r="C244" s="705" t="s">
        <v>685</v>
      </c>
      <c r="D244" s="706">
        <f>ROUND(44200/(1.7*1.1),0)</f>
        <v>23636</v>
      </c>
      <c r="E244" s="706">
        <f>ROUND(44200/(1.7*1.1),0)</f>
        <v>23636</v>
      </c>
      <c r="F244" s="707" t="s">
        <v>2320</v>
      </c>
      <c r="G244" s="699"/>
      <c r="H244" s="700"/>
      <c r="I244" s="700"/>
      <c r="J244" s="700"/>
      <c r="K244" s="700"/>
      <c r="L244" s="700"/>
      <c r="M244" s="701"/>
      <c r="N244" s="701"/>
      <c r="O244" s="701"/>
      <c r="P244" s="701"/>
      <c r="Q244" s="701"/>
      <c r="R244" s="701"/>
      <c r="S244" s="701"/>
      <c r="T244" s="701"/>
      <c r="U244" s="701"/>
      <c r="V244" s="701"/>
      <c r="W244" s="701"/>
      <c r="X244" s="701"/>
      <c r="Y244" s="701"/>
      <c r="Z244" s="701"/>
      <c r="AA244" s="701"/>
      <c r="AB244" s="701"/>
      <c r="AC244" s="701"/>
      <c r="AD244" s="701"/>
      <c r="AE244" s="701"/>
      <c r="AF244" s="701"/>
      <c r="AG244" s="701"/>
      <c r="AH244" s="701"/>
      <c r="AI244" s="701"/>
      <c r="AJ244" s="701"/>
      <c r="AK244" s="701"/>
      <c r="AL244" s="701"/>
      <c r="AM244" s="701"/>
      <c r="AN244" s="701"/>
      <c r="AO244" s="701"/>
      <c r="AP244" s="701"/>
      <c r="AQ244" s="701"/>
      <c r="AR244" s="701"/>
      <c r="AS244" s="701"/>
      <c r="AT244" s="701"/>
      <c r="AU244" s="701"/>
      <c r="AV244" s="701"/>
      <c r="AW244" s="701"/>
      <c r="AX244" s="701"/>
      <c r="AY244" s="701"/>
      <c r="AZ244" s="701"/>
      <c r="BA244" s="701"/>
      <c r="BB244" s="701"/>
      <c r="BC244" s="701"/>
    </row>
    <row r="245" spans="1:55" s="702" customFormat="1" ht="35.1" customHeight="1">
      <c r="A245" s="703">
        <v>242</v>
      </c>
      <c r="B245" s="704" t="s">
        <v>2348</v>
      </c>
      <c r="C245" s="705" t="s">
        <v>685</v>
      </c>
      <c r="D245" s="706">
        <f>(13800/1.1/2)</f>
        <v>6272.7272727272721</v>
      </c>
      <c r="E245" s="709">
        <f>(13800/1.1/2)</f>
        <v>6272.7272727272721</v>
      </c>
      <c r="F245" s="707" t="s">
        <v>2349</v>
      </c>
      <c r="G245" s="699"/>
      <c r="H245" s="700"/>
      <c r="I245" s="700"/>
      <c r="J245" s="700"/>
      <c r="K245" s="700"/>
      <c r="L245" s="700"/>
      <c r="M245" s="701"/>
      <c r="N245" s="701"/>
      <c r="O245" s="701"/>
      <c r="P245" s="701"/>
      <c r="Q245" s="701"/>
      <c r="R245" s="701"/>
      <c r="S245" s="701"/>
      <c r="T245" s="701"/>
      <c r="U245" s="701"/>
      <c r="V245" s="701"/>
      <c r="W245" s="701"/>
      <c r="X245" s="701"/>
      <c r="Y245" s="701"/>
      <c r="Z245" s="701"/>
      <c r="AA245" s="701"/>
      <c r="AB245" s="701"/>
      <c r="AC245" s="701"/>
      <c r="AD245" s="701"/>
      <c r="AE245" s="701"/>
      <c r="AF245" s="701"/>
      <c r="AG245" s="701"/>
      <c r="AH245" s="701"/>
      <c r="AI245" s="701"/>
      <c r="AJ245" s="701"/>
      <c r="AK245" s="701"/>
      <c r="AL245" s="701"/>
      <c r="AM245" s="701"/>
      <c r="AN245" s="701"/>
      <c r="AO245" s="701"/>
      <c r="AP245" s="701"/>
      <c r="AQ245" s="701"/>
      <c r="AR245" s="701"/>
      <c r="AS245" s="701"/>
      <c r="AT245" s="701"/>
      <c r="AU245" s="701"/>
      <c r="AV245" s="701"/>
      <c r="AW245" s="701"/>
      <c r="AX245" s="701"/>
      <c r="AY245" s="701"/>
      <c r="AZ245" s="701"/>
      <c r="BA245" s="701"/>
      <c r="BB245" s="701"/>
      <c r="BC245" s="701"/>
    </row>
    <row r="246" spans="1:55" s="702" customFormat="1" ht="35.1" customHeight="1">
      <c r="A246" s="703">
        <v>243</v>
      </c>
      <c r="B246" s="704" t="s">
        <v>2350</v>
      </c>
      <c r="C246" s="705" t="s">
        <v>685</v>
      </c>
      <c r="D246" s="706">
        <f>(24000/1.1/2)</f>
        <v>10909.090909090908</v>
      </c>
      <c r="E246" s="709">
        <f>(24000/1.1/2)</f>
        <v>10909.090909090908</v>
      </c>
      <c r="F246" s="707" t="s">
        <v>2349</v>
      </c>
      <c r="G246" s="699"/>
      <c r="H246" s="700"/>
      <c r="I246" s="700"/>
      <c r="J246" s="700"/>
      <c r="K246" s="700"/>
      <c r="L246" s="700"/>
      <c r="M246" s="701"/>
      <c r="N246" s="701"/>
      <c r="O246" s="701"/>
      <c r="P246" s="701"/>
      <c r="Q246" s="701"/>
      <c r="R246" s="701"/>
      <c r="S246" s="701"/>
      <c r="T246" s="701"/>
      <c r="U246" s="701"/>
      <c r="V246" s="701"/>
      <c r="W246" s="701"/>
      <c r="X246" s="701"/>
      <c r="Y246" s="701"/>
      <c r="Z246" s="701"/>
      <c r="AA246" s="701"/>
      <c r="AB246" s="701"/>
      <c r="AC246" s="701"/>
      <c r="AD246" s="701"/>
      <c r="AE246" s="701"/>
      <c r="AF246" s="701"/>
      <c r="AG246" s="701"/>
      <c r="AH246" s="701"/>
      <c r="AI246" s="701"/>
      <c r="AJ246" s="701"/>
      <c r="AK246" s="701"/>
      <c r="AL246" s="701"/>
      <c r="AM246" s="701"/>
      <c r="AN246" s="701"/>
      <c r="AO246" s="701"/>
      <c r="AP246" s="701"/>
      <c r="AQ246" s="701"/>
      <c r="AR246" s="701"/>
      <c r="AS246" s="701"/>
      <c r="AT246" s="701"/>
      <c r="AU246" s="701"/>
      <c r="AV246" s="701"/>
      <c r="AW246" s="701"/>
      <c r="AX246" s="701"/>
      <c r="AY246" s="701"/>
      <c r="AZ246" s="701"/>
      <c r="BA246" s="701"/>
      <c r="BB246" s="701"/>
      <c r="BC246" s="701"/>
    </row>
    <row r="247" spans="1:55" s="702" customFormat="1" ht="35.1" customHeight="1">
      <c r="A247" s="703">
        <v>244</v>
      </c>
      <c r="B247" s="704" t="s">
        <v>2351</v>
      </c>
      <c r="C247" s="705" t="s">
        <v>685</v>
      </c>
      <c r="D247" s="706">
        <f>63800/1.1/2</f>
        <v>28999.999999999996</v>
      </c>
      <c r="E247" s="709">
        <f>63800/1.1/2</f>
        <v>28999.999999999996</v>
      </c>
      <c r="F247" s="707" t="s">
        <v>2349</v>
      </c>
      <c r="G247" s="699"/>
      <c r="H247" s="700"/>
      <c r="I247" s="700"/>
      <c r="J247" s="700"/>
      <c r="K247" s="700"/>
      <c r="L247" s="700"/>
      <c r="M247" s="701"/>
      <c r="N247" s="701"/>
      <c r="O247" s="701"/>
      <c r="P247" s="701"/>
      <c r="Q247" s="701"/>
      <c r="R247" s="701"/>
      <c r="S247" s="701"/>
      <c r="T247" s="701"/>
      <c r="U247" s="701"/>
      <c r="V247" s="701"/>
      <c r="W247" s="701"/>
      <c r="X247" s="701"/>
      <c r="Y247" s="701"/>
      <c r="Z247" s="701"/>
      <c r="AA247" s="701"/>
      <c r="AB247" s="701"/>
      <c r="AC247" s="701"/>
      <c r="AD247" s="701"/>
      <c r="AE247" s="701"/>
      <c r="AF247" s="701"/>
      <c r="AG247" s="701"/>
      <c r="AH247" s="701"/>
      <c r="AI247" s="701"/>
      <c r="AJ247" s="701"/>
      <c r="AK247" s="701"/>
      <c r="AL247" s="701"/>
      <c r="AM247" s="701"/>
      <c r="AN247" s="701"/>
      <c r="AO247" s="701"/>
      <c r="AP247" s="701"/>
      <c r="AQ247" s="701"/>
      <c r="AR247" s="701"/>
      <c r="AS247" s="701"/>
      <c r="AT247" s="701"/>
      <c r="AU247" s="701"/>
      <c r="AV247" s="701"/>
      <c r="AW247" s="701"/>
      <c r="AX247" s="701"/>
      <c r="AY247" s="701"/>
      <c r="AZ247" s="701"/>
      <c r="BA247" s="701"/>
      <c r="BB247" s="701"/>
      <c r="BC247" s="701"/>
    </row>
    <row r="248" spans="1:55" s="702" customFormat="1" ht="35.1" customHeight="1">
      <c r="A248" s="703">
        <v>245</v>
      </c>
      <c r="B248" s="704" t="s">
        <v>2352</v>
      </c>
      <c r="C248" s="705" t="s">
        <v>655</v>
      </c>
      <c r="D248" s="706">
        <v>11800</v>
      </c>
      <c r="E248" s="706">
        <v>11800</v>
      </c>
      <c r="F248" s="707" t="s">
        <v>2353</v>
      </c>
      <c r="G248" s="699"/>
      <c r="H248" s="700"/>
      <c r="I248" s="700"/>
      <c r="J248" s="700"/>
      <c r="K248" s="700"/>
      <c r="L248" s="700"/>
      <c r="M248" s="701"/>
      <c r="N248" s="701"/>
      <c r="O248" s="701"/>
      <c r="P248" s="701"/>
      <c r="Q248" s="701"/>
      <c r="R248" s="701"/>
      <c r="S248" s="701"/>
      <c r="T248" s="701"/>
      <c r="U248" s="701"/>
      <c r="V248" s="701"/>
      <c r="W248" s="701"/>
      <c r="X248" s="701"/>
      <c r="Y248" s="701"/>
      <c r="Z248" s="701"/>
      <c r="AA248" s="701"/>
      <c r="AB248" s="701"/>
      <c r="AC248" s="701"/>
      <c r="AD248" s="701"/>
      <c r="AE248" s="701"/>
      <c r="AF248" s="701"/>
      <c r="AG248" s="701"/>
      <c r="AH248" s="701"/>
      <c r="AI248" s="701"/>
      <c r="AJ248" s="701"/>
      <c r="AK248" s="701"/>
      <c r="AL248" s="701"/>
      <c r="AM248" s="701"/>
      <c r="AN248" s="701"/>
      <c r="AO248" s="701"/>
      <c r="AP248" s="701"/>
      <c r="AQ248" s="701"/>
      <c r="AR248" s="701"/>
      <c r="AS248" s="701"/>
      <c r="AT248" s="701"/>
      <c r="AU248" s="701"/>
      <c r="AV248" s="701"/>
      <c r="AW248" s="701"/>
      <c r="AX248" s="701"/>
      <c r="AY248" s="701"/>
      <c r="AZ248" s="701"/>
      <c r="BA248" s="701"/>
      <c r="BB248" s="701"/>
      <c r="BC248" s="701"/>
    </row>
    <row r="249" spans="1:55" s="702" customFormat="1" ht="35.1" customHeight="1">
      <c r="A249" s="703">
        <v>246</v>
      </c>
      <c r="B249" s="704" t="s">
        <v>2354</v>
      </c>
      <c r="C249" s="705" t="s">
        <v>655</v>
      </c>
      <c r="D249" s="706">
        <v>41400</v>
      </c>
      <c r="E249" s="706">
        <v>41400</v>
      </c>
      <c r="F249" s="707" t="s">
        <v>2353</v>
      </c>
      <c r="G249" s="699"/>
      <c r="H249" s="700"/>
      <c r="I249" s="700"/>
      <c r="J249" s="700"/>
      <c r="K249" s="700"/>
      <c r="L249" s="700"/>
      <c r="M249" s="701"/>
      <c r="N249" s="701"/>
      <c r="O249" s="701"/>
      <c r="P249" s="701"/>
      <c r="Q249" s="701"/>
      <c r="R249" s="701"/>
      <c r="S249" s="701"/>
      <c r="T249" s="701"/>
      <c r="U249" s="701"/>
      <c r="V249" s="701"/>
      <c r="W249" s="701"/>
      <c r="X249" s="701"/>
      <c r="Y249" s="701"/>
      <c r="Z249" s="701"/>
      <c r="AA249" s="701"/>
      <c r="AB249" s="701"/>
      <c r="AC249" s="701"/>
      <c r="AD249" s="701"/>
      <c r="AE249" s="701"/>
      <c r="AF249" s="701"/>
      <c r="AG249" s="701"/>
      <c r="AH249" s="701"/>
      <c r="AI249" s="701"/>
      <c r="AJ249" s="701"/>
      <c r="AK249" s="701"/>
      <c r="AL249" s="701"/>
      <c r="AM249" s="701"/>
      <c r="AN249" s="701"/>
      <c r="AO249" s="701"/>
      <c r="AP249" s="701"/>
      <c r="AQ249" s="701"/>
      <c r="AR249" s="701"/>
      <c r="AS249" s="701"/>
      <c r="AT249" s="701"/>
      <c r="AU249" s="701"/>
      <c r="AV249" s="701"/>
      <c r="AW249" s="701"/>
      <c r="AX249" s="701"/>
      <c r="AY249" s="701"/>
      <c r="AZ249" s="701"/>
      <c r="BA249" s="701"/>
      <c r="BB249" s="701"/>
      <c r="BC249" s="701"/>
    </row>
    <row r="250" spans="1:55" s="702" customFormat="1" ht="35.1" customHeight="1">
      <c r="A250" s="703">
        <v>247</v>
      </c>
      <c r="B250" s="704" t="s">
        <v>2355</v>
      </c>
      <c r="C250" s="705" t="s">
        <v>685</v>
      </c>
      <c r="D250" s="706">
        <v>600000</v>
      </c>
      <c r="E250" s="706">
        <v>600000</v>
      </c>
      <c r="F250" s="707" t="s">
        <v>2201</v>
      </c>
      <c r="G250" s="699"/>
      <c r="H250" s="700"/>
      <c r="I250" s="700" t="s">
        <v>2061</v>
      </c>
      <c r="J250" s="700"/>
      <c r="K250" s="700"/>
      <c r="L250" s="700"/>
      <c r="M250" s="701"/>
      <c r="N250" s="701"/>
      <c r="O250" s="701"/>
      <c r="P250" s="701"/>
      <c r="Q250" s="701"/>
      <c r="R250" s="701"/>
      <c r="S250" s="701"/>
      <c r="T250" s="701"/>
      <c r="U250" s="701"/>
      <c r="V250" s="701"/>
      <c r="W250" s="701"/>
      <c r="X250" s="701"/>
      <c r="Y250" s="701"/>
      <c r="Z250" s="701"/>
      <c r="AA250" s="701"/>
      <c r="AB250" s="701"/>
      <c r="AC250" s="701"/>
      <c r="AD250" s="701"/>
      <c r="AE250" s="701"/>
      <c r="AF250" s="701"/>
      <c r="AG250" s="701"/>
      <c r="AH250" s="701"/>
      <c r="AI250" s="701"/>
      <c r="AJ250" s="701"/>
      <c r="AK250" s="701"/>
      <c r="AL250" s="701"/>
      <c r="AM250" s="701"/>
      <c r="AN250" s="701"/>
      <c r="AO250" s="701"/>
      <c r="AP250" s="701"/>
      <c r="AQ250" s="701"/>
      <c r="AR250" s="701"/>
      <c r="AS250" s="701"/>
      <c r="AT250" s="701"/>
      <c r="AU250" s="701"/>
      <c r="AV250" s="701"/>
      <c r="AW250" s="701"/>
      <c r="AX250" s="701"/>
      <c r="AY250" s="701"/>
      <c r="AZ250" s="701"/>
      <c r="BA250" s="701"/>
      <c r="BB250" s="701"/>
      <c r="BC250" s="701"/>
    </row>
    <row r="251" spans="1:55" s="702" customFormat="1" ht="35.1" customHeight="1">
      <c r="A251" s="703">
        <v>248</v>
      </c>
      <c r="B251" s="704" t="s">
        <v>2356</v>
      </c>
      <c r="C251" s="705" t="s">
        <v>685</v>
      </c>
      <c r="D251" s="706">
        <v>600000</v>
      </c>
      <c r="E251" s="706">
        <v>600000</v>
      </c>
      <c r="F251" s="707" t="s">
        <v>2201</v>
      </c>
      <c r="G251" s="699"/>
      <c r="H251" s="700"/>
      <c r="I251" s="700" t="s">
        <v>2061</v>
      </c>
      <c r="J251" s="700"/>
      <c r="K251" s="700"/>
      <c r="L251" s="700"/>
      <c r="M251" s="701"/>
      <c r="N251" s="701"/>
      <c r="O251" s="701"/>
      <c r="P251" s="701"/>
      <c r="Q251" s="701"/>
      <c r="R251" s="701"/>
      <c r="S251" s="701"/>
      <c r="T251" s="701"/>
      <c r="U251" s="701"/>
      <c r="V251" s="701"/>
      <c r="W251" s="701"/>
      <c r="X251" s="701"/>
      <c r="Y251" s="701"/>
      <c r="Z251" s="701"/>
      <c r="AA251" s="701"/>
      <c r="AB251" s="701"/>
      <c r="AC251" s="701"/>
      <c r="AD251" s="701"/>
      <c r="AE251" s="701"/>
      <c r="AF251" s="701"/>
      <c r="AG251" s="701"/>
      <c r="AH251" s="701"/>
      <c r="AI251" s="701"/>
      <c r="AJ251" s="701"/>
      <c r="AK251" s="701"/>
      <c r="AL251" s="701"/>
      <c r="AM251" s="701"/>
      <c r="AN251" s="701"/>
      <c r="AO251" s="701"/>
      <c r="AP251" s="701"/>
      <c r="AQ251" s="701"/>
      <c r="AR251" s="701"/>
      <c r="AS251" s="701"/>
      <c r="AT251" s="701"/>
      <c r="AU251" s="701"/>
      <c r="AV251" s="701"/>
      <c r="AW251" s="701"/>
      <c r="AX251" s="701"/>
      <c r="AY251" s="701"/>
      <c r="AZ251" s="701"/>
      <c r="BA251" s="701"/>
      <c r="BB251" s="701"/>
      <c r="BC251" s="701"/>
    </row>
    <row r="252" spans="1:55" s="702" customFormat="1" ht="35.1" customHeight="1">
      <c r="A252" s="703">
        <v>249</v>
      </c>
      <c r="B252" s="704" t="s">
        <v>2357</v>
      </c>
      <c r="C252" s="705" t="s">
        <v>685</v>
      </c>
      <c r="D252" s="706">
        <v>400000</v>
      </c>
      <c r="E252" s="709">
        <v>500000</v>
      </c>
      <c r="F252" s="707"/>
      <c r="G252" s="699"/>
      <c r="H252" s="700"/>
      <c r="I252" s="700"/>
      <c r="J252" s="700"/>
      <c r="K252" s="700"/>
      <c r="L252" s="700"/>
      <c r="M252" s="701"/>
      <c r="N252" s="701"/>
      <c r="O252" s="701"/>
      <c r="P252" s="701"/>
      <c r="Q252" s="701"/>
      <c r="R252" s="701"/>
      <c r="S252" s="701"/>
      <c r="T252" s="701"/>
      <c r="U252" s="701"/>
      <c r="V252" s="701"/>
      <c r="W252" s="701"/>
      <c r="X252" s="701"/>
      <c r="Y252" s="701"/>
      <c r="Z252" s="701"/>
      <c r="AA252" s="701"/>
      <c r="AB252" s="701"/>
      <c r="AC252" s="701"/>
      <c r="AD252" s="701"/>
      <c r="AE252" s="701"/>
      <c r="AF252" s="701"/>
      <c r="AG252" s="701"/>
      <c r="AH252" s="701"/>
      <c r="AI252" s="701"/>
      <c r="AJ252" s="701"/>
      <c r="AK252" s="701"/>
      <c r="AL252" s="701"/>
      <c r="AM252" s="701"/>
      <c r="AN252" s="701"/>
      <c r="AO252" s="701"/>
      <c r="AP252" s="701"/>
      <c r="AQ252" s="701"/>
      <c r="AR252" s="701"/>
      <c r="AS252" s="701"/>
      <c r="AT252" s="701"/>
      <c r="AU252" s="701"/>
      <c r="AV252" s="701"/>
      <c r="AW252" s="701"/>
      <c r="AX252" s="701"/>
      <c r="AY252" s="701"/>
      <c r="AZ252" s="701"/>
      <c r="BA252" s="701"/>
      <c r="BB252" s="701"/>
      <c r="BC252" s="701"/>
    </row>
    <row r="253" spans="1:55" s="702" customFormat="1" ht="35.1" customHeight="1">
      <c r="A253" s="703">
        <v>250</v>
      </c>
      <c r="B253" s="704" t="s">
        <v>2358</v>
      </c>
      <c r="C253" s="705" t="s">
        <v>685</v>
      </c>
      <c r="D253" s="706">
        <v>700000</v>
      </c>
      <c r="E253" s="706">
        <v>700000</v>
      </c>
      <c r="F253" s="707" t="s">
        <v>2201</v>
      </c>
      <c r="G253" s="699"/>
      <c r="H253" s="700"/>
      <c r="I253" s="700" t="s">
        <v>2061</v>
      </c>
      <c r="J253" s="700"/>
      <c r="K253" s="700"/>
      <c r="L253" s="700"/>
      <c r="M253" s="701"/>
      <c r="N253" s="701"/>
      <c r="O253" s="701"/>
      <c r="P253" s="701"/>
      <c r="Q253" s="701"/>
      <c r="R253" s="701"/>
      <c r="S253" s="701"/>
      <c r="T253" s="701"/>
      <c r="U253" s="701"/>
      <c r="V253" s="701"/>
      <c r="W253" s="701"/>
      <c r="X253" s="701"/>
      <c r="Y253" s="701"/>
      <c r="Z253" s="701"/>
      <c r="AA253" s="701"/>
      <c r="AB253" s="701"/>
      <c r="AC253" s="701"/>
      <c r="AD253" s="701"/>
      <c r="AE253" s="701"/>
      <c r="AF253" s="701"/>
      <c r="AG253" s="701"/>
      <c r="AH253" s="701"/>
      <c r="AI253" s="701"/>
      <c r="AJ253" s="701"/>
      <c r="AK253" s="701"/>
      <c r="AL253" s="701"/>
      <c r="AM253" s="701"/>
      <c r="AN253" s="701"/>
      <c r="AO253" s="701"/>
      <c r="AP253" s="701"/>
      <c r="AQ253" s="701"/>
      <c r="AR253" s="701"/>
      <c r="AS253" s="701"/>
      <c r="AT253" s="701"/>
      <c r="AU253" s="701"/>
      <c r="AV253" s="701"/>
      <c r="AW253" s="701"/>
      <c r="AX253" s="701"/>
      <c r="AY253" s="701"/>
      <c r="AZ253" s="701"/>
      <c r="BA253" s="701"/>
      <c r="BB253" s="701"/>
      <c r="BC253" s="701"/>
    </row>
    <row r="254" spans="1:55" s="714" customFormat="1" ht="35.1" customHeight="1">
      <c r="A254" s="703">
        <v>251</v>
      </c>
      <c r="B254" s="704" t="s">
        <v>2359</v>
      </c>
      <c r="C254" s="705" t="s">
        <v>670</v>
      </c>
      <c r="D254" s="706">
        <v>7000000</v>
      </c>
      <c r="E254" s="711">
        <v>10500000</v>
      </c>
      <c r="F254" s="707" t="s">
        <v>2201</v>
      </c>
      <c r="G254" s="712"/>
      <c r="H254" s="700"/>
      <c r="I254" s="700" t="s">
        <v>2061</v>
      </c>
      <c r="J254" s="700"/>
      <c r="K254" s="700"/>
      <c r="L254" s="700"/>
      <c r="M254" s="713"/>
      <c r="N254" s="713"/>
      <c r="O254" s="713"/>
      <c r="P254" s="713"/>
      <c r="Q254" s="713"/>
      <c r="R254" s="713"/>
      <c r="S254" s="713"/>
      <c r="T254" s="713"/>
      <c r="U254" s="713"/>
      <c r="V254" s="713"/>
      <c r="W254" s="713"/>
      <c r="X254" s="713"/>
      <c r="Y254" s="713"/>
      <c r="Z254" s="713"/>
      <c r="AA254" s="713"/>
      <c r="AB254" s="713"/>
      <c r="AC254" s="713"/>
      <c r="AD254" s="713"/>
      <c r="AE254" s="713"/>
      <c r="AF254" s="713"/>
      <c r="AG254" s="713"/>
      <c r="AH254" s="713"/>
      <c r="AI254" s="713"/>
      <c r="AJ254" s="713"/>
      <c r="AK254" s="713"/>
      <c r="AL254" s="713"/>
      <c r="AM254" s="713"/>
      <c r="AN254" s="713"/>
      <c r="AO254" s="713"/>
      <c r="AP254" s="713"/>
      <c r="AQ254" s="713"/>
      <c r="AR254" s="713"/>
      <c r="AS254" s="713"/>
      <c r="AT254" s="713"/>
      <c r="AU254" s="713"/>
      <c r="AV254" s="713"/>
      <c r="AW254" s="713"/>
      <c r="AX254" s="713"/>
      <c r="AY254" s="713"/>
      <c r="AZ254" s="713"/>
      <c r="BA254" s="713"/>
      <c r="BB254" s="713"/>
      <c r="BC254" s="713"/>
    </row>
    <row r="255" spans="1:55" s="702" customFormat="1" ht="35.1" customHeight="1">
      <c r="A255" s="703">
        <v>252</v>
      </c>
      <c r="B255" s="704" t="s">
        <v>2360</v>
      </c>
      <c r="C255" s="705" t="s">
        <v>670</v>
      </c>
      <c r="D255" s="706">
        <v>18500000</v>
      </c>
      <c r="E255" s="706">
        <v>18500000</v>
      </c>
      <c r="F255" s="707" t="s">
        <v>2201</v>
      </c>
      <c r="G255" s="699"/>
      <c r="H255" s="700"/>
      <c r="I255" s="700" t="s">
        <v>2061</v>
      </c>
      <c r="J255" s="700"/>
      <c r="K255" s="700"/>
      <c r="L255" s="700"/>
      <c r="M255" s="701"/>
      <c r="N255" s="701"/>
      <c r="O255" s="701"/>
      <c r="P255" s="701"/>
      <c r="Q255" s="701"/>
      <c r="R255" s="701"/>
      <c r="S255" s="701"/>
      <c r="T255" s="701"/>
      <c r="U255" s="701"/>
      <c r="V255" s="701"/>
      <c r="W255" s="701"/>
      <c r="X255" s="701"/>
      <c r="Y255" s="701"/>
      <c r="Z255" s="701"/>
      <c r="AA255" s="701"/>
      <c r="AB255" s="701"/>
      <c r="AC255" s="701"/>
      <c r="AD255" s="701"/>
      <c r="AE255" s="701"/>
      <c r="AF255" s="701"/>
      <c r="AG255" s="701"/>
      <c r="AH255" s="701"/>
      <c r="AI255" s="701"/>
      <c r="AJ255" s="701"/>
      <c r="AK255" s="701"/>
      <c r="AL255" s="701"/>
      <c r="AM255" s="701"/>
      <c r="AN255" s="701"/>
      <c r="AO255" s="701"/>
      <c r="AP255" s="701"/>
      <c r="AQ255" s="701"/>
      <c r="AR255" s="701"/>
      <c r="AS255" s="701"/>
      <c r="AT255" s="701"/>
      <c r="AU255" s="701"/>
      <c r="AV255" s="701"/>
      <c r="AW255" s="701"/>
      <c r="AX255" s="701"/>
      <c r="AY255" s="701"/>
      <c r="AZ255" s="701"/>
      <c r="BA255" s="701"/>
      <c r="BB255" s="701"/>
      <c r="BC255" s="701"/>
    </row>
    <row r="256" spans="1:55" s="702" customFormat="1" ht="35.1" customHeight="1">
      <c r="A256" s="703">
        <v>253</v>
      </c>
      <c r="B256" s="704" t="s">
        <v>2361</v>
      </c>
      <c r="C256" s="705" t="s">
        <v>670</v>
      </c>
      <c r="D256" s="706">
        <v>15000000</v>
      </c>
      <c r="E256" s="706">
        <v>15000000</v>
      </c>
      <c r="F256" s="707" t="s">
        <v>2201</v>
      </c>
      <c r="G256" s="699"/>
      <c r="H256" s="700"/>
      <c r="I256" s="700" t="s">
        <v>2061</v>
      </c>
      <c r="J256" s="700"/>
      <c r="K256" s="700"/>
      <c r="L256" s="700"/>
      <c r="M256" s="701"/>
      <c r="N256" s="701"/>
      <c r="O256" s="701"/>
      <c r="P256" s="701"/>
      <c r="Q256" s="701"/>
      <c r="R256" s="701"/>
      <c r="S256" s="701"/>
      <c r="T256" s="701"/>
      <c r="U256" s="701"/>
      <c r="V256" s="701"/>
      <c r="W256" s="701"/>
      <c r="X256" s="701"/>
      <c r="Y256" s="701"/>
      <c r="Z256" s="701"/>
      <c r="AA256" s="701"/>
      <c r="AB256" s="701"/>
      <c r="AC256" s="701"/>
      <c r="AD256" s="701"/>
      <c r="AE256" s="701"/>
      <c r="AF256" s="701"/>
      <c r="AG256" s="701"/>
      <c r="AH256" s="701"/>
      <c r="AI256" s="701"/>
      <c r="AJ256" s="701"/>
      <c r="AK256" s="701"/>
      <c r="AL256" s="701"/>
      <c r="AM256" s="701"/>
      <c r="AN256" s="701"/>
      <c r="AO256" s="701"/>
      <c r="AP256" s="701"/>
      <c r="AQ256" s="701"/>
      <c r="AR256" s="701"/>
      <c r="AS256" s="701"/>
      <c r="AT256" s="701"/>
      <c r="AU256" s="701"/>
      <c r="AV256" s="701"/>
      <c r="AW256" s="701"/>
      <c r="AX256" s="701"/>
      <c r="AY256" s="701"/>
      <c r="AZ256" s="701"/>
      <c r="BA256" s="701"/>
      <c r="BB256" s="701"/>
      <c r="BC256" s="701"/>
    </row>
    <row r="257" spans="1:55" s="702" customFormat="1" ht="35.1" customHeight="1">
      <c r="A257" s="703">
        <v>254</v>
      </c>
      <c r="B257" s="704" t="s">
        <v>2362</v>
      </c>
      <c r="C257" s="705" t="s">
        <v>670</v>
      </c>
      <c r="D257" s="718">
        <v>48500000</v>
      </c>
      <c r="E257" s="719">
        <v>48500000</v>
      </c>
      <c r="F257" s="707" t="s">
        <v>2201</v>
      </c>
      <c r="G257" s="699"/>
      <c r="H257" s="700"/>
      <c r="I257" s="700" t="s">
        <v>2061</v>
      </c>
      <c r="J257" s="700"/>
      <c r="K257" s="700"/>
      <c r="L257" s="700"/>
      <c r="M257" s="701"/>
      <c r="N257" s="701"/>
      <c r="O257" s="701"/>
      <c r="P257" s="701"/>
      <c r="Q257" s="701"/>
      <c r="R257" s="701"/>
      <c r="S257" s="701"/>
      <c r="T257" s="701"/>
      <c r="U257" s="701"/>
      <c r="V257" s="701"/>
      <c r="W257" s="701"/>
      <c r="X257" s="701"/>
      <c r="Y257" s="701"/>
      <c r="Z257" s="701"/>
      <c r="AA257" s="701"/>
      <c r="AB257" s="701"/>
      <c r="AC257" s="701"/>
      <c r="AD257" s="701"/>
      <c r="AE257" s="701"/>
      <c r="AF257" s="701"/>
      <c r="AG257" s="701"/>
      <c r="AH257" s="701"/>
      <c r="AI257" s="701"/>
      <c r="AJ257" s="701"/>
      <c r="AK257" s="701"/>
      <c r="AL257" s="701"/>
      <c r="AM257" s="701"/>
      <c r="AN257" s="701"/>
      <c r="AO257" s="701"/>
      <c r="AP257" s="701"/>
      <c r="AQ257" s="701"/>
      <c r="AR257" s="701"/>
      <c r="AS257" s="701"/>
      <c r="AT257" s="701"/>
      <c r="AU257" s="701"/>
      <c r="AV257" s="701"/>
      <c r="AW257" s="701"/>
      <c r="AX257" s="701"/>
      <c r="AY257" s="701"/>
      <c r="AZ257" s="701"/>
      <c r="BA257" s="701"/>
      <c r="BB257" s="701"/>
      <c r="BC257" s="701"/>
    </row>
    <row r="258" spans="1:55" s="702" customFormat="1" ht="35.1" customHeight="1">
      <c r="A258" s="703">
        <v>255</v>
      </c>
      <c r="B258" s="704" t="s">
        <v>2363</v>
      </c>
      <c r="C258" s="705" t="s">
        <v>670</v>
      </c>
      <c r="D258" s="718">
        <v>120000000</v>
      </c>
      <c r="E258" s="719">
        <v>120000000</v>
      </c>
      <c r="F258" s="707" t="s">
        <v>2201</v>
      </c>
      <c r="G258" s="699"/>
      <c r="H258" s="700"/>
      <c r="I258" s="700" t="s">
        <v>2061</v>
      </c>
      <c r="J258" s="700"/>
      <c r="K258" s="700"/>
      <c r="L258" s="700"/>
      <c r="M258" s="701"/>
      <c r="N258" s="701"/>
      <c r="O258" s="701"/>
      <c r="P258" s="701"/>
      <c r="Q258" s="701"/>
      <c r="R258" s="701"/>
      <c r="S258" s="701"/>
      <c r="T258" s="701"/>
      <c r="U258" s="701"/>
      <c r="V258" s="701"/>
      <c r="W258" s="701"/>
      <c r="X258" s="701"/>
      <c r="Y258" s="701"/>
      <c r="Z258" s="701"/>
      <c r="AA258" s="701"/>
      <c r="AB258" s="701"/>
      <c r="AC258" s="701"/>
      <c r="AD258" s="701"/>
      <c r="AE258" s="701"/>
      <c r="AF258" s="701"/>
      <c r="AG258" s="701"/>
      <c r="AH258" s="701"/>
      <c r="AI258" s="701"/>
      <c r="AJ258" s="701"/>
      <c r="AK258" s="701"/>
      <c r="AL258" s="701"/>
      <c r="AM258" s="701"/>
      <c r="AN258" s="701"/>
      <c r="AO258" s="701"/>
      <c r="AP258" s="701"/>
      <c r="AQ258" s="701"/>
      <c r="AR258" s="701"/>
      <c r="AS258" s="701"/>
      <c r="AT258" s="701"/>
      <c r="AU258" s="701"/>
      <c r="AV258" s="701"/>
      <c r="AW258" s="701"/>
      <c r="AX258" s="701"/>
      <c r="AY258" s="701"/>
      <c r="AZ258" s="701"/>
      <c r="BA258" s="701"/>
      <c r="BB258" s="701"/>
      <c r="BC258" s="701"/>
    </row>
    <row r="259" spans="1:55" s="702" customFormat="1" ht="35.1" customHeight="1">
      <c r="A259" s="703">
        <v>256</v>
      </c>
      <c r="B259" s="704" t="s">
        <v>2364</v>
      </c>
      <c r="C259" s="705" t="s">
        <v>670</v>
      </c>
      <c r="D259" s="706">
        <v>10500000</v>
      </c>
      <c r="E259" s="706">
        <v>10500000</v>
      </c>
      <c r="F259" s="707" t="s">
        <v>2201</v>
      </c>
      <c r="G259" s="699"/>
      <c r="H259" s="700"/>
      <c r="I259" s="700" t="s">
        <v>2061</v>
      </c>
      <c r="J259" s="700"/>
      <c r="K259" s="700"/>
      <c r="L259" s="700"/>
      <c r="M259" s="701"/>
      <c r="N259" s="701"/>
      <c r="O259" s="701"/>
      <c r="P259" s="701"/>
      <c r="Q259" s="701"/>
      <c r="R259" s="701"/>
      <c r="S259" s="701"/>
      <c r="T259" s="701"/>
      <c r="U259" s="701"/>
      <c r="V259" s="701"/>
      <c r="W259" s="701"/>
      <c r="X259" s="701"/>
      <c r="Y259" s="701"/>
      <c r="Z259" s="701"/>
      <c r="AA259" s="701"/>
      <c r="AB259" s="701"/>
      <c r="AC259" s="701"/>
      <c r="AD259" s="701"/>
      <c r="AE259" s="701"/>
      <c r="AF259" s="701"/>
      <c r="AG259" s="701"/>
      <c r="AH259" s="701"/>
      <c r="AI259" s="701"/>
      <c r="AJ259" s="701"/>
      <c r="AK259" s="701"/>
      <c r="AL259" s="701"/>
      <c r="AM259" s="701"/>
      <c r="AN259" s="701"/>
      <c r="AO259" s="701"/>
      <c r="AP259" s="701"/>
      <c r="AQ259" s="701"/>
      <c r="AR259" s="701"/>
      <c r="AS259" s="701"/>
      <c r="AT259" s="701"/>
      <c r="AU259" s="701"/>
      <c r="AV259" s="701"/>
      <c r="AW259" s="701"/>
      <c r="AX259" s="701"/>
      <c r="AY259" s="701"/>
      <c r="AZ259" s="701"/>
      <c r="BA259" s="701"/>
      <c r="BB259" s="701"/>
      <c r="BC259" s="701"/>
    </row>
    <row r="260" spans="1:55" s="702" customFormat="1" ht="35.1" customHeight="1">
      <c r="A260" s="703">
        <v>257</v>
      </c>
      <c r="B260" s="704" t="s">
        <v>2365</v>
      </c>
      <c r="C260" s="705" t="s">
        <v>624</v>
      </c>
      <c r="D260" s="706">
        <v>600000</v>
      </c>
      <c r="E260" s="706">
        <v>600000</v>
      </c>
      <c r="F260" s="707" t="s">
        <v>2201</v>
      </c>
      <c r="G260" s="699"/>
      <c r="H260" s="700"/>
      <c r="I260" s="700" t="s">
        <v>2061</v>
      </c>
      <c r="J260" s="700"/>
      <c r="K260" s="700"/>
      <c r="L260" s="700"/>
      <c r="M260" s="701"/>
      <c r="N260" s="701"/>
      <c r="O260" s="701"/>
      <c r="P260" s="701"/>
      <c r="Q260" s="701"/>
      <c r="R260" s="701"/>
      <c r="S260" s="701"/>
      <c r="T260" s="701"/>
      <c r="U260" s="701"/>
      <c r="V260" s="701"/>
      <c r="W260" s="701"/>
      <c r="X260" s="701"/>
      <c r="Y260" s="701"/>
      <c r="Z260" s="701"/>
      <c r="AA260" s="701"/>
      <c r="AB260" s="701"/>
      <c r="AC260" s="701"/>
      <c r="AD260" s="701"/>
      <c r="AE260" s="701"/>
      <c r="AF260" s="701"/>
      <c r="AG260" s="701"/>
      <c r="AH260" s="701"/>
      <c r="AI260" s="701"/>
      <c r="AJ260" s="701"/>
      <c r="AK260" s="701"/>
      <c r="AL260" s="701"/>
      <c r="AM260" s="701"/>
      <c r="AN260" s="701"/>
      <c r="AO260" s="701"/>
      <c r="AP260" s="701"/>
      <c r="AQ260" s="701"/>
      <c r="AR260" s="701"/>
      <c r="AS260" s="701"/>
      <c r="AT260" s="701"/>
      <c r="AU260" s="701"/>
      <c r="AV260" s="701"/>
      <c r="AW260" s="701"/>
      <c r="AX260" s="701"/>
      <c r="AY260" s="701"/>
      <c r="AZ260" s="701"/>
      <c r="BA260" s="701"/>
      <c r="BB260" s="701"/>
      <c r="BC260" s="701"/>
    </row>
    <row r="261" spans="1:55" s="702" customFormat="1" ht="35.1" customHeight="1">
      <c r="A261" s="703">
        <v>258</v>
      </c>
      <c r="B261" s="704" t="s">
        <v>2366</v>
      </c>
      <c r="C261" s="705" t="s">
        <v>655</v>
      </c>
      <c r="D261" s="706">
        <f>ROUND(48000/1.1,0)</f>
        <v>43636</v>
      </c>
      <c r="E261" s="709">
        <f t="shared" ref="E261:E267" si="0">ROUND(89000/1.1,0)</f>
        <v>80909</v>
      </c>
      <c r="F261" s="707" t="s">
        <v>2246</v>
      </c>
      <c r="G261" s="699"/>
      <c r="H261" s="700"/>
      <c r="I261" s="700" t="s">
        <v>2367</v>
      </c>
      <c r="J261" s="700"/>
      <c r="K261" s="700"/>
      <c r="L261" s="700"/>
      <c r="M261" s="701"/>
      <c r="N261" s="701"/>
      <c r="O261" s="701"/>
      <c r="P261" s="701"/>
      <c r="Q261" s="701"/>
      <c r="R261" s="701"/>
      <c r="S261" s="701"/>
      <c r="T261" s="701"/>
      <c r="U261" s="701"/>
      <c r="V261" s="701"/>
      <c r="W261" s="701"/>
      <c r="X261" s="701"/>
      <c r="Y261" s="701"/>
      <c r="Z261" s="701"/>
      <c r="AA261" s="701"/>
      <c r="AB261" s="701"/>
      <c r="AC261" s="701"/>
      <c r="AD261" s="701"/>
      <c r="AE261" s="701"/>
      <c r="AF261" s="701"/>
      <c r="AG261" s="701"/>
      <c r="AH261" s="701"/>
      <c r="AI261" s="701"/>
      <c r="AJ261" s="701"/>
      <c r="AK261" s="701"/>
      <c r="AL261" s="701"/>
      <c r="AM261" s="701"/>
      <c r="AN261" s="701"/>
      <c r="AO261" s="701"/>
      <c r="AP261" s="701"/>
      <c r="AQ261" s="701"/>
      <c r="AR261" s="701"/>
      <c r="AS261" s="701"/>
      <c r="AT261" s="701"/>
      <c r="AU261" s="701"/>
      <c r="AV261" s="701"/>
      <c r="AW261" s="701"/>
      <c r="AX261" s="701"/>
      <c r="AY261" s="701"/>
      <c r="AZ261" s="701"/>
      <c r="BA261" s="701"/>
      <c r="BB261" s="701"/>
      <c r="BC261" s="701"/>
    </row>
    <row r="262" spans="1:55" s="702" customFormat="1" ht="35.1" customHeight="1">
      <c r="A262" s="703">
        <v>259</v>
      </c>
      <c r="B262" s="704" t="s">
        <v>2368</v>
      </c>
      <c r="C262" s="705" t="s">
        <v>655</v>
      </c>
      <c r="D262" s="706">
        <f>ROUND(48000/1.1,0)</f>
        <v>43636</v>
      </c>
      <c r="E262" s="709">
        <f t="shared" si="0"/>
        <v>80909</v>
      </c>
      <c r="F262" s="707" t="s">
        <v>2246</v>
      </c>
      <c r="G262" s="699"/>
      <c r="H262" s="700"/>
      <c r="I262" s="700" t="s">
        <v>2367</v>
      </c>
      <c r="J262" s="700"/>
      <c r="K262" s="700"/>
      <c r="L262" s="700"/>
      <c r="M262" s="701"/>
      <c r="N262" s="701"/>
      <c r="O262" s="701"/>
      <c r="P262" s="701"/>
      <c r="Q262" s="701"/>
      <c r="R262" s="701"/>
      <c r="S262" s="701"/>
      <c r="T262" s="701"/>
      <c r="U262" s="701"/>
      <c r="V262" s="701"/>
      <c r="W262" s="701"/>
      <c r="X262" s="701"/>
      <c r="Y262" s="701"/>
      <c r="Z262" s="701"/>
      <c r="AA262" s="701"/>
      <c r="AB262" s="701"/>
      <c r="AC262" s="701"/>
      <c r="AD262" s="701"/>
      <c r="AE262" s="701"/>
      <c r="AF262" s="701"/>
      <c r="AG262" s="701"/>
      <c r="AH262" s="701"/>
      <c r="AI262" s="701"/>
      <c r="AJ262" s="701"/>
      <c r="AK262" s="701"/>
      <c r="AL262" s="701"/>
      <c r="AM262" s="701"/>
      <c r="AN262" s="701"/>
      <c r="AO262" s="701"/>
      <c r="AP262" s="701"/>
      <c r="AQ262" s="701"/>
      <c r="AR262" s="701"/>
      <c r="AS262" s="701"/>
      <c r="AT262" s="701"/>
      <c r="AU262" s="701"/>
      <c r="AV262" s="701"/>
      <c r="AW262" s="701"/>
      <c r="AX262" s="701"/>
      <c r="AY262" s="701"/>
      <c r="AZ262" s="701"/>
      <c r="BA262" s="701"/>
      <c r="BB262" s="701"/>
      <c r="BC262" s="701"/>
    </row>
    <row r="263" spans="1:55" s="702" customFormat="1" ht="35.1" customHeight="1">
      <c r="A263" s="703">
        <v>260</v>
      </c>
      <c r="B263" s="704" t="s">
        <v>2369</v>
      </c>
      <c r="C263" s="705" t="s">
        <v>655</v>
      </c>
      <c r="D263" s="706">
        <f>ROUND(48000/1.1,0)</f>
        <v>43636</v>
      </c>
      <c r="E263" s="709">
        <f t="shared" si="0"/>
        <v>80909</v>
      </c>
      <c r="F263" s="707" t="s">
        <v>2246</v>
      </c>
      <c r="G263" s="699"/>
      <c r="H263" s="700"/>
      <c r="I263" s="700" t="s">
        <v>2367</v>
      </c>
      <c r="J263" s="700"/>
      <c r="K263" s="700"/>
      <c r="L263" s="700"/>
      <c r="M263" s="701"/>
      <c r="N263" s="701"/>
      <c r="O263" s="701"/>
      <c r="P263" s="701"/>
      <c r="Q263" s="701"/>
      <c r="R263" s="701"/>
      <c r="S263" s="701"/>
      <c r="T263" s="701"/>
      <c r="U263" s="701"/>
      <c r="V263" s="701"/>
      <c r="W263" s="701"/>
      <c r="X263" s="701"/>
      <c r="Y263" s="701"/>
      <c r="Z263" s="701"/>
      <c r="AA263" s="701"/>
      <c r="AB263" s="701"/>
      <c r="AC263" s="701"/>
      <c r="AD263" s="701"/>
      <c r="AE263" s="701"/>
      <c r="AF263" s="701"/>
      <c r="AG263" s="701"/>
      <c r="AH263" s="701"/>
      <c r="AI263" s="701"/>
      <c r="AJ263" s="701"/>
      <c r="AK263" s="701"/>
      <c r="AL263" s="701"/>
      <c r="AM263" s="701"/>
      <c r="AN263" s="701"/>
      <c r="AO263" s="701"/>
      <c r="AP263" s="701"/>
      <c r="AQ263" s="701"/>
      <c r="AR263" s="701"/>
      <c r="AS263" s="701"/>
      <c r="AT263" s="701"/>
      <c r="AU263" s="701"/>
      <c r="AV263" s="701"/>
      <c r="AW263" s="701"/>
      <c r="AX263" s="701"/>
      <c r="AY263" s="701"/>
      <c r="AZ263" s="701"/>
      <c r="BA263" s="701"/>
      <c r="BB263" s="701"/>
      <c r="BC263" s="701"/>
    </row>
    <row r="264" spans="1:55" s="702" customFormat="1" ht="35.1" customHeight="1">
      <c r="A264" s="703">
        <v>261</v>
      </c>
      <c r="B264" s="704" t="s">
        <v>2370</v>
      </c>
      <c r="C264" s="705" t="s">
        <v>655</v>
      </c>
      <c r="D264" s="706">
        <f>ROUND(52000/1.1,0)</f>
        <v>47273</v>
      </c>
      <c r="E264" s="709">
        <f t="shared" si="0"/>
        <v>80909</v>
      </c>
      <c r="F264" s="707" t="s">
        <v>2246</v>
      </c>
      <c r="G264" s="699"/>
      <c r="H264" s="700"/>
      <c r="I264" s="700"/>
      <c r="J264" s="700"/>
      <c r="K264" s="700"/>
      <c r="L264" s="700"/>
      <c r="M264" s="701"/>
      <c r="N264" s="701"/>
      <c r="O264" s="701"/>
      <c r="P264" s="701"/>
      <c r="Q264" s="701"/>
      <c r="R264" s="701"/>
      <c r="S264" s="701"/>
      <c r="T264" s="701"/>
      <c r="U264" s="701"/>
      <c r="V264" s="701"/>
      <c r="W264" s="701"/>
      <c r="X264" s="701"/>
      <c r="Y264" s="701"/>
      <c r="Z264" s="701"/>
      <c r="AA264" s="701"/>
      <c r="AB264" s="701"/>
      <c r="AC264" s="701"/>
      <c r="AD264" s="701"/>
      <c r="AE264" s="701"/>
      <c r="AF264" s="701"/>
      <c r="AG264" s="701"/>
      <c r="AH264" s="701"/>
      <c r="AI264" s="701"/>
      <c r="AJ264" s="701"/>
      <c r="AK264" s="701"/>
      <c r="AL264" s="701"/>
      <c r="AM264" s="701"/>
      <c r="AN264" s="701"/>
      <c r="AO264" s="701"/>
      <c r="AP264" s="701"/>
      <c r="AQ264" s="701"/>
      <c r="AR264" s="701"/>
      <c r="AS264" s="701"/>
      <c r="AT264" s="701"/>
      <c r="AU264" s="701"/>
      <c r="AV264" s="701"/>
      <c r="AW264" s="701"/>
      <c r="AX264" s="701"/>
      <c r="AY264" s="701"/>
      <c r="AZ264" s="701"/>
      <c r="BA264" s="701"/>
      <c r="BB264" s="701"/>
      <c r="BC264" s="701"/>
    </row>
    <row r="265" spans="1:55" s="702" customFormat="1" ht="35.1" customHeight="1">
      <c r="A265" s="703">
        <v>262</v>
      </c>
      <c r="B265" s="704" t="s">
        <v>2371</v>
      </c>
      <c r="C265" s="705" t="s">
        <v>655</v>
      </c>
      <c r="D265" s="706">
        <f>ROUND(52000/1.1,0)</f>
        <v>47273</v>
      </c>
      <c r="E265" s="709">
        <f t="shared" si="0"/>
        <v>80909</v>
      </c>
      <c r="F265" s="707" t="s">
        <v>2246</v>
      </c>
      <c r="G265" s="699"/>
      <c r="H265" s="700"/>
      <c r="I265" s="700"/>
      <c r="J265" s="700"/>
      <c r="K265" s="700"/>
      <c r="L265" s="700"/>
      <c r="M265" s="701"/>
      <c r="N265" s="701"/>
      <c r="O265" s="701"/>
      <c r="P265" s="701"/>
      <c r="Q265" s="701"/>
      <c r="R265" s="701"/>
      <c r="S265" s="701"/>
      <c r="T265" s="701"/>
      <c r="U265" s="701"/>
      <c r="V265" s="701"/>
      <c r="W265" s="701"/>
      <c r="X265" s="701"/>
      <c r="Y265" s="701"/>
      <c r="Z265" s="701"/>
      <c r="AA265" s="701"/>
      <c r="AB265" s="701"/>
      <c r="AC265" s="701"/>
      <c r="AD265" s="701"/>
      <c r="AE265" s="701"/>
      <c r="AF265" s="701"/>
      <c r="AG265" s="701"/>
      <c r="AH265" s="701"/>
      <c r="AI265" s="701"/>
      <c r="AJ265" s="701"/>
      <c r="AK265" s="701"/>
      <c r="AL265" s="701"/>
      <c r="AM265" s="701"/>
      <c r="AN265" s="701"/>
      <c r="AO265" s="701"/>
      <c r="AP265" s="701"/>
      <c r="AQ265" s="701"/>
      <c r="AR265" s="701"/>
      <c r="AS265" s="701"/>
      <c r="AT265" s="701"/>
      <c r="AU265" s="701"/>
      <c r="AV265" s="701"/>
      <c r="AW265" s="701"/>
      <c r="AX265" s="701"/>
      <c r="AY265" s="701"/>
      <c r="AZ265" s="701"/>
      <c r="BA265" s="701"/>
      <c r="BB265" s="701"/>
      <c r="BC265" s="701"/>
    </row>
    <row r="266" spans="1:55" s="702" customFormat="1" ht="35.1" customHeight="1">
      <c r="A266" s="703">
        <v>263</v>
      </c>
      <c r="B266" s="704" t="s">
        <v>2372</v>
      </c>
      <c r="C266" s="705" t="s">
        <v>655</v>
      </c>
      <c r="D266" s="706">
        <f>ROUND(52000/1.1,0)</f>
        <v>47273</v>
      </c>
      <c r="E266" s="709">
        <f t="shared" si="0"/>
        <v>80909</v>
      </c>
      <c r="F266" s="707" t="s">
        <v>2246</v>
      </c>
      <c r="G266" s="699"/>
      <c r="H266" s="700"/>
      <c r="I266" s="700"/>
      <c r="J266" s="700"/>
      <c r="K266" s="700"/>
      <c r="L266" s="700"/>
      <c r="M266" s="701"/>
      <c r="N266" s="701"/>
      <c r="O266" s="701"/>
      <c r="P266" s="701"/>
      <c r="Q266" s="701"/>
      <c r="R266" s="701"/>
      <c r="S266" s="701"/>
      <c r="T266" s="701"/>
      <c r="U266" s="701"/>
      <c r="V266" s="701"/>
      <c r="W266" s="701"/>
      <c r="X266" s="701"/>
      <c r="Y266" s="701"/>
      <c r="Z266" s="701"/>
      <c r="AA266" s="701"/>
      <c r="AB266" s="701"/>
      <c r="AC266" s="701"/>
      <c r="AD266" s="701"/>
      <c r="AE266" s="701"/>
      <c r="AF266" s="701"/>
      <c r="AG266" s="701"/>
      <c r="AH266" s="701"/>
      <c r="AI266" s="701"/>
      <c r="AJ266" s="701"/>
      <c r="AK266" s="701"/>
      <c r="AL266" s="701"/>
      <c r="AM266" s="701"/>
      <c r="AN266" s="701"/>
      <c r="AO266" s="701"/>
      <c r="AP266" s="701"/>
      <c r="AQ266" s="701"/>
      <c r="AR266" s="701"/>
      <c r="AS266" s="701"/>
      <c r="AT266" s="701"/>
      <c r="AU266" s="701"/>
      <c r="AV266" s="701"/>
      <c r="AW266" s="701"/>
      <c r="AX266" s="701"/>
      <c r="AY266" s="701"/>
      <c r="AZ266" s="701"/>
      <c r="BA266" s="701"/>
      <c r="BB266" s="701"/>
      <c r="BC266" s="701"/>
    </row>
    <row r="267" spans="1:55" s="702" customFormat="1" ht="35.1" customHeight="1">
      <c r="A267" s="703">
        <v>264</v>
      </c>
      <c r="B267" s="704" t="s">
        <v>2373</v>
      </c>
      <c r="C267" s="705" t="s">
        <v>655</v>
      </c>
      <c r="D267" s="706">
        <f>ROUND(52000/1.1,0)</f>
        <v>47273</v>
      </c>
      <c r="E267" s="709">
        <f t="shared" si="0"/>
        <v>80909</v>
      </c>
      <c r="F267" s="707" t="s">
        <v>2246</v>
      </c>
      <c r="G267" s="699"/>
      <c r="H267" s="700"/>
      <c r="I267" s="700"/>
      <c r="J267" s="700"/>
      <c r="K267" s="700"/>
      <c r="L267" s="700"/>
      <c r="M267" s="701"/>
      <c r="N267" s="701"/>
      <c r="O267" s="701"/>
      <c r="P267" s="701"/>
      <c r="Q267" s="701"/>
      <c r="R267" s="701"/>
      <c r="S267" s="701"/>
      <c r="T267" s="701"/>
      <c r="U267" s="701"/>
      <c r="V267" s="701"/>
      <c r="W267" s="701"/>
      <c r="X267" s="701"/>
      <c r="Y267" s="701"/>
      <c r="Z267" s="701"/>
      <c r="AA267" s="701"/>
      <c r="AB267" s="701"/>
      <c r="AC267" s="701"/>
      <c r="AD267" s="701"/>
      <c r="AE267" s="701"/>
      <c r="AF267" s="701"/>
      <c r="AG267" s="701"/>
      <c r="AH267" s="701"/>
      <c r="AI267" s="701"/>
      <c r="AJ267" s="701"/>
      <c r="AK267" s="701"/>
      <c r="AL267" s="701"/>
      <c r="AM267" s="701"/>
      <c r="AN267" s="701"/>
      <c r="AO267" s="701"/>
      <c r="AP267" s="701"/>
      <c r="AQ267" s="701"/>
      <c r="AR267" s="701"/>
      <c r="AS267" s="701"/>
      <c r="AT267" s="701"/>
      <c r="AU267" s="701"/>
      <c r="AV267" s="701"/>
      <c r="AW267" s="701"/>
      <c r="AX267" s="701"/>
      <c r="AY267" s="701"/>
      <c r="AZ267" s="701"/>
      <c r="BA267" s="701"/>
      <c r="BB267" s="701"/>
      <c r="BC267" s="701"/>
    </row>
    <row r="268" spans="1:55" s="702" customFormat="1" ht="35.1" customHeight="1">
      <c r="A268" s="703">
        <v>265</v>
      </c>
      <c r="B268" s="704" t="s">
        <v>2374</v>
      </c>
      <c r="C268" s="705" t="s">
        <v>655</v>
      </c>
      <c r="D268" s="706">
        <v>104545</v>
      </c>
      <c r="E268" s="709">
        <f>ROUND(255000/1.1,0)</f>
        <v>231818</v>
      </c>
      <c r="F268" s="707" t="s">
        <v>2246</v>
      </c>
      <c r="G268" s="699"/>
      <c r="H268" s="700"/>
      <c r="I268" s="700"/>
      <c r="J268" s="700"/>
      <c r="K268" s="700"/>
      <c r="L268" s="700"/>
      <c r="M268" s="701"/>
      <c r="N268" s="701"/>
      <c r="O268" s="701"/>
      <c r="P268" s="701"/>
      <c r="Q268" s="701"/>
      <c r="R268" s="701"/>
      <c r="S268" s="701"/>
      <c r="T268" s="701"/>
      <c r="U268" s="701"/>
      <c r="V268" s="701"/>
      <c r="W268" s="701"/>
      <c r="X268" s="701"/>
      <c r="Y268" s="701"/>
      <c r="Z268" s="701"/>
      <c r="AA268" s="701"/>
      <c r="AB268" s="701"/>
      <c r="AC268" s="701"/>
      <c r="AD268" s="701"/>
      <c r="AE268" s="701"/>
      <c r="AF268" s="701"/>
      <c r="AG268" s="701"/>
      <c r="AH268" s="701"/>
      <c r="AI268" s="701"/>
      <c r="AJ268" s="701"/>
      <c r="AK268" s="701"/>
      <c r="AL268" s="701"/>
      <c r="AM268" s="701"/>
      <c r="AN268" s="701"/>
      <c r="AO268" s="701"/>
      <c r="AP268" s="701"/>
      <c r="AQ268" s="701"/>
      <c r="AR268" s="701"/>
      <c r="AS268" s="701"/>
      <c r="AT268" s="701"/>
      <c r="AU268" s="701"/>
      <c r="AV268" s="701"/>
      <c r="AW268" s="701"/>
      <c r="AX268" s="701"/>
      <c r="AY268" s="701"/>
      <c r="AZ268" s="701"/>
      <c r="BA268" s="701"/>
      <c r="BB268" s="701"/>
      <c r="BC268" s="701"/>
    </row>
    <row r="269" spans="1:55" s="702" customFormat="1" ht="35.1" customHeight="1">
      <c r="A269" s="703">
        <v>266</v>
      </c>
      <c r="B269" s="704" t="s">
        <v>2375</v>
      </c>
      <c r="C269" s="705" t="s">
        <v>655</v>
      </c>
      <c r="D269" s="706">
        <v>140909</v>
      </c>
      <c r="E269" s="709">
        <f>ROUND(421000/1.1,0)</f>
        <v>382727</v>
      </c>
      <c r="F269" s="707" t="s">
        <v>2246</v>
      </c>
      <c r="G269" s="699"/>
      <c r="H269" s="700"/>
      <c r="I269" s="700"/>
      <c r="J269" s="700"/>
      <c r="K269" s="700"/>
      <c r="L269" s="700"/>
      <c r="M269" s="701"/>
      <c r="N269" s="701"/>
      <c r="O269" s="701"/>
      <c r="P269" s="701"/>
      <c r="Q269" s="701"/>
      <c r="R269" s="701"/>
      <c r="S269" s="701"/>
      <c r="T269" s="701"/>
      <c r="U269" s="701"/>
      <c r="V269" s="701"/>
      <c r="W269" s="701"/>
      <c r="X269" s="701"/>
      <c r="Y269" s="701"/>
      <c r="Z269" s="701"/>
      <c r="AA269" s="701"/>
      <c r="AB269" s="701"/>
      <c r="AC269" s="701"/>
      <c r="AD269" s="701"/>
      <c r="AE269" s="701"/>
      <c r="AF269" s="701"/>
      <c r="AG269" s="701"/>
      <c r="AH269" s="701"/>
      <c r="AI269" s="701"/>
      <c r="AJ269" s="701"/>
      <c r="AK269" s="701"/>
      <c r="AL269" s="701"/>
      <c r="AM269" s="701"/>
      <c r="AN269" s="701"/>
      <c r="AO269" s="701"/>
      <c r="AP269" s="701"/>
      <c r="AQ269" s="701"/>
      <c r="AR269" s="701"/>
      <c r="AS269" s="701"/>
      <c r="AT269" s="701"/>
      <c r="AU269" s="701"/>
      <c r="AV269" s="701"/>
      <c r="AW269" s="701"/>
      <c r="AX269" s="701"/>
      <c r="AY269" s="701"/>
      <c r="AZ269" s="701"/>
      <c r="BA269" s="701"/>
      <c r="BB269" s="701"/>
      <c r="BC269" s="701"/>
    </row>
    <row r="270" spans="1:55" s="702" customFormat="1" ht="35.1" customHeight="1">
      <c r="A270" s="703">
        <v>267</v>
      </c>
      <c r="B270" s="704" t="s">
        <v>2376</v>
      </c>
      <c r="C270" s="705" t="s">
        <v>655</v>
      </c>
      <c r="D270" s="706">
        <f>ROUND(65200/1.1,0)</f>
        <v>59273</v>
      </c>
      <c r="E270" s="709">
        <f>ROUND(135000/1.1,0)</f>
        <v>122727</v>
      </c>
      <c r="F270" s="707" t="s">
        <v>2246</v>
      </c>
      <c r="G270" s="699"/>
      <c r="H270" s="700"/>
      <c r="I270" s="700"/>
      <c r="J270" s="700"/>
      <c r="K270" s="700"/>
      <c r="L270" s="700"/>
      <c r="M270" s="701"/>
      <c r="N270" s="701"/>
      <c r="O270" s="701"/>
      <c r="P270" s="701"/>
      <c r="Q270" s="701"/>
      <c r="R270" s="701"/>
      <c r="S270" s="701"/>
      <c r="T270" s="701"/>
      <c r="U270" s="701"/>
      <c r="V270" s="701"/>
      <c r="W270" s="701"/>
      <c r="X270" s="701"/>
      <c r="Y270" s="701"/>
      <c r="Z270" s="701"/>
      <c r="AA270" s="701"/>
      <c r="AB270" s="701"/>
      <c r="AC270" s="701"/>
      <c r="AD270" s="701"/>
      <c r="AE270" s="701"/>
      <c r="AF270" s="701"/>
      <c r="AG270" s="701"/>
      <c r="AH270" s="701"/>
      <c r="AI270" s="701"/>
      <c r="AJ270" s="701"/>
      <c r="AK270" s="701"/>
      <c r="AL270" s="701"/>
      <c r="AM270" s="701"/>
      <c r="AN270" s="701"/>
      <c r="AO270" s="701"/>
      <c r="AP270" s="701"/>
      <c r="AQ270" s="701"/>
      <c r="AR270" s="701"/>
      <c r="AS270" s="701"/>
      <c r="AT270" s="701"/>
      <c r="AU270" s="701"/>
      <c r="AV270" s="701"/>
      <c r="AW270" s="701"/>
      <c r="AX270" s="701"/>
      <c r="AY270" s="701"/>
      <c r="AZ270" s="701"/>
      <c r="BA270" s="701"/>
      <c r="BB270" s="701"/>
      <c r="BC270" s="701"/>
    </row>
    <row r="271" spans="1:55" s="702" customFormat="1" ht="35.1" customHeight="1">
      <c r="A271" s="703">
        <v>268</v>
      </c>
      <c r="B271" s="704" t="s">
        <v>2377</v>
      </c>
      <c r="C271" s="705" t="s">
        <v>655</v>
      </c>
      <c r="D271" s="706">
        <f>ROUND(65200/1.1,0)</f>
        <v>59273</v>
      </c>
      <c r="E271" s="709">
        <f>ROUND(135000/1.1,0)</f>
        <v>122727</v>
      </c>
      <c r="F271" s="707" t="s">
        <v>2246</v>
      </c>
      <c r="G271" s="699"/>
      <c r="H271" s="700"/>
      <c r="I271" s="700"/>
      <c r="J271" s="700"/>
      <c r="K271" s="700"/>
      <c r="L271" s="700"/>
      <c r="M271" s="701"/>
      <c r="N271" s="701"/>
      <c r="O271" s="701"/>
      <c r="P271" s="701"/>
      <c r="Q271" s="701"/>
      <c r="R271" s="701"/>
      <c r="S271" s="701"/>
      <c r="T271" s="701"/>
      <c r="U271" s="701"/>
      <c r="V271" s="701"/>
      <c r="W271" s="701"/>
      <c r="X271" s="701"/>
      <c r="Y271" s="701"/>
      <c r="Z271" s="701"/>
      <c r="AA271" s="701"/>
      <c r="AB271" s="701"/>
      <c r="AC271" s="701"/>
      <c r="AD271" s="701"/>
      <c r="AE271" s="701"/>
      <c r="AF271" s="701"/>
      <c r="AG271" s="701"/>
      <c r="AH271" s="701"/>
      <c r="AI271" s="701"/>
      <c r="AJ271" s="701"/>
      <c r="AK271" s="701"/>
      <c r="AL271" s="701"/>
      <c r="AM271" s="701"/>
      <c r="AN271" s="701"/>
      <c r="AO271" s="701"/>
      <c r="AP271" s="701"/>
      <c r="AQ271" s="701"/>
      <c r="AR271" s="701"/>
      <c r="AS271" s="701"/>
      <c r="AT271" s="701"/>
      <c r="AU271" s="701"/>
      <c r="AV271" s="701"/>
      <c r="AW271" s="701"/>
      <c r="AX271" s="701"/>
      <c r="AY271" s="701"/>
      <c r="AZ271" s="701"/>
      <c r="BA271" s="701"/>
      <c r="BB271" s="701"/>
      <c r="BC271" s="701"/>
    </row>
    <row r="272" spans="1:55" s="702" customFormat="1" ht="35.1" customHeight="1">
      <c r="A272" s="703">
        <v>269</v>
      </c>
      <c r="B272" s="704" t="s">
        <v>2378</v>
      </c>
      <c r="C272" s="705" t="s">
        <v>655</v>
      </c>
      <c r="D272" s="706">
        <f>ROUND(65200/1.1,0)</f>
        <v>59273</v>
      </c>
      <c r="E272" s="709">
        <f>ROUND(159000/1.1,0)</f>
        <v>144545</v>
      </c>
      <c r="F272" s="707" t="s">
        <v>2246</v>
      </c>
      <c r="G272" s="699"/>
      <c r="H272" s="700"/>
      <c r="I272" s="700"/>
      <c r="J272" s="700"/>
      <c r="K272" s="700"/>
      <c r="L272" s="700"/>
      <c r="M272" s="701"/>
      <c r="N272" s="701"/>
      <c r="O272" s="701"/>
      <c r="P272" s="701"/>
      <c r="Q272" s="701"/>
      <c r="R272" s="701"/>
      <c r="S272" s="701"/>
      <c r="T272" s="701"/>
      <c r="U272" s="701"/>
      <c r="V272" s="701"/>
      <c r="W272" s="701"/>
      <c r="X272" s="701"/>
      <c r="Y272" s="701"/>
      <c r="Z272" s="701"/>
      <c r="AA272" s="701"/>
      <c r="AB272" s="701"/>
      <c r="AC272" s="701"/>
      <c r="AD272" s="701"/>
      <c r="AE272" s="701"/>
      <c r="AF272" s="701"/>
      <c r="AG272" s="701"/>
      <c r="AH272" s="701"/>
      <c r="AI272" s="701"/>
      <c r="AJ272" s="701"/>
      <c r="AK272" s="701"/>
      <c r="AL272" s="701"/>
      <c r="AM272" s="701"/>
      <c r="AN272" s="701"/>
      <c r="AO272" s="701"/>
      <c r="AP272" s="701"/>
      <c r="AQ272" s="701"/>
      <c r="AR272" s="701"/>
      <c r="AS272" s="701"/>
      <c r="AT272" s="701"/>
      <c r="AU272" s="701"/>
      <c r="AV272" s="701"/>
      <c r="AW272" s="701"/>
      <c r="AX272" s="701"/>
      <c r="AY272" s="701"/>
      <c r="AZ272" s="701"/>
      <c r="BA272" s="701"/>
      <c r="BB272" s="701"/>
      <c r="BC272" s="701"/>
    </row>
    <row r="273" spans="1:55" s="702" customFormat="1" ht="35.1" customHeight="1">
      <c r="A273" s="703">
        <v>270</v>
      </c>
      <c r="B273" s="704" t="s">
        <v>2379</v>
      </c>
      <c r="C273" s="705" t="s">
        <v>655</v>
      </c>
      <c r="D273" s="706">
        <f>ROUND(105600/1.1,0)</f>
        <v>96000</v>
      </c>
      <c r="E273" s="709">
        <f>ROUND(255000/1.1,0)</f>
        <v>231818</v>
      </c>
      <c r="F273" s="707" t="s">
        <v>2246</v>
      </c>
      <c r="G273" s="699"/>
      <c r="H273" s="700"/>
      <c r="I273" s="700" t="s">
        <v>2367</v>
      </c>
      <c r="J273" s="700"/>
      <c r="K273" s="700"/>
      <c r="L273" s="700"/>
      <c r="M273" s="701"/>
      <c r="N273" s="701"/>
      <c r="O273" s="701"/>
      <c r="P273" s="701"/>
      <c r="Q273" s="701"/>
      <c r="R273" s="701"/>
      <c r="S273" s="701"/>
      <c r="T273" s="701"/>
      <c r="U273" s="701"/>
      <c r="V273" s="701"/>
      <c r="W273" s="701"/>
      <c r="X273" s="701"/>
      <c r="Y273" s="701"/>
      <c r="Z273" s="701"/>
      <c r="AA273" s="701"/>
      <c r="AB273" s="701"/>
      <c r="AC273" s="701"/>
      <c r="AD273" s="701"/>
      <c r="AE273" s="701"/>
      <c r="AF273" s="701"/>
      <c r="AG273" s="701"/>
      <c r="AH273" s="701"/>
      <c r="AI273" s="701"/>
      <c r="AJ273" s="701"/>
      <c r="AK273" s="701"/>
      <c r="AL273" s="701"/>
      <c r="AM273" s="701"/>
      <c r="AN273" s="701"/>
      <c r="AO273" s="701"/>
      <c r="AP273" s="701"/>
      <c r="AQ273" s="701"/>
      <c r="AR273" s="701"/>
      <c r="AS273" s="701"/>
      <c r="AT273" s="701"/>
      <c r="AU273" s="701"/>
      <c r="AV273" s="701"/>
      <c r="AW273" s="701"/>
      <c r="AX273" s="701"/>
      <c r="AY273" s="701"/>
      <c r="AZ273" s="701"/>
      <c r="BA273" s="701"/>
      <c r="BB273" s="701"/>
      <c r="BC273" s="701"/>
    </row>
    <row r="274" spans="1:55" s="702" customFormat="1" ht="35.1" customHeight="1">
      <c r="A274" s="703">
        <v>271</v>
      </c>
      <c r="B274" s="704" t="s">
        <v>2380</v>
      </c>
      <c r="C274" s="705" t="s">
        <v>655</v>
      </c>
      <c r="D274" s="706">
        <f>ROUND(105600/1.1,0)</f>
        <v>96000</v>
      </c>
      <c r="E274" s="709">
        <f>ROUND(255000/1.1,0)</f>
        <v>231818</v>
      </c>
      <c r="F274" s="707" t="s">
        <v>2246</v>
      </c>
      <c r="G274" s="699"/>
      <c r="H274" s="700"/>
      <c r="I274" s="700" t="s">
        <v>2367</v>
      </c>
      <c r="J274" s="700"/>
      <c r="K274" s="700"/>
      <c r="L274" s="700"/>
      <c r="M274" s="701"/>
      <c r="N274" s="701"/>
      <c r="O274" s="701"/>
      <c r="P274" s="701"/>
      <c r="Q274" s="701"/>
      <c r="R274" s="701"/>
      <c r="S274" s="701"/>
      <c r="T274" s="701"/>
      <c r="U274" s="701"/>
      <c r="V274" s="701"/>
      <c r="W274" s="701"/>
      <c r="X274" s="701"/>
      <c r="Y274" s="701"/>
      <c r="Z274" s="701"/>
      <c r="AA274" s="701"/>
      <c r="AB274" s="701"/>
      <c r="AC274" s="701"/>
      <c r="AD274" s="701"/>
      <c r="AE274" s="701"/>
      <c r="AF274" s="701"/>
      <c r="AG274" s="701"/>
      <c r="AH274" s="701"/>
      <c r="AI274" s="701"/>
      <c r="AJ274" s="701"/>
      <c r="AK274" s="701"/>
      <c r="AL274" s="701"/>
      <c r="AM274" s="701"/>
      <c r="AN274" s="701"/>
      <c r="AO274" s="701"/>
      <c r="AP274" s="701"/>
      <c r="AQ274" s="701"/>
      <c r="AR274" s="701"/>
      <c r="AS274" s="701"/>
      <c r="AT274" s="701"/>
      <c r="AU274" s="701"/>
      <c r="AV274" s="701"/>
      <c r="AW274" s="701"/>
      <c r="AX274" s="701"/>
      <c r="AY274" s="701"/>
      <c r="AZ274" s="701"/>
      <c r="BA274" s="701"/>
      <c r="BB274" s="701"/>
      <c r="BC274" s="701"/>
    </row>
    <row r="275" spans="1:55" s="702" customFormat="1" ht="35.1" customHeight="1">
      <c r="A275" s="703">
        <v>272</v>
      </c>
      <c r="B275" s="704" t="s">
        <v>2381</v>
      </c>
      <c r="C275" s="705" t="s">
        <v>655</v>
      </c>
      <c r="D275" s="706">
        <f>ROUND(105600/1.1,0)</f>
        <v>96000</v>
      </c>
      <c r="E275" s="709">
        <f>ROUND(255000/1.1,0)</f>
        <v>231818</v>
      </c>
      <c r="F275" s="707" t="s">
        <v>2246</v>
      </c>
      <c r="G275" s="699"/>
      <c r="H275" s="700"/>
      <c r="I275" s="700" t="s">
        <v>2367</v>
      </c>
      <c r="J275" s="700"/>
      <c r="K275" s="700"/>
      <c r="L275" s="700"/>
      <c r="M275" s="701"/>
      <c r="N275" s="701"/>
      <c r="O275" s="701"/>
      <c r="P275" s="701"/>
      <c r="Q275" s="701"/>
      <c r="R275" s="701"/>
      <c r="S275" s="701"/>
      <c r="T275" s="701"/>
      <c r="U275" s="701"/>
      <c r="V275" s="701"/>
      <c r="W275" s="701"/>
      <c r="X275" s="701"/>
      <c r="Y275" s="701"/>
      <c r="Z275" s="701"/>
      <c r="AA275" s="701"/>
      <c r="AB275" s="701"/>
      <c r="AC275" s="701"/>
      <c r="AD275" s="701"/>
      <c r="AE275" s="701"/>
      <c r="AF275" s="701"/>
      <c r="AG275" s="701"/>
      <c r="AH275" s="701"/>
      <c r="AI275" s="701"/>
      <c r="AJ275" s="701"/>
      <c r="AK275" s="701"/>
      <c r="AL275" s="701"/>
      <c r="AM275" s="701"/>
      <c r="AN275" s="701"/>
      <c r="AO275" s="701"/>
      <c r="AP275" s="701"/>
      <c r="AQ275" s="701"/>
      <c r="AR275" s="701"/>
      <c r="AS275" s="701"/>
      <c r="AT275" s="701"/>
      <c r="AU275" s="701"/>
      <c r="AV275" s="701"/>
      <c r="AW275" s="701"/>
      <c r="AX275" s="701"/>
      <c r="AY275" s="701"/>
      <c r="AZ275" s="701"/>
      <c r="BA275" s="701"/>
      <c r="BB275" s="701"/>
      <c r="BC275" s="701"/>
    </row>
    <row r="276" spans="1:55" s="702" customFormat="1" ht="35.1" customHeight="1">
      <c r="A276" s="703">
        <v>273</v>
      </c>
      <c r="B276" s="704" t="s">
        <v>2382</v>
      </c>
      <c r="C276" s="705" t="s">
        <v>655</v>
      </c>
      <c r="D276" s="706">
        <f>ROUND(105600/1.1,0)</f>
        <v>96000</v>
      </c>
      <c r="E276" s="709">
        <f>ROUND(255000/1.1,0)</f>
        <v>231818</v>
      </c>
      <c r="F276" s="707" t="s">
        <v>2246</v>
      </c>
      <c r="G276" s="699"/>
      <c r="H276" s="700"/>
      <c r="I276" s="700" t="s">
        <v>2367</v>
      </c>
      <c r="J276" s="700"/>
      <c r="K276" s="700"/>
      <c r="L276" s="700"/>
      <c r="M276" s="701"/>
      <c r="N276" s="701"/>
      <c r="O276" s="701"/>
      <c r="P276" s="701"/>
      <c r="Q276" s="701"/>
      <c r="R276" s="701"/>
      <c r="S276" s="701"/>
      <c r="T276" s="701"/>
      <c r="U276" s="701"/>
      <c r="V276" s="701"/>
      <c r="W276" s="701"/>
      <c r="X276" s="701"/>
      <c r="Y276" s="701"/>
      <c r="Z276" s="701"/>
      <c r="AA276" s="701"/>
      <c r="AB276" s="701"/>
      <c r="AC276" s="701"/>
      <c r="AD276" s="701"/>
      <c r="AE276" s="701"/>
      <c r="AF276" s="701"/>
      <c r="AG276" s="701"/>
      <c r="AH276" s="701"/>
      <c r="AI276" s="701"/>
      <c r="AJ276" s="701"/>
      <c r="AK276" s="701"/>
      <c r="AL276" s="701"/>
      <c r="AM276" s="701"/>
      <c r="AN276" s="701"/>
      <c r="AO276" s="701"/>
      <c r="AP276" s="701"/>
      <c r="AQ276" s="701"/>
      <c r="AR276" s="701"/>
      <c r="AS276" s="701"/>
      <c r="AT276" s="701"/>
      <c r="AU276" s="701"/>
      <c r="AV276" s="701"/>
      <c r="AW276" s="701"/>
      <c r="AX276" s="701"/>
      <c r="AY276" s="701"/>
      <c r="AZ276" s="701"/>
      <c r="BA276" s="701"/>
      <c r="BB276" s="701"/>
      <c r="BC276" s="701"/>
    </row>
    <row r="277" spans="1:55" s="702" customFormat="1" ht="35.1" customHeight="1">
      <c r="A277" s="703">
        <v>274</v>
      </c>
      <c r="B277" s="704" t="s">
        <v>2383</v>
      </c>
      <c r="C277" s="705" t="s">
        <v>655</v>
      </c>
      <c r="D277" s="706">
        <f>ROUND(105600/1.1,0)</f>
        <v>96000</v>
      </c>
      <c r="E277" s="709">
        <f>ROUND(255000/1.1,0)</f>
        <v>231818</v>
      </c>
      <c r="F277" s="707" t="s">
        <v>2246</v>
      </c>
      <c r="G277" s="699"/>
      <c r="H277" s="700"/>
      <c r="I277" s="700" t="s">
        <v>2367</v>
      </c>
      <c r="J277" s="700"/>
      <c r="K277" s="700"/>
      <c r="L277" s="700"/>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c r="BB277" s="701"/>
      <c r="BC277" s="701"/>
    </row>
    <row r="278" spans="1:55" s="702" customFormat="1" ht="35.1" customHeight="1">
      <c r="A278" s="703">
        <v>275</v>
      </c>
      <c r="B278" s="704" t="s">
        <v>2384</v>
      </c>
      <c r="C278" s="705" t="s">
        <v>655</v>
      </c>
      <c r="D278" s="706">
        <f>ROUND(143000/1.1,0)</f>
        <v>130000</v>
      </c>
      <c r="E278" s="709">
        <f>ROUND(421000/1.1,0)</f>
        <v>382727</v>
      </c>
      <c r="F278" s="707" t="s">
        <v>2246</v>
      </c>
      <c r="G278" s="699"/>
      <c r="H278" s="700"/>
      <c r="I278" s="700" t="s">
        <v>2367</v>
      </c>
      <c r="J278" s="700"/>
      <c r="K278" s="700"/>
      <c r="L278" s="700"/>
      <c r="M278" s="701"/>
      <c r="N278" s="701"/>
      <c r="O278" s="701"/>
      <c r="P278" s="701"/>
      <c r="Q278" s="701"/>
      <c r="R278" s="701"/>
      <c r="S278" s="701"/>
      <c r="T278" s="701"/>
      <c r="U278" s="701"/>
      <c r="V278" s="701"/>
      <c r="W278" s="701"/>
      <c r="X278" s="701"/>
      <c r="Y278" s="701"/>
      <c r="Z278" s="701"/>
      <c r="AA278" s="701"/>
      <c r="AB278" s="701"/>
      <c r="AC278" s="701"/>
      <c r="AD278" s="701"/>
      <c r="AE278" s="701"/>
      <c r="AF278" s="701"/>
      <c r="AG278" s="701"/>
      <c r="AH278" s="701"/>
      <c r="AI278" s="701"/>
      <c r="AJ278" s="701"/>
      <c r="AK278" s="701"/>
      <c r="AL278" s="701"/>
      <c r="AM278" s="701"/>
      <c r="AN278" s="701"/>
      <c r="AO278" s="701"/>
      <c r="AP278" s="701"/>
      <c r="AQ278" s="701"/>
      <c r="AR278" s="701"/>
      <c r="AS278" s="701"/>
      <c r="AT278" s="701"/>
      <c r="AU278" s="701"/>
      <c r="AV278" s="701"/>
      <c r="AW278" s="701"/>
      <c r="AX278" s="701"/>
      <c r="AY278" s="701"/>
      <c r="AZ278" s="701"/>
      <c r="BA278" s="701"/>
      <c r="BB278" s="701"/>
      <c r="BC278" s="701"/>
    </row>
    <row r="279" spans="1:55" s="702" customFormat="1" ht="35.1" customHeight="1">
      <c r="A279" s="703">
        <v>276</v>
      </c>
      <c r="B279" s="704" t="s">
        <v>2385</v>
      </c>
      <c r="C279" s="705" t="s">
        <v>655</v>
      </c>
      <c r="D279" s="706">
        <f>ROUND(255000/1.1,0)</f>
        <v>231818</v>
      </c>
      <c r="E279" s="709">
        <f>ROUND(255000/1.1,0)</f>
        <v>231818</v>
      </c>
      <c r="F279" s="707" t="s">
        <v>2246</v>
      </c>
      <c r="G279" s="699"/>
      <c r="H279" s="700"/>
      <c r="I279" s="700"/>
      <c r="J279" s="700"/>
      <c r="K279" s="700"/>
      <c r="L279" s="700"/>
      <c r="M279" s="701"/>
      <c r="N279" s="701"/>
      <c r="O279" s="701"/>
      <c r="P279" s="701"/>
      <c r="Q279" s="701"/>
      <c r="R279" s="701"/>
      <c r="S279" s="701"/>
      <c r="T279" s="701"/>
      <c r="U279" s="701"/>
      <c r="V279" s="701"/>
      <c r="W279" s="701"/>
      <c r="X279" s="701"/>
      <c r="Y279" s="701"/>
      <c r="Z279" s="701"/>
      <c r="AA279" s="701"/>
      <c r="AB279" s="701"/>
      <c r="AC279" s="701"/>
      <c r="AD279" s="701"/>
      <c r="AE279" s="701"/>
      <c r="AF279" s="701"/>
      <c r="AG279" s="701"/>
      <c r="AH279" s="701"/>
      <c r="AI279" s="701"/>
      <c r="AJ279" s="701"/>
      <c r="AK279" s="701"/>
      <c r="AL279" s="701"/>
      <c r="AM279" s="701"/>
      <c r="AN279" s="701"/>
      <c r="AO279" s="701"/>
      <c r="AP279" s="701"/>
      <c r="AQ279" s="701"/>
      <c r="AR279" s="701"/>
      <c r="AS279" s="701"/>
      <c r="AT279" s="701"/>
      <c r="AU279" s="701"/>
      <c r="AV279" s="701"/>
      <c r="AW279" s="701"/>
      <c r="AX279" s="701"/>
      <c r="AY279" s="701"/>
      <c r="AZ279" s="701"/>
      <c r="BA279" s="701"/>
      <c r="BB279" s="701"/>
      <c r="BC279" s="701"/>
    </row>
    <row r="280" spans="1:55" s="702" customFormat="1" ht="35.1" customHeight="1">
      <c r="A280" s="703">
        <v>277</v>
      </c>
      <c r="B280" s="704" t="s">
        <v>2386</v>
      </c>
      <c r="C280" s="705" t="s">
        <v>655</v>
      </c>
      <c r="D280" s="706">
        <f>ROUND(115000/1.1,0)</f>
        <v>104545</v>
      </c>
      <c r="E280" s="709">
        <f>ROUND(255000/1.1,0)</f>
        <v>231818</v>
      </c>
      <c r="F280" s="707" t="s">
        <v>2246</v>
      </c>
      <c r="G280" s="699"/>
      <c r="H280" s="700"/>
      <c r="I280" s="700"/>
      <c r="J280" s="700"/>
      <c r="K280" s="700"/>
      <c r="L280" s="700"/>
      <c r="M280" s="701"/>
      <c r="N280" s="701"/>
      <c r="O280" s="701"/>
      <c r="P280" s="701"/>
      <c r="Q280" s="701"/>
      <c r="R280" s="701"/>
      <c r="S280" s="701"/>
      <c r="T280" s="701"/>
      <c r="U280" s="701"/>
      <c r="V280" s="701"/>
      <c r="W280" s="701"/>
      <c r="X280" s="701"/>
      <c r="Y280" s="701"/>
      <c r="Z280" s="701"/>
      <c r="AA280" s="701"/>
      <c r="AB280" s="701"/>
      <c r="AC280" s="701"/>
      <c r="AD280" s="701"/>
      <c r="AE280" s="701"/>
      <c r="AF280" s="701"/>
      <c r="AG280" s="701"/>
      <c r="AH280" s="701"/>
      <c r="AI280" s="701"/>
      <c r="AJ280" s="701"/>
      <c r="AK280" s="701"/>
      <c r="AL280" s="701"/>
      <c r="AM280" s="701"/>
      <c r="AN280" s="701"/>
      <c r="AO280" s="701"/>
      <c r="AP280" s="701"/>
      <c r="AQ280" s="701"/>
      <c r="AR280" s="701"/>
      <c r="AS280" s="701"/>
      <c r="AT280" s="701"/>
      <c r="AU280" s="701"/>
      <c r="AV280" s="701"/>
      <c r="AW280" s="701"/>
      <c r="AX280" s="701"/>
      <c r="AY280" s="701"/>
      <c r="AZ280" s="701"/>
      <c r="BA280" s="701"/>
      <c r="BB280" s="701"/>
      <c r="BC280" s="701"/>
    </row>
    <row r="281" spans="1:55" s="702" customFormat="1" ht="35.1" customHeight="1">
      <c r="A281" s="703">
        <v>278</v>
      </c>
      <c r="B281" s="704" t="s">
        <v>2387</v>
      </c>
      <c r="C281" s="705" t="s">
        <v>655</v>
      </c>
      <c r="D281" s="706">
        <f>ROUND(115000/1.1,0)</f>
        <v>104545</v>
      </c>
      <c r="E281" s="709">
        <f>ROUND(255000/1.1,0)</f>
        <v>231818</v>
      </c>
      <c r="F281" s="707" t="s">
        <v>2246</v>
      </c>
      <c r="G281" s="699"/>
      <c r="H281" s="700"/>
      <c r="I281" s="700"/>
      <c r="J281" s="700"/>
      <c r="K281" s="700"/>
      <c r="L281" s="700"/>
      <c r="M281" s="701"/>
      <c r="N281" s="701"/>
      <c r="O281" s="701"/>
      <c r="P281" s="701"/>
      <c r="Q281" s="701"/>
      <c r="R281" s="701"/>
      <c r="S281" s="701"/>
      <c r="T281" s="701"/>
      <c r="U281" s="701"/>
      <c r="V281" s="701"/>
      <c r="W281" s="701"/>
      <c r="X281" s="701"/>
      <c r="Y281" s="701"/>
      <c r="Z281" s="701"/>
      <c r="AA281" s="701"/>
      <c r="AB281" s="701"/>
      <c r="AC281" s="701"/>
      <c r="AD281" s="701"/>
      <c r="AE281" s="701"/>
      <c r="AF281" s="701"/>
      <c r="AG281" s="701"/>
      <c r="AH281" s="701"/>
      <c r="AI281" s="701"/>
      <c r="AJ281" s="701"/>
      <c r="AK281" s="701"/>
      <c r="AL281" s="701"/>
      <c r="AM281" s="701"/>
      <c r="AN281" s="701"/>
      <c r="AO281" s="701"/>
      <c r="AP281" s="701"/>
      <c r="AQ281" s="701"/>
      <c r="AR281" s="701"/>
      <c r="AS281" s="701"/>
      <c r="AT281" s="701"/>
      <c r="AU281" s="701"/>
      <c r="AV281" s="701"/>
      <c r="AW281" s="701"/>
      <c r="AX281" s="701"/>
      <c r="AY281" s="701"/>
      <c r="AZ281" s="701"/>
      <c r="BA281" s="701"/>
      <c r="BB281" s="701"/>
      <c r="BC281" s="701"/>
    </row>
    <row r="282" spans="1:55" s="702" customFormat="1" ht="35.1" customHeight="1">
      <c r="A282" s="703">
        <v>279</v>
      </c>
      <c r="B282" s="704" t="s">
        <v>2388</v>
      </c>
      <c r="C282" s="705" t="s">
        <v>655</v>
      </c>
      <c r="D282" s="706">
        <f>ROUND(115000/1.1,0)</f>
        <v>104545</v>
      </c>
      <c r="E282" s="709">
        <f>ROUND(255000/1.1,0)</f>
        <v>231818</v>
      </c>
      <c r="F282" s="707" t="s">
        <v>2246</v>
      </c>
      <c r="G282" s="699"/>
      <c r="H282" s="700"/>
      <c r="I282" s="700"/>
      <c r="J282" s="700"/>
      <c r="K282" s="700"/>
      <c r="L282" s="700"/>
      <c r="M282" s="701"/>
      <c r="N282" s="701"/>
      <c r="O282" s="701"/>
      <c r="P282" s="701"/>
      <c r="Q282" s="701"/>
      <c r="R282" s="701"/>
      <c r="S282" s="701"/>
      <c r="T282" s="701"/>
      <c r="U282" s="701"/>
      <c r="V282" s="701"/>
      <c r="W282" s="701"/>
      <c r="X282" s="701"/>
      <c r="Y282" s="701"/>
      <c r="Z282" s="701"/>
      <c r="AA282" s="701"/>
      <c r="AB282" s="701"/>
      <c r="AC282" s="701"/>
      <c r="AD282" s="701"/>
      <c r="AE282" s="701"/>
      <c r="AF282" s="701"/>
      <c r="AG282" s="701"/>
      <c r="AH282" s="701"/>
      <c r="AI282" s="701"/>
      <c r="AJ282" s="701"/>
      <c r="AK282" s="701"/>
      <c r="AL282" s="701"/>
      <c r="AM282" s="701"/>
      <c r="AN282" s="701"/>
      <c r="AO282" s="701"/>
      <c r="AP282" s="701"/>
      <c r="AQ282" s="701"/>
      <c r="AR282" s="701"/>
      <c r="AS282" s="701"/>
      <c r="AT282" s="701"/>
      <c r="AU282" s="701"/>
      <c r="AV282" s="701"/>
      <c r="AW282" s="701"/>
      <c r="AX282" s="701"/>
      <c r="AY282" s="701"/>
      <c r="AZ282" s="701"/>
      <c r="BA282" s="701"/>
      <c r="BB282" s="701"/>
      <c r="BC282" s="701"/>
    </row>
    <row r="283" spans="1:55" s="702" customFormat="1" ht="35.1" customHeight="1">
      <c r="A283" s="703">
        <v>280</v>
      </c>
      <c r="B283" s="704" t="s">
        <v>2389</v>
      </c>
      <c r="C283" s="705" t="s">
        <v>655</v>
      </c>
      <c r="D283" s="706">
        <f>ROUND(115000/1.1,0)</f>
        <v>104545</v>
      </c>
      <c r="E283" s="709">
        <f>ROUND(255000/1.1,0)</f>
        <v>231818</v>
      </c>
      <c r="F283" s="707" t="s">
        <v>2246</v>
      </c>
      <c r="G283" s="699"/>
      <c r="H283" s="700"/>
      <c r="I283" s="700"/>
      <c r="J283" s="700"/>
      <c r="K283" s="700"/>
      <c r="L283" s="700"/>
      <c r="M283" s="701"/>
      <c r="N283" s="701"/>
      <c r="O283" s="701"/>
      <c r="P283" s="701"/>
      <c r="Q283" s="701"/>
      <c r="R283" s="701"/>
      <c r="S283" s="701"/>
      <c r="T283" s="701"/>
      <c r="U283" s="701"/>
      <c r="V283" s="701"/>
      <c r="W283" s="701"/>
      <c r="X283" s="701"/>
      <c r="Y283" s="701"/>
      <c r="Z283" s="701"/>
      <c r="AA283" s="701"/>
      <c r="AB283" s="701"/>
      <c r="AC283" s="701"/>
      <c r="AD283" s="701"/>
      <c r="AE283" s="701"/>
      <c r="AF283" s="701"/>
      <c r="AG283" s="701"/>
      <c r="AH283" s="701"/>
      <c r="AI283" s="701"/>
      <c r="AJ283" s="701"/>
      <c r="AK283" s="701"/>
      <c r="AL283" s="701"/>
      <c r="AM283" s="701"/>
      <c r="AN283" s="701"/>
      <c r="AO283" s="701"/>
      <c r="AP283" s="701"/>
      <c r="AQ283" s="701"/>
      <c r="AR283" s="701"/>
      <c r="AS283" s="701"/>
      <c r="AT283" s="701"/>
      <c r="AU283" s="701"/>
      <c r="AV283" s="701"/>
      <c r="AW283" s="701"/>
      <c r="AX283" s="701"/>
      <c r="AY283" s="701"/>
      <c r="AZ283" s="701"/>
      <c r="BA283" s="701"/>
      <c r="BB283" s="701"/>
      <c r="BC283" s="701"/>
    </row>
    <row r="284" spans="1:55" s="702" customFormat="1" ht="35.1" customHeight="1">
      <c r="A284" s="703">
        <v>281</v>
      </c>
      <c r="B284" s="704" t="s">
        <v>2390</v>
      </c>
      <c r="C284" s="705" t="s">
        <v>655</v>
      </c>
      <c r="D284" s="706">
        <f>ROUND(155000/1.1,0)</f>
        <v>140909</v>
      </c>
      <c r="E284" s="709">
        <f>ROUND(421000/1.1,0)</f>
        <v>382727</v>
      </c>
      <c r="F284" s="707" t="s">
        <v>2246</v>
      </c>
      <c r="G284" s="699"/>
      <c r="H284" s="700"/>
      <c r="I284" s="700"/>
      <c r="J284" s="700"/>
      <c r="K284" s="700"/>
      <c r="L284" s="700"/>
      <c r="M284" s="701"/>
      <c r="N284" s="701"/>
      <c r="O284" s="701"/>
      <c r="P284" s="701"/>
      <c r="Q284" s="701"/>
      <c r="R284" s="701"/>
      <c r="S284" s="701"/>
      <c r="T284" s="701"/>
      <c r="U284" s="701"/>
      <c r="V284" s="701"/>
      <c r="W284" s="701"/>
      <c r="X284" s="701"/>
      <c r="Y284" s="701"/>
      <c r="Z284" s="701"/>
      <c r="AA284" s="701"/>
      <c r="AB284" s="701"/>
      <c r="AC284" s="701"/>
      <c r="AD284" s="701"/>
      <c r="AE284" s="701"/>
      <c r="AF284" s="701"/>
      <c r="AG284" s="701"/>
      <c r="AH284" s="701"/>
      <c r="AI284" s="701"/>
      <c r="AJ284" s="701"/>
      <c r="AK284" s="701"/>
      <c r="AL284" s="701"/>
      <c r="AM284" s="701"/>
      <c r="AN284" s="701"/>
      <c r="AO284" s="701"/>
      <c r="AP284" s="701"/>
      <c r="AQ284" s="701"/>
      <c r="AR284" s="701"/>
      <c r="AS284" s="701"/>
      <c r="AT284" s="701"/>
      <c r="AU284" s="701"/>
      <c r="AV284" s="701"/>
      <c r="AW284" s="701"/>
      <c r="AX284" s="701"/>
      <c r="AY284" s="701"/>
      <c r="AZ284" s="701"/>
      <c r="BA284" s="701"/>
      <c r="BB284" s="701"/>
      <c r="BC284" s="701"/>
    </row>
    <row r="285" spans="1:55" s="702" customFormat="1" ht="35.1" customHeight="1">
      <c r="A285" s="703">
        <v>282</v>
      </c>
      <c r="B285" s="704" t="s">
        <v>2391</v>
      </c>
      <c r="C285" s="705" t="s">
        <v>655</v>
      </c>
      <c r="D285" s="706">
        <f>ROUND(155000/1.1,0)</f>
        <v>140909</v>
      </c>
      <c r="E285" s="709">
        <f>ROUND(421000/1.1,0)</f>
        <v>382727</v>
      </c>
      <c r="F285" s="707" t="s">
        <v>2246</v>
      </c>
      <c r="G285" s="699"/>
      <c r="H285" s="700"/>
      <c r="I285" s="700"/>
      <c r="J285" s="700"/>
      <c r="K285" s="700"/>
      <c r="L285" s="700"/>
      <c r="M285" s="701"/>
      <c r="N285" s="701"/>
      <c r="O285" s="701"/>
      <c r="P285" s="701"/>
      <c r="Q285" s="701"/>
      <c r="R285" s="701"/>
      <c r="S285" s="701"/>
      <c r="T285" s="701"/>
      <c r="U285" s="701"/>
      <c r="V285" s="701"/>
      <c r="W285" s="701"/>
      <c r="X285" s="701"/>
      <c r="Y285" s="701"/>
      <c r="Z285" s="701"/>
      <c r="AA285" s="701"/>
      <c r="AB285" s="701"/>
      <c r="AC285" s="701"/>
      <c r="AD285" s="701"/>
      <c r="AE285" s="701"/>
      <c r="AF285" s="701"/>
      <c r="AG285" s="701"/>
      <c r="AH285" s="701"/>
      <c r="AI285" s="701"/>
      <c r="AJ285" s="701"/>
      <c r="AK285" s="701"/>
      <c r="AL285" s="701"/>
      <c r="AM285" s="701"/>
      <c r="AN285" s="701"/>
      <c r="AO285" s="701"/>
      <c r="AP285" s="701"/>
      <c r="AQ285" s="701"/>
      <c r="AR285" s="701"/>
      <c r="AS285" s="701"/>
      <c r="AT285" s="701"/>
      <c r="AU285" s="701"/>
      <c r="AV285" s="701"/>
      <c r="AW285" s="701"/>
      <c r="AX285" s="701"/>
      <c r="AY285" s="701"/>
      <c r="AZ285" s="701"/>
      <c r="BA285" s="701"/>
      <c r="BB285" s="701"/>
      <c r="BC285" s="701"/>
    </row>
    <row r="286" spans="1:55" s="702" customFormat="1" ht="35.1" customHeight="1">
      <c r="A286" s="703">
        <v>283</v>
      </c>
      <c r="B286" s="704" t="s">
        <v>2392</v>
      </c>
      <c r="C286" s="705" t="s">
        <v>655</v>
      </c>
      <c r="D286" s="706">
        <f>ROUND(142800/1.1,0)</f>
        <v>129818</v>
      </c>
      <c r="E286" s="709">
        <f>ROUND(390000/1.1,0)</f>
        <v>354545</v>
      </c>
      <c r="F286" s="707" t="s">
        <v>2246</v>
      </c>
      <c r="G286" s="699"/>
      <c r="H286" s="700"/>
      <c r="I286" s="700"/>
      <c r="J286" s="700"/>
      <c r="K286" s="700"/>
      <c r="L286" s="700"/>
      <c r="M286" s="701"/>
      <c r="N286" s="701"/>
      <c r="O286" s="701"/>
      <c r="P286" s="701"/>
      <c r="Q286" s="701"/>
      <c r="R286" s="701"/>
      <c r="S286" s="701"/>
      <c r="T286" s="701"/>
      <c r="U286" s="701"/>
      <c r="V286" s="701"/>
      <c r="W286" s="701"/>
      <c r="X286" s="701"/>
      <c r="Y286" s="701"/>
      <c r="Z286" s="701"/>
      <c r="AA286" s="701"/>
      <c r="AB286" s="701"/>
      <c r="AC286" s="701"/>
      <c r="AD286" s="701"/>
      <c r="AE286" s="701"/>
      <c r="AF286" s="701"/>
      <c r="AG286" s="701"/>
      <c r="AH286" s="701"/>
      <c r="AI286" s="701"/>
      <c r="AJ286" s="701"/>
      <c r="AK286" s="701"/>
      <c r="AL286" s="701"/>
      <c r="AM286" s="701"/>
      <c r="AN286" s="701"/>
      <c r="AO286" s="701"/>
      <c r="AP286" s="701"/>
      <c r="AQ286" s="701"/>
      <c r="AR286" s="701"/>
      <c r="AS286" s="701"/>
      <c r="AT286" s="701"/>
      <c r="AU286" s="701"/>
      <c r="AV286" s="701"/>
      <c r="AW286" s="701"/>
      <c r="AX286" s="701"/>
      <c r="AY286" s="701"/>
      <c r="AZ286" s="701"/>
      <c r="BA286" s="701"/>
      <c r="BB286" s="701"/>
      <c r="BC286" s="701"/>
    </row>
    <row r="287" spans="1:55" s="702" customFormat="1" ht="35.1" customHeight="1">
      <c r="A287" s="703">
        <v>284</v>
      </c>
      <c r="B287" s="704" t="s">
        <v>2393</v>
      </c>
      <c r="C287" s="705" t="s">
        <v>655</v>
      </c>
      <c r="D287" s="706">
        <f>ROUND(142800/1.1,0)</f>
        <v>129818</v>
      </c>
      <c r="E287" s="709">
        <f>ROUND(390000/1.1,0)</f>
        <v>354545</v>
      </c>
      <c r="F287" s="707" t="s">
        <v>2246</v>
      </c>
      <c r="G287" s="699"/>
      <c r="H287" s="700"/>
      <c r="I287" s="700"/>
      <c r="J287" s="700"/>
      <c r="K287" s="700"/>
      <c r="L287" s="700"/>
      <c r="M287" s="701"/>
      <c r="N287" s="701"/>
      <c r="O287" s="701"/>
      <c r="P287" s="701"/>
      <c r="Q287" s="701"/>
      <c r="R287" s="701"/>
      <c r="S287" s="701"/>
      <c r="T287" s="701"/>
      <c r="U287" s="701"/>
      <c r="V287" s="701"/>
      <c r="W287" s="701"/>
      <c r="X287" s="701"/>
      <c r="Y287" s="701"/>
      <c r="Z287" s="701"/>
      <c r="AA287" s="701"/>
      <c r="AB287" s="701"/>
      <c r="AC287" s="701"/>
      <c r="AD287" s="701"/>
      <c r="AE287" s="701"/>
      <c r="AF287" s="701"/>
      <c r="AG287" s="701"/>
      <c r="AH287" s="701"/>
      <c r="AI287" s="701"/>
      <c r="AJ287" s="701"/>
      <c r="AK287" s="701"/>
      <c r="AL287" s="701"/>
      <c r="AM287" s="701"/>
      <c r="AN287" s="701"/>
      <c r="AO287" s="701"/>
      <c r="AP287" s="701"/>
      <c r="AQ287" s="701"/>
      <c r="AR287" s="701"/>
      <c r="AS287" s="701"/>
      <c r="AT287" s="701"/>
      <c r="AU287" s="701"/>
      <c r="AV287" s="701"/>
      <c r="AW287" s="701"/>
      <c r="AX287" s="701"/>
      <c r="AY287" s="701"/>
      <c r="AZ287" s="701"/>
      <c r="BA287" s="701"/>
      <c r="BB287" s="701"/>
      <c r="BC287" s="701"/>
    </row>
    <row r="288" spans="1:55" s="702" customFormat="1" ht="35.1" customHeight="1">
      <c r="A288" s="703">
        <v>285</v>
      </c>
      <c r="B288" s="704" t="s">
        <v>2394</v>
      </c>
      <c r="C288" s="705" t="s">
        <v>655</v>
      </c>
      <c r="D288" s="706">
        <f>ROUND(142800/1.1,0)</f>
        <v>129818</v>
      </c>
      <c r="E288" s="709">
        <f>ROUND(455000/1.1,0)</f>
        <v>413636</v>
      </c>
      <c r="F288" s="707" t="s">
        <v>2246</v>
      </c>
      <c r="G288" s="699"/>
      <c r="H288" s="700"/>
      <c r="I288" s="700"/>
      <c r="J288" s="700"/>
      <c r="K288" s="700"/>
      <c r="L288" s="700"/>
      <c r="M288" s="701"/>
      <c r="N288" s="701"/>
      <c r="O288" s="701"/>
      <c r="P288" s="701"/>
      <c r="Q288" s="701"/>
      <c r="R288" s="701"/>
      <c r="S288" s="701"/>
      <c r="T288" s="701"/>
      <c r="U288" s="701"/>
      <c r="V288" s="701"/>
      <c r="W288" s="701"/>
      <c r="X288" s="701"/>
      <c r="Y288" s="701"/>
      <c r="Z288" s="701"/>
      <c r="AA288" s="701"/>
      <c r="AB288" s="701"/>
      <c r="AC288" s="701"/>
      <c r="AD288" s="701"/>
      <c r="AE288" s="701"/>
      <c r="AF288" s="701"/>
      <c r="AG288" s="701"/>
      <c r="AH288" s="701"/>
      <c r="AI288" s="701"/>
      <c r="AJ288" s="701"/>
      <c r="AK288" s="701"/>
      <c r="AL288" s="701"/>
      <c r="AM288" s="701"/>
      <c r="AN288" s="701"/>
      <c r="AO288" s="701"/>
      <c r="AP288" s="701"/>
      <c r="AQ288" s="701"/>
      <c r="AR288" s="701"/>
      <c r="AS288" s="701"/>
      <c r="AT288" s="701"/>
      <c r="AU288" s="701"/>
      <c r="AV288" s="701"/>
      <c r="AW288" s="701"/>
      <c r="AX288" s="701"/>
      <c r="AY288" s="701"/>
      <c r="AZ288" s="701"/>
      <c r="BA288" s="701"/>
      <c r="BB288" s="701"/>
      <c r="BC288" s="701"/>
    </row>
    <row r="289" spans="1:55" s="702" customFormat="1" ht="35.1" customHeight="1">
      <c r="A289" s="703">
        <v>286</v>
      </c>
      <c r="B289" s="704" t="s">
        <v>2395</v>
      </c>
      <c r="C289" s="705" t="s">
        <v>655</v>
      </c>
      <c r="D289" s="706">
        <f>ROUND(166000/1.1,0)</f>
        <v>150909</v>
      </c>
      <c r="E289" s="709">
        <f>ROUND(635000/1.1,0)</f>
        <v>577273</v>
      </c>
      <c r="F289" s="707" t="s">
        <v>2246</v>
      </c>
      <c r="G289" s="699"/>
      <c r="H289" s="700"/>
      <c r="I289" s="700"/>
      <c r="J289" s="700"/>
      <c r="K289" s="700"/>
      <c r="L289" s="700"/>
      <c r="M289" s="701"/>
      <c r="N289" s="701"/>
      <c r="O289" s="701"/>
      <c r="P289" s="701"/>
      <c r="Q289" s="701"/>
      <c r="R289" s="701"/>
      <c r="S289" s="701"/>
      <c r="T289" s="701"/>
      <c r="U289" s="701"/>
      <c r="V289" s="701"/>
      <c r="W289" s="701"/>
      <c r="X289" s="701"/>
      <c r="Y289" s="701"/>
      <c r="Z289" s="701"/>
      <c r="AA289" s="701"/>
      <c r="AB289" s="701"/>
      <c r="AC289" s="701"/>
      <c r="AD289" s="701"/>
      <c r="AE289" s="701"/>
      <c r="AF289" s="701"/>
      <c r="AG289" s="701"/>
      <c r="AH289" s="701"/>
      <c r="AI289" s="701"/>
      <c r="AJ289" s="701"/>
      <c r="AK289" s="701"/>
      <c r="AL289" s="701"/>
      <c r="AM289" s="701"/>
      <c r="AN289" s="701"/>
      <c r="AO289" s="701"/>
      <c r="AP289" s="701"/>
      <c r="AQ289" s="701"/>
      <c r="AR289" s="701"/>
      <c r="AS289" s="701"/>
      <c r="AT289" s="701"/>
      <c r="AU289" s="701"/>
      <c r="AV289" s="701"/>
      <c r="AW289" s="701"/>
      <c r="AX289" s="701"/>
      <c r="AY289" s="701"/>
      <c r="AZ289" s="701"/>
      <c r="BA289" s="701"/>
      <c r="BB289" s="701"/>
      <c r="BC289" s="701"/>
    </row>
    <row r="290" spans="1:55" s="702" customFormat="1" ht="35.1" customHeight="1">
      <c r="A290" s="703">
        <v>287</v>
      </c>
      <c r="B290" s="704" t="s">
        <v>2396</v>
      </c>
      <c r="C290" s="705" t="s">
        <v>655</v>
      </c>
      <c r="D290" s="706">
        <f>ROUND(166000/1.1,0)</f>
        <v>150909</v>
      </c>
      <c r="E290" s="709">
        <f>ROUND(635000/1.1,0)</f>
        <v>577273</v>
      </c>
      <c r="F290" s="707" t="s">
        <v>2246</v>
      </c>
      <c r="G290" s="699"/>
      <c r="H290" s="700"/>
      <c r="I290" s="700"/>
      <c r="J290" s="700"/>
      <c r="K290" s="700"/>
      <c r="L290" s="700"/>
      <c r="M290" s="701"/>
      <c r="N290" s="701"/>
      <c r="O290" s="701"/>
      <c r="P290" s="701"/>
      <c r="Q290" s="701"/>
      <c r="R290" s="701"/>
      <c r="S290" s="701"/>
      <c r="T290" s="701"/>
      <c r="U290" s="701"/>
      <c r="V290" s="701"/>
      <c r="W290" s="701"/>
      <c r="X290" s="701"/>
      <c r="Y290" s="701"/>
      <c r="Z290" s="701"/>
      <c r="AA290" s="701"/>
      <c r="AB290" s="701"/>
      <c r="AC290" s="701"/>
      <c r="AD290" s="701"/>
      <c r="AE290" s="701"/>
      <c r="AF290" s="701"/>
      <c r="AG290" s="701"/>
      <c r="AH290" s="701"/>
      <c r="AI290" s="701"/>
      <c r="AJ290" s="701"/>
      <c r="AK290" s="701"/>
      <c r="AL290" s="701"/>
      <c r="AM290" s="701"/>
      <c r="AN290" s="701"/>
      <c r="AO290" s="701"/>
      <c r="AP290" s="701"/>
      <c r="AQ290" s="701"/>
      <c r="AR290" s="701"/>
      <c r="AS290" s="701"/>
      <c r="AT290" s="701"/>
      <c r="AU290" s="701"/>
      <c r="AV290" s="701"/>
      <c r="AW290" s="701"/>
      <c r="AX290" s="701"/>
      <c r="AY290" s="701"/>
      <c r="AZ290" s="701"/>
      <c r="BA290" s="701"/>
      <c r="BB290" s="701"/>
      <c r="BC290" s="701"/>
    </row>
    <row r="291" spans="1:55" s="702" customFormat="1" ht="35.1" customHeight="1">
      <c r="A291" s="703">
        <v>288</v>
      </c>
      <c r="B291" s="704" t="s">
        <v>2397</v>
      </c>
      <c r="C291" s="705" t="s">
        <v>655</v>
      </c>
      <c r="D291" s="706">
        <f>ROUND(165600/1.1,0)</f>
        <v>150545</v>
      </c>
      <c r="E291" s="709">
        <f>ROUND(451000/1.1,0)</f>
        <v>410000</v>
      </c>
      <c r="F291" s="707" t="s">
        <v>2246</v>
      </c>
      <c r="G291" s="699"/>
      <c r="H291" s="700"/>
      <c r="I291" s="700"/>
      <c r="J291" s="700"/>
      <c r="K291" s="700"/>
      <c r="L291" s="700"/>
      <c r="M291" s="701"/>
      <c r="N291" s="701"/>
      <c r="O291" s="701"/>
      <c r="P291" s="701"/>
      <c r="Q291" s="701"/>
      <c r="R291" s="701"/>
      <c r="S291" s="701"/>
      <c r="T291" s="701"/>
      <c r="U291" s="701"/>
      <c r="V291" s="701"/>
      <c r="W291" s="701"/>
      <c r="X291" s="701"/>
      <c r="Y291" s="701"/>
      <c r="Z291" s="701"/>
      <c r="AA291" s="701"/>
      <c r="AB291" s="701"/>
      <c r="AC291" s="701"/>
      <c r="AD291" s="701"/>
      <c r="AE291" s="701"/>
      <c r="AF291" s="701"/>
      <c r="AG291" s="701"/>
      <c r="AH291" s="701"/>
      <c r="AI291" s="701"/>
      <c r="AJ291" s="701"/>
      <c r="AK291" s="701"/>
      <c r="AL291" s="701"/>
      <c r="AM291" s="701"/>
      <c r="AN291" s="701"/>
      <c r="AO291" s="701"/>
      <c r="AP291" s="701"/>
      <c r="AQ291" s="701"/>
      <c r="AR291" s="701"/>
      <c r="AS291" s="701"/>
      <c r="AT291" s="701"/>
      <c r="AU291" s="701"/>
      <c r="AV291" s="701"/>
      <c r="AW291" s="701"/>
      <c r="AX291" s="701"/>
      <c r="AY291" s="701"/>
      <c r="AZ291" s="701"/>
      <c r="BA291" s="701"/>
      <c r="BB291" s="701"/>
      <c r="BC291" s="701"/>
    </row>
    <row r="292" spans="1:55" s="702" customFormat="1" ht="35.1" customHeight="1">
      <c r="A292" s="703">
        <v>289</v>
      </c>
      <c r="B292" s="704" t="s">
        <v>2398</v>
      </c>
      <c r="C292" s="705" t="s">
        <v>655</v>
      </c>
      <c r="D292" s="706">
        <f>ROUND(180000/1.1,0)</f>
        <v>163636</v>
      </c>
      <c r="E292" s="709">
        <f>ROUND(451000/1.1,0)</f>
        <v>410000</v>
      </c>
      <c r="F292" s="707" t="s">
        <v>2246</v>
      </c>
      <c r="G292" s="699"/>
      <c r="H292" s="700"/>
      <c r="I292" s="700"/>
      <c r="J292" s="700"/>
      <c r="K292" s="700"/>
      <c r="L292" s="700"/>
      <c r="M292" s="701"/>
      <c r="N292" s="701"/>
      <c r="O292" s="701"/>
      <c r="P292" s="701"/>
      <c r="Q292" s="701"/>
      <c r="R292" s="701"/>
      <c r="S292" s="701"/>
      <c r="T292" s="701"/>
      <c r="U292" s="701"/>
      <c r="V292" s="701"/>
      <c r="W292" s="701"/>
      <c r="X292" s="701"/>
      <c r="Y292" s="701"/>
      <c r="Z292" s="701"/>
      <c r="AA292" s="701"/>
      <c r="AB292" s="701"/>
      <c r="AC292" s="701"/>
      <c r="AD292" s="701"/>
      <c r="AE292" s="701"/>
      <c r="AF292" s="701"/>
      <c r="AG292" s="701"/>
      <c r="AH292" s="701"/>
      <c r="AI292" s="701"/>
      <c r="AJ292" s="701"/>
      <c r="AK292" s="701"/>
      <c r="AL292" s="701"/>
      <c r="AM292" s="701"/>
      <c r="AN292" s="701"/>
      <c r="AO292" s="701"/>
      <c r="AP292" s="701"/>
      <c r="AQ292" s="701"/>
      <c r="AR292" s="701"/>
      <c r="AS292" s="701"/>
      <c r="AT292" s="701"/>
      <c r="AU292" s="701"/>
      <c r="AV292" s="701"/>
      <c r="AW292" s="701"/>
      <c r="AX292" s="701"/>
      <c r="AY292" s="701"/>
      <c r="AZ292" s="701"/>
      <c r="BA292" s="701"/>
      <c r="BB292" s="701"/>
      <c r="BC292" s="701"/>
    </row>
    <row r="293" spans="1:55" s="702" customFormat="1" ht="35.1" customHeight="1">
      <c r="A293" s="703">
        <v>290</v>
      </c>
      <c r="B293" s="704" t="s">
        <v>2399</v>
      </c>
      <c r="C293" s="705" t="s">
        <v>655</v>
      </c>
      <c r="D293" s="706">
        <f>ROUND(180000/1.1,0)</f>
        <v>163636</v>
      </c>
      <c r="E293" s="709">
        <f>ROUND(451000/1.1,0)</f>
        <v>410000</v>
      </c>
      <c r="F293" s="707" t="s">
        <v>2246</v>
      </c>
      <c r="G293" s="699"/>
      <c r="H293" s="700"/>
      <c r="I293" s="700"/>
      <c r="J293" s="700"/>
      <c r="K293" s="700"/>
      <c r="L293" s="700"/>
      <c r="M293" s="701"/>
      <c r="N293" s="701"/>
      <c r="O293" s="701"/>
      <c r="P293" s="701"/>
      <c r="Q293" s="701"/>
      <c r="R293" s="701"/>
      <c r="S293" s="701"/>
      <c r="T293" s="701"/>
      <c r="U293" s="701"/>
      <c r="V293" s="701"/>
      <c r="W293" s="701"/>
      <c r="X293" s="701"/>
      <c r="Y293" s="701"/>
      <c r="Z293" s="701"/>
      <c r="AA293" s="701"/>
      <c r="AB293" s="701"/>
      <c r="AC293" s="701"/>
      <c r="AD293" s="701"/>
      <c r="AE293" s="701"/>
      <c r="AF293" s="701"/>
      <c r="AG293" s="701"/>
      <c r="AH293" s="701"/>
      <c r="AI293" s="701"/>
      <c r="AJ293" s="701"/>
      <c r="AK293" s="701"/>
      <c r="AL293" s="701"/>
      <c r="AM293" s="701"/>
      <c r="AN293" s="701"/>
      <c r="AO293" s="701"/>
      <c r="AP293" s="701"/>
      <c r="AQ293" s="701"/>
      <c r="AR293" s="701"/>
      <c r="AS293" s="701"/>
      <c r="AT293" s="701"/>
      <c r="AU293" s="701"/>
      <c r="AV293" s="701"/>
      <c r="AW293" s="701"/>
      <c r="AX293" s="701"/>
      <c r="AY293" s="701"/>
      <c r="AZ293" s="701"/>
      <c r="BA293" s="701"/>
      <c r="BB293" s="701"/>
      <c r="BC293" s="701"/>
    </row>
    <row r="294" spans="1:55" s="702" customFormat="1" ht="35.1" customHeight="1">
      <c r="A294" s="703">
        <v>291</v>
      </c>
      <c r="B294" s="704" t="s">
        <v>2400</v>
      </c>
      <c r="C294" s="705" t="s">
        <v>655</v>
      </c>
      <c r="D294" s="706">
        <f>ROUND(241500/1.1,0)</f>
        <v>219545</v>
      </c>
      <c r="E294" s="709">
        <f>ROUND(675000/1.1,0)</f>
        <v>613636</v>
      </c>
      <c r="F294" s="707" t="s">
        <v>2246</v>
      </c>
      <c r="G294" s="699"/>
      <c r="H294" s="700"/>
      <c r="I294" s="700"/>
      <c r="J294" s="700"/>
      <c r="K294" s="700"/>
      <c r="L294" s="700"/>
      <c r="M294" s="701"/>
      <c r="N294" s="701"/>
      <c r="O294" s="701"/>
      <c r="P294" s="701"/>
      <c r="Q294" s="701"/>
      <c r="R294" s="701"/>
      <c r="S294" s="701"/>
      <c r="T294" s="701"/>
      <c r="U294" s="701"/>
      <c r="V294" s="701"/>
      <c r="W294" s="701"/>
      <c r="X294" s="701"/>
      <c r="Y294" s="701"/>
      <c r="Z294" s="701"/>
      <c r="AA294" s="701"/>
      <c r="AB294" s="701"/>
      <c r="AC294" s="701"/>
      <c r="AD294" s="701"/>
      <c r="AE294" s="701"/>
      <c r="AF294" s="701"/>
      <c r="AG294" s="701"/>
      <c r="AH294" s="701"/>
      <c r="AI294" s="701"/>
      <c r="AJ294" s="701"/>
      <c r="AK294" s="701"/>
      <c r="AL294" s="701"/>
      <c r="AM294" s="701"/>
      <c r="AN294" s="701"/>
      <c r="AO294" s="701"/>
      <c r="AP294" s="701"/>
      <c r="AQ294" s="701"/>
      <c r="AR294" s="701"/>
      <c r="AS294" s="701"/>
      <c r="AT294" s="701"/>
      <c r="AU294" s="701"/>
      <c r="AV294" s="701"/>
      <c r="AW294" s="701"/>
      <c r="AX294" s="701"/>
      <c r="AY294" s="701"/>
      <c r="AZ294" s="701"/>
      <c r="BA294" s="701"/>
      <c r="BB294" s="701"/>
      <c r="BC294" s="701"/>
    </row>
    <row r="295" spans="1:55" s="702" customFormat="1" ht="35.1" customHeight="1">
      <c r="A295" s="703">
        <v>292</v>
      </c>
      <c r="B295" s="704" t="s">
        <v>2401</v>
      </c>
      <c r="C295" s="705" t="s">
        <v>655</v>
      </c>
      <c r="D295" s="706">
        <f>ROUND(218500/1.1,0)</f>
        <v>198636</v>
      </c>
      <c r="E295" s="709">
        <f>ROUND(680000/1.1,0)</f>
        <v>618182</v>
      </c>
      <c r="F295" s="707" t="s">
        <v>2246</v>
      </c>
      <c r="G295" s="699"/>
      <c r="H295" s="700"/>
      <c r="I295" s="700"/>
      <c r="J295" s="700"/>
      <c r="K295" s="700"/>
      <c r="L295" s="700"/>
      <c r="M295" s="701"/>
      <c r="N295" s="701"/>
      <c r="O295" s="701"/>
      <c r="P295" s="701"/>
      <c r="Q295" s="701"/>
      <c r="R295" s="701"/>
      <c r="S295" s="701"/>
      <c r="T295" s="701"/>
      <c r="U295" s="701"/>
      <c r="V295" s="701"/>
      <c r="W295" s="701"/>
      <c r="X295" s="701"/>
      <c r="Y295" s="701"/>
      <c r="Z295" s="701"/>
      <c r="AA295" s="701"/>
      <c r="AB295" s="701"/>
      <c r="AC295" s="701"/>
      <c r="AD295" s="701"/>
      <c r="AE295" s="701"/>
      <c r="AF295" s="701"/>
      <c r="AG295" s="701"/>
      <c r="AH295" s="701"/>
      <c r="AI295" s="701"/>
      <c r="AJ295" s="701"/>
      <c r="AK295" s="701"/>
      <c r="AL295" s="701"/>
      <c r="AM295" s="701"/>
      <c r="AN295" s="701"/>
      <c r="AO295" s="701"/>
      <c r="AP295" s="701"/>
      <c r="AQ295" s="701"/>
      <c r="AR295" s="701"/>
      <c r="AS295" s="701"/>
      <c r="AT295" s="701"/>
      <c r="AU295" s="701"/>
      <c r="AV295" s="701"/>
      <c r="AW295" s="701"/>
      <c r="AX295" s="701"/>
      <c r="AY295" s="701"/>
      <c r="AZ295" s="701"/>
      <c r="BA295" s="701"/>
      <c r="BB295" s="701"/>
      <c r="BC295" s="701"/>
    </row>
    <row r="296" spans="1:55" s="702" customFormat="1" ht="35.1" customHeight="1">
      <c r="A296" s="703">
        <v>293</v>
      </c>
      <c r="B296" s="704" t="s">
        <v>2402</v>
      </c>
      <c r="C296" s="705" t="s">
        <v>655</v>
      </c>
      <c r="D296" s="706">
        <f>ROUND(218500/1.1,0)</f>
        <v>198636</v>
      </c>
      <c r="E296" s="709">
        <f>ROUND(680000/1.1,0)</f>
        <v>618182</v>
      </c>
      <c r="F296" s="707" t="s">
        <v>2246</v>
      </c>
      <c r="G296" s="699"/>
      <c r="H296" s="700"/>
      <c r="I296" s="700"/>
      <c r="J296" s="700"/>
      <c r="K296" s="700"/>
      <c r="L296" s="700"/>
      <c r="M296" s="701"/>
      <c r="N296" s="701"/>
      <c r="O296" s="701"/>
      <c r="P296" s="701"/>
      <c r="Q296" s="701"/>
      <c r="R296" s="701"/>
      <c r="S296" s="701"/>
      <c r="T296" s="701"/>
      <c r="U296" s="701"/>
      <c r="V296" s="701"/>
      <c r="W296" s="701"/>
      <c r="X296" s="701"/>
      <c r="Y296" s="701"/>
      <c r="Z296" s="701"/>
      <c r="AA296" s="701"/>
      <c r="AB296" s="701"/>
      <c r="AC296" s="701"/>
      <c r="AD296" s="701"/>
      <c r="AE296" s="701"/>
      <c r="AF296" s="701"/>
      <c r="AG296" s="701"/>
      <c r="AH296" s="701"/>
      <c r="AI296" s="701"/>
      <c r="AJ296" s="701"/>
      <c r="AK296" s="701"/>
      <c r="AL296" s="701"/>
      <c r="AM296" s="701"/>
      <c r="AN296" s="701"/>
      <c r="AO296" s="701"/>
      <c r="AP296" s="701"/>
      <c r="AQ296" s="701"/>
      <c r="AR296" s="701"/>
      <c r="AS296" s="701"/>
      <c r="AT296" s="701"/>
      <c r="AU296" s="701"/>
      <c r="AV296" s="701"/>
      <c r="AW296" s="701"/>
      <c r="AX296" s="701"/>
      <c r="AY296" s="701"/>
      <c r="AZ296" s="701"/>
      <c r="BA296" s="701"/>
      <c r="BB296" s="701"/>
      <c r="BC296" s="701"/>
    </row>
    <row r="297" spans="1:55" s="702" customFormat="1" ht="35.1" customHeight="1">
      <c r="A297" s="703">
        <v>294</v>
      </c>
      <c r="B297" s="704" t="s">
        <v>2403</v>
      </c>
      <c r="C297" s="705" t="s">
        <v>655</v>
      </c>
      <c r="D297" s="706">
        <f>ROUND(218500/1.1,0)</f>
        <v>198636</v>
      </c>
      <c r="E297" s="709">
        <f>ROUND(680000/1.1,0)</f>
        <v>618182</v>
      </c>
      <c r="F297" s="707" t="s">
        <v>2246</v>
      </c>
      <c r="G297" s="699"/>
      <c r="H297" s="700"/>
      <c r="I297" s="700"/>
      <c r="J297" s="700"/>
      <c r="K297" s="700"/>
      <c r="L297" s="700"/>
      <c r="M297" s="701"/>
      <c r="N297" s="701"/>
      <c r="O297" s="701"/>
      <c r="P297" s="701"/>
      <c r="Q297" s="701"/>
      <c r="R297" s="701"/>
      <c r="S297" s="701"/>
      <c r="T297" s="701"/>
      <c r="U297" s="701"/>
      <c r="V297" s="701"/>
      <c r="W297" s="701"/>
      <c r="X297" s="701"/>
      <c r="Y297" s="701"/>
      <c r="Z297" s="701"/>
      <c r="AA297" s="701"/>
      <c r="AB297" s="701"/>
      <c r="AC297" s="701"/>
      <c r="AD297" s="701"/>
      <c r="AE297" s="701"/>
      <c r="AF297" s="701"/>
      <c r="AG297" s="701"/>
      <c r="AH297" s="701"/>
      <c r="AI297" s="701"/>
      <c r="AJ297" s="701"/>
      <c r="AK297" s="701"/>
      <c r="AL297" s="701"/>
      <c r="AM297" s="701"/>
      <c r="AN297" s="701"/>
      <c r="AO297" s="701"/>
      <c r="AP297" s="701"/>
      <c r="AQ297" s="701"/>
      <c r="AR297" s="701"/>
      <c r="AS297" s="701"/>
      <c r="AT297" s="701"/>
      <c r="AU297" s="701"/>
      <c r="AV297" s="701"/>
      <c r="AW297" s="701"/>
      <c r="AX297" s="701"/>
      <c r="AY297" s="701"/>
      <c r="AZ297" s="701"/>
      <c r="BA297" s="701"/>
      <c r="BB297" s="701"/>
      <c r="BC297" s="701"/>
    </row>
    <row r="298" spans="1:55" s="702" customFormat="1" ht="35.1" customHeight="1">
      <c r="A298" s="703">
        <v>295</v>
      </c>
      <c r="B298" s="704" t="s">
        <v>2404</v>
      </c>
      <c r="C298" s="705" t="s">
        <v>655</v>
      </c>
      <c r="D298" s="706">
        <f>ROUND(261000/1.1,0)</f>
        <v>237273</v>
      </c>
      <c r="E298" s="709">
        <f>ROUND(1020000/1.1,0)</f>
        <v>927273</v>
      </c>
      <c r="F298" s="707" t="s">
        <v>2246</v>
      </c>
      <c r="G298" s="699"/>
      <c r="H298" s="700"/>
      <c r="I298" s="700"/>
      <c r="J298" s="700"/>
      <c r="K298" s="700"/>
      <c r="L298" s="700"/>
      <c r="M298" s="701"/>
      <c r="N298" s="701"/>
      <c r="O298" s="701"/>
      <c r="P298" s="701"/>
      <c r="Q298" s="701"/>
      <c r="R298" s="701"/>
      <c r="S298" s="701"/>
      <c r="T298" s="701"/>
      <c r="U298" s="701"/>
      <c r="V298" s="701"/>
      <c r="W298" s="701"/>
      <c r="X298" s="701"/>
      <c r="Y298" s="701"/>
      <c r="Z298" s="701"/>
      <c r="AA298" s="701"/>
      <c r="AB298" s="701"/>
      <c r="AC298" s="701"/>
      <c r="AD298" s="701"/>
      <c r="AE298" s="701"/>
      <c r="AF298" s="701"/>
      <c r="AG298" s="701"/>
      <c r="AH298" s="701"/>
      <c r="AI298" s="701"/>
      <c r="AJ298" s="701"/>
      <c r="AK298" s="701"/>
      <c r="AL298" s="701"/>
      <c r="AM298" s="701"/>
      <c r="AN298" s="701"/>
      <c r="AO298" s="701"/>
      <c r="AP298" s="701"/>
      <c r="AQ298" s="701"/>
      <c r="AR298" s="701"/>
      <c r="AS298" s="701"/>
      <c r="AT298" s="701"/>
      <c r="AU298" s="701"/>
      <c r="AV298" s="701"/>
      <c r="AW298" s="701"/>
      <c r="AX298" s="701"/>
      <c r="AY298" s="701"/>
      <c r="AZ298" s="701"/>
      <c r="BA298" s="701"/>
      <c r="BB298" s="701"/>
      <c r="BC298" s="701"/>
    </row>
    <row r="299" spans="1:55" s="720" customFormat="1" ht="35.1" customHeight="1">
      <c r="A299" s="703">
        <v>296</v>
      </c>
      <c r="B299" s="704" t="s">
        <v>2405</v>
      </c>
      <c r="C299" s="705" t="s">
        <v>655</v>
      </c>
      <c r="D299" s="706">
        <f>ROUND(1020000/1.1,0)</f>
        <v>927273</v>
      </c>
      <c r="E299" s="711">
        <f>ROUND(1020000/1.1,0)</f>
        <v>927273</v>
      </c>
      <c r="F299" s="707" t="s">
        <v>2246</v>
      </c>
      <c r="G299" s="712"/>
      <c r="H299" s="700"/>
      <c r="I299" s="700"/>
      <c r="J299" s="700"/>
      <c r="K299" s="700"/>
      <c r="L299" s="700"/>
      <c r="M299" s="713"/>
      <c r="N299" s="713"/>
      <c r="O299" s="713"/>
      <c r="P299" s="713"/>
      <c r="Q299" s="713"/>
      <c r="R299" s="713"/>
      <c r="S299" s="713"/>
      <c r="T299" s="713"/>
      <c r="U299" s="713"/>
      <c r="V299" s="713"/>
      <c r="W299" s="713"/>
      <c r="X299" s="713"/>
      <c r="Y299" s="713"/>
      <c r="Z299" s="713"/>
      <c r="AA299" s="713"/>
      <c r="AB299" s="713"/>
      <c r="AC299" s="713"/>
      <c r="AD299" s="713"/>
      <c r="AE299" s="713"/>
      <c r="AF299" s="713"/>
      <c r="AG299" s="713"/>
      <c r="AH299" s="713"/>
      <c r="AI299" s="713"/>
      <c r="AJ299" s="713"/>
      <c r="AK299" s="713"/>
      <c r="AL299" s="713"/>
      <c r="AM299" s="713"/>
      <c r="AN299" s="713"/>
      <c r="AO299" s="713"/>
      <c r="AP299" s="713"/>
      <c r="AQ299" s="713"/>
      <c r="AR299" s="713"/>
      <c r="AS299" s="713"/>
      <c r="AT299" s="713"/>
      <c r="AU299" s="713"/>
      <c r="AV299" s="713"/>
      <c r="AW299" s="713"/>
      <c r="AX299" s="713"/>
      <c r="AY299" s="713"/>
      <c r="AZ299" s="713"/>
      <c r="BA299" s="713"/>
      <c r="BB299" s="713"/>
      <c r="BC299" s="713"/>
    </row>
    <row r="300" spans="1:55" s="702" customFormat="1" ht="35.1" customHeight="1">
      <c r="A300" s="703">
        <v>297</v>
      </c>
      <c r="B300" s="704" t="s">
        <v>2406</v>
      </c>
      <c r="C300" s="705" t="s">
        <v>655</v>
      </c>
      <c r="D300" s="706">
        <f>ROUND(596000/1.1,0)</f>
        <v>541818</v>
      </c>
      <c r="E300" s="709">
        <f>ROUND(1180000/1.1,0)</f>
        <v>1072727</v>
      </c>
      <c r="F300" s="707" t="s">
        <v>2246</v>
      </c>
      <c r="G300" s="699"/>
      <c r="H300" s="700"/>
      <c r="I300" s="700"/>
      <c r="J300" s="700"/>
      <c r="K300" s="700"/>
      <c r="L300" s="700"/>
      <c r="M300" s="701"/>
      <c r="N300" s="701"/>
      <c r="O300" s="701"/>
      <c r="P300" s="701"/>
      <c r="Q300" s="701"/>
      <c r="R300" s="701"/>
      <c r="S300" s="701"/>
      <c r="T300" s="701"/>
      <c r="U300" s="701"/>
      <c r="V300" s="701"/>
      <c r="W300" s="701"/>
      <c r="X300" s="701"/>
      <c r="Y300" s="701"/>
      <c r="Z300" s="701"/>
      <c r="AA300" s="701"/>
      <c r="AB300" s="701"/>
      <c r="AC300" s="701"/>
      <c r="AD300" s="701"/>
      <c r="AE300" s="701"/>
      <c r="AF300" s="701"/>
      <c r="AG300" s="701"/>
      <c r="AH300" s="701"/>
      <c r="AI300" s="701"/>
      <c r="AJ300" s="701"/>
      <c r="AK300" s="701"/>
      <c r="AL300" s="701"/>
      <c r="AM300" s="701"/>
      <c r="AN300" s="701"/>
      <c r="AO300" s="701"/>
      <c r="AP300" s="701"/>
      <c r="AQ300" s="701"/>
      <c r="AR300" s="701"/>
      <c r="AS300" s="701"/>
      <c r="AT300" s="701"/>
      <c r="AU300" s="701"/>
      <c r="AV300" s="701"/>
      <c r="AW300" s="701"/>
      <c r="AX300" s="701"/>
      <c r="AY300" s="701"/>
      <c r="AZ300" s="701"/>
      <c r="BA300" s="701"/>
      <c r="BB300" s="701"/>
      <c r="BC300" s="701"/>
    </row>
    <row r="301" spans="1:55" s="702" customFormat="1" ht="35.1" customHeight="1">
      <c r="A301" s="703">
        <v>298</v>
      </c>
      <c r="B301" s="704" t="s">
        <v>2407</v>
      </c>
      <c r="C301" s="705" t="s">
        <v>655</v>
      </c>
      <c r="D301" s="706">
        <f>ROUND(696000/1.1,0)</f>
        <v>632727</v>
      </c>
      <c r="E301" s="709">
        <f>ROUND(1785000/1.1,0)</f>
        <v>1622727</v>
      </c>
      <c r="F301" s="707" t="s">
        <v>2246</v>
      </c>
      <c r="G301" s="699"/>
      <c r="H301" s="700"/>
      <c r="I301" s="700" t="s">
        <v>2408</v>
      </c>
      <c r="J301" s="700"/>
      <c r="K301" s="700"/>
      <c r="L301" s="700"/>
      <c r="M301" s="701"/>
      <c r="N301" s="701"/>
      <c r="O301" s="701"/>
      <c r="P301" s="701"/>
      <c r="Q301" s="701"/>
      <c r="R301" s="701"/>
      <c r="S301" s="701"/>
      <c r="T301" s="701"/>
      <c r="U301" s="701"/>
      <c r="V301" s="701"/>
      <c r="W301" s="701"/>
      <c r="X301" s="701"/>
      <c r="Y301" s="701"/>
      <c r="Z301" s="701"/>
      <c r="AA301" s="701"/>
      <c r="AB301" s="701"/>
      <c r="AC301" s="701"/>
      <c r="AD301" s="701"/>
      <c r="AE301" s="701"/>
      <c r="AF301" s="701"/>
      <c r="AG301" s="701"/>
      <c r="AH301" s="701"/>
      <c r="AI301" s="701"/>
      <c r="AJ301" s="701"/>
      <c r="AK301" s="701"/>
      <c r="AL301" s="701"/>
      <c r="AM301" s="701"/>
      <c r="AN301" s="701"/>
      <c r="AO301" s="701"/>
      <c r="AP301" s="701"/>
      <c r="AQ301" s="701"/>
      <c r="AR301" s="701"/>
      <c r="AS301" s="701"/>
      <c r="AT301" s="701"/>
      <c r="AU301" s="701"/>
      <c r="AV301" s="701"/>
      <c r="AW301" s="701"/>
      <c r="AX301" s="701"/>
      <c r="AY301" s="701"/>
      <c r="AZ301" s="701"/>
      <c r="BA301" s="701"/>
      <c r="BB301" s="701"/>
      <c r="BC301" s="701"/>
    </row>
    <row r="302" spans="1:55" s="702" customFormat="1" ht="35.1" customHeight="1">
      <c r="A302" s="703">
        <v>299</v>
      </c>
      <c r="B302" s="704" t="s">
        <v>2409</v>
      </c>
      <c r="C302" s="705" t="s">
        <v>655</v>
      </c>
      <c r="D302" s="706">
        <f>ROUND(725000/1.1,0)</f>
        <v>659091</v>
      </c>
      <c r="E302" s="709">
        <f>ROUND(725000/1.1,0)</f>
        <v>659091</v>
      </c>
      <c r="F302" s="707" t="s">
        <v>2246</v>
      </c>
      <c r="G302" s="699"/>
      <c r="H302" s="700"/>
      <c r="I302" s="700"/>
      <c r="J302" s="700"/>
      <c r="K302" s="700"/>
      <c r="L302" s="700"/>
      <c r="M302" s="701"/>
      <c r="N302" s="701"/>
      <c r="O302" s="701"/>
      <c r="P302" s="701"/>
      <c r="Q302" s="701"/>
      <c r="R302" s="701"/>
      <c r="S302" s="701"/>
      <c r="T302" s="701"/>
      <c r="U302" s="701"/>
      <c r="V302" s="701"/>
      <c r="W302" s="701"/>
      <c r="X302" s="701"/>
      <c r="Y302" s="701"/>
      <c r="Z302" s="701"/>
      <c r="AA302" s="701"/>
      <c r="AB302" s="701"/>
      <c r="AC302" s="701"/>
      <c r="AD302" s="701"/>
      <c r="AE302" s="701"/>
      <c r="AF302" s="701"/>
      <c r="AG302" s="701"/>
      <c r="AH302" s="701"/>
      <c r="AI302" s="701"/>
      <c r="AJ302" s="701"/>
      <c r="AK302" s="701"/>
      <c r="AL302" s="701"/>
      <c r="AM302" s="701"/>
      <c r="AN302" s="701"/>
      <c r="AO302" s="701"/>
      <c r="AP302" s="701"/>
      <c r="AQ302" s="701"/>
      <c r="AR302" s="701"/>
      <c r="AS302" s="701"/>
      <c r="AT302" s="701"/>
      <c r="AU302" s="701"/>
      <c r="AV302" s="701"/>
      <c r="AW302" s="701"/>
      <c r="AX302" s="701"/>
      <c r="AY302" s="701"/>
      <c r="AZ302" s="701"/>
      <c r="BA302" s="701"/>
      <c r="BB302" s="701"/>
      <c r="BC302" s="701"/>
    </row>
    <row r="303" spans="1:55" s="702" customFormat="1" ht="35.1" customHeight="1">
      <c r="A303" s="703">
        <v>300</v>
      </c>
      <c r="B303" s="704" t="s">
        <v>2410</v>
      </c>
      <c r="C303" s="705" t="s">
        <v>655</v>
      </c>
      <c r="D303" s="706">
        <f>ROUND(596000/1.1,0)</f>
        <v>541818</v>
      </c>
      <c r="E303" s="709">
        <f>ROUND(725000/1.1,0)</f>
        <v>659091</v>
      </c>
      <c r="F303" s="707" t="s">
        <v>2246</v>
      </c>
      <c r="G303" s="699"/>
      <c r="H303" s="700"/>
      <c r="I303" s="700"/>
      <c r="J303" s="700"/>
      <c r="K303" s="700"/>
      <c r="L303" s="700"/>
      <c r="M303" s="701"/>
      <c r="N303" s="701"/>
      <c r="O303" s="701"/>
      <c r="P303" s="701"/>
      <c r="Q303" s="701"/>
      <c r="R303" s="701"/>
      <c r="S303" s="701"/>
      <c r="T303" s="701"/>
      <c r="U303" s="701"/>
      <c r="V303" s="701"/>
      <c r="W303" s="701"/>
      <c r="X303" s="701"/>
      <c r="Y303" s="701"/>
      <c r="Z303" s="701"/>
      <c r="AA303" s="701"/>
      <c r="AB303" s="701"/>
      <c r="AC303" s="701"/>
      <c r="AD303" s="701"/>
      <c r="AE303" s="701"/>
      <c r="AF303" s="701"/>
      <c r="AG303" s="701"/>
      <c r="AH303" s="701"/>
      <c r="AI303" s="701"/>
      <c r="AJ303" s="701"/>
      <c r="AK303" s="701"/>
      <c r="AL303" s="701"/>
      <c r="AM303" s="701"/>
      <c r="AN303" s="701"/>
      <c r="AO303" s="701"/>
      <c r="AP303" s="701"/>
      <c r="AQ303" s="701"/>
      <c r="AR303" s="701"/>
      <c r="AS303" s="701"/>
      <c r="AT303" s="701"/>
      <c r="AU303" s="701"/>
      <c r="AV303" s="701"/>
      <c r="AW303" s="701"/>
      <c r="AX303" s="701"/>
      <c r="AY303" s="701"/>
      <c r="AZ303" s="701"/>
      <c r="BA303" s="701"/>
      <c r="BB303" s="701"/>
      <c r="BC303" s="701"/>
    </row>
    <row r="304" spans="1:55" s="702" customFormat="1" ht="35.1" customHeight="1">
      <c r="A304" s="703">
        <v>301</v>
      </c>
      <c r="B304" s="704" t="s">
        <v>2411</v>
      </c>
      <c r="C304" s="705" t="s">
        <v>655</v>
      </c>
      <c r="D304" s="706">
        <f>ROUND(596000/1.1,0)</f>
        <v>541818</v>
      </c>
      <c r="E304" s="709">
        <f>ROUND(1180000/1.1,0)</f>
        <v>1072727</v>
      </c>
      <c r="F304" s="707" t="s">
        <v>2246</v>
      </c>
      <c r="G304" s="699"/>
      <c r="H304" s="700"/>
      <c r="I304" s="700" t="s">
        <v>2408</v>
      </c>
      <c r="J304" s="700"/>
      <c r="K304" s="700"/>
      <c r="L304" s="700"/>
      <c r="M304" s="701"/>
      <c r="N304" s="701"/>
      <c r="O304" s="701"/>
      <c r="P304" s="701"/>
      <c r="Q304" s="701"/>
      <c r="R304" s="701"/>
      <c r="S304" s="701"/>
      <c r="T304" s="701"/>
      <c r="U304" s="701"/>
      <c r="V304" s="701"/>
      <c r="W304" s="701"/>
      <c r="X304" s="701"/>
      <c r="Y304" s="701"/>
      <c r="Z304" s="701"/>
      <c r="AA304" s="701"/>
      <c r="AB304" s="701"/>
      <c r="AC304" s="701"/>
      <c r="AD304" s="701"/>
      <c r="AE304" s="701"/>
      <c r="AF304" s="701"/>
      <c r="AG304" s="701"/>
      <c r="AH304" s="701"/>
      <c r="AI304" s="701"/>
      <c r="AJ304" s="701"/>
      <c r="AK304" s="701"/>
      <c r="AL304" s="701"/>
      <c r="AM304" s="701"/>
      <c r="AN304" s="701"/>
      <c r="AO304" s="701"/>
      <c r="AP304" s="701"/>
      <c r="AQ304" s="701"/>
      <c r="AR304" s="701"/>
      <c r="AS304" s="701"/>
      <c r="AT304" s="701"/>
      <c r="AU304" s="701"/>
      <c r="AV304" s="701"/>
      <c r="AW304" s="701"/>
      <c r="AX304" s="701"/>
      <c r="AY304" s="701"/>
      <c r="AZ304" s="701"/>
      <c r="BA304" s="701"/>
      <c r="BB304" s="701"/>
      <c r="BC304" s="701"/>
    </row>
    <row r="305" spans="1:55" s="702" customFormat="1" ht="35.1" customHeight="1">
      <c r="A305" s="703">
        <v>302</v>
      </c>
      <c r="B305" s="704" t="s">
        <v>2412</v>
      </c>
      <c r="C305" s="705" t="s">
        <v>655</v>
      </c>
      <c r="D305" s="706">
        <f>ROUND(696000/1.1,0)</f>
        <v>632727</v>
      </c>
      <c r="E305" s="709">
        <f>ROUND(1785000/1.1,0)</f>
        <v>1622727</v>
      </c>
      <c r="F305" s="707" t="s">
        <v>2246</v>
      </c>
      <c r="G305" s="699"/>
      <c r="H305" s="700"/>
      <c r="I305" s="700" t="s">
        <v>2408</v>
      </c>
      <c r="J305" s="700"/>
      <c r="K305" s="700"/>
      <c r="L305" s="700"/>
      <c r="M305" s="701"/>
      <c r="N305" s="701"/>
      <c r="O305" s="701"/>
      <c r="P305" s="701"/>
      <c r="Q305" s="701"/>
      <c r="R305" s="701"/>
      <c r="S305" s="701"/>
      <c r="T305" s="701"/>
      <c r="U305" s="701"/>
      <c r="V305" s="701"/>
      <c r="W305" s="701"/>
      <c r="X305" s="701"/>
      <c r="Y305" s="701"/>
      <c r="Z305" s="701"/>
      <c r="AA305" s="701"/>
      <c r="AB305" s="701"/>
      <c r="AC305" s="701"/>
      <c r="AD305" s="701"/>
      <c r="AE305" s="701"/>
      <c r="AF305" s="701"/>
      <c r="AG305" s="701"/>
      <c r="AH305" s="701"/>
      <c r="AI305" s="701"/>
      <c r="AJ305" s="701"/>
      <c r="AK305" s="701"/>
      <c r="AL305" s="701"/>
      <c r="AM305" s="701"/>
      <c r="AN305" s="701"/>
      <c r="AO305" s="701"/>
      <c r="AP305" s="701"/>
      <c r="AQ305" s="701"/>
      <c r="AR305" s="701"/>
      <c r="AS305" s="701"/>
      <c r="AT305" s="701"/>
      <c r="AU305" s="701"/>
      <c r="AV305" s="701"/>
      <c r="AW305" s="701"/>
      <c r="AX305" s="701"/>
      <c r="AY305" s="701"/>
      <c r="AZ305" s="701"/>
      <c r="BA305" s="701"/>
      <c r="BB305" s="701"/>
      <c r="BC305" s="701"/>
    </row>
    <row r="306" spans="1:55" s="702" customFormat="1" ht="35.1" customHeight="1">
      <c r="A306" s="703">
        <v>303</v>
      </c>
      <c r="B306" s="704" t="s">
        <v>2413</v>
      </c>
      <c r="C306" s="705" t="s">
        <v>655</v>
      </c>
      <c r="D306" s="706">
        <f>ROUND(796000/1.1,0)</f>
        <v>723636</v>
      </c>
      <c r="E306" s="709">
        <f>ROUND(1785000/1.1,0)</f>
        <v>1622727</v>
      </c>
      <c r="F306" s="707" t="s">
        <v>2246</v>
      </c>
      <c r="G306" s="699"/>
      <c r="H306" s="700"/>
      <c r="I306" s="700" t="s">
        <v>2408</v>
      </c>
      <c r="J306" s="700"/>
      <c r="K306" s="700"/>
      <c r="L306" s="700"/>
      <c r="M306" s="701"/>
      <c r="N306" s="701"/>
      <c r="O306" s="701"/>
      <c r="P306" s="701"/>
      <c r="Q306" s="701"/>
      <c r="R306" s="701"/>
      <c r="S306" s="701"/>
      <c r="T306" s="701"/>
      <c r="U306" s="701"/>
      <c r="V306" s="701"/>
      <c r="W306" s="701"/>
      <c r="X306" s="701"/>
      <c r="Y306" s="701"/>
      <c r="Z306" s="701"/>
      <c r="AA306" s="701"/>
      <c r="AB306" s="701"/>
      <c r="AC306" s="701"/>
      <c r="AD306" s="701"/>
      <c r="AE306" s="701"/>
      <c r="AF306" s="701"/>
      <c r="AG306" s="701"/>
      <c r="AH306" s="701"/>
      <c r="AI306" s="701"/>
      <c r="AJ306" s="701"/>
      <c r="AK306" s="701"/>
      <c r="AL306" s="701"/>
      <c r="AM306" s="701"/>
      <c r="AN306" s="701"/>
      <c r="AO306" s="701"/>
      <c r="AP306" s="701"/>
      <c r="AQ306" s="701"/>
      <c r="AR306" s="701"/>
      <c r="AS306" s="701"/>
      <c r="AT306" s="701"/>
      <c r="AU306" s="701"/>
      <c r="AV306" s="701"/>
      <c r="AW306" s="701"/>
      <c r="AX306" s="701"/>
      <c r="AY306" s="701"/>
      <c r="AZ306" s="701"/>
      <c r="BA306" s="701"/>
      <c r="BB306" s="701"/>
      <c r="BC306" s="701"/>
    </row>
    <row r="307" spans="1:55" s="702" customFormat="1" ht="35.1" customHeight="1">
      <c r="A307" s="703">
        <v>304</v>
      </c>
      <c r="B307" s="704" t="s">
        <v>2414</v>
      </c>
      <c r="C307" s="705" t="s">
        <v>655</v>
      </c>
      <c r="D307" s="706">
        <f>ROUND(1506000/1.1,0)</f>
        <v>1369091</v>
      </c>
      <c r="E307" s="709">
        <f>ROUND(4515000/1.1,0)</f>
        <v>4104545</v>
      </c>
      <c r="F307" s="707" t="s">
        <v>2246</v>
      </c>
      <c r="G307" s="699"/>
      <c r="H307" s="700"/>
      <c r="I307" s="700" t="s">
        <v>2415</v>
      </c>
      <c r="J307" s="700"/>
      <c r="K307" s="700"/>
      <c r="L307" s="700"/>
      <c r="M307" s="701"/>
      <c r="N307" s="701"/>
      <c r="O307" s="701"/>
      <c r="P307" s="701"/>
      <c r="Q307" s="701"/>
      <c r="R307" s="701"/>
      <c r="S307" s="701"/>
      <c r="T307" s="701"/>
      <c r="U307" s="701"/>
      <c r="V307" s="701"/>
      <c r="W307" s="701"/>
      <c r="X307" s="701"/>
      <c r="Y307" s="701"/>
      <c r="Z307" s="701"/>
      <c r="AA307" s="701"/>
      <c r="AB307" s="701"/>
      <c r="AC307" s="701"/>
      <c r="AD307" s="701"/>
      <c r="AE307" s="701"/>
      <c r="AF307" s="701"/>
      <c r="AG307" s="701"/>
      <c r="AH307" s="701"/>
      <c r="AI307" s="701"/>
      <c r="AJ307" s="701"/>
      <c r="AK307" s="701"/>
      <c r="AL307" s="701"/>
      <c r="AM307" s="701"/>
      <c r="AN307" s="701"/>
      <c r="AO307" s="701"/>
      <c r="AP307" s="701"/>
      <c r="AQ307" s="701"/>
      <c r="AR307" s="701"/>
      <c r="AS307" s="701"/>
      <c r="AT307" s="701"/>
      <c r="AU307" s="701"/>
      <c r="AV307" s="701"/>
      <c r="AW307" s="701"/>
      <c r="AX307" s="701"/>
      <c r="AY307" s="701"/>
      <c r="AZ307" s="701"/>
      <c r="BA307" s="701"/>
      <c r="BB307" s="701"/>
      <c r="BC307" s="701"/>
    </row>
    <row r="308" spans="1:55" s="702" customFormat="1" ht="35.1" customHeight="1">
      <c r="A308" s="703">
        <v>305</v>
      </c>
      <c r="B308" s="704" t="s">
        <v>2416</v>
      </c>
      <c r="C308" s="705" t="s">
        <v>655</v>
      </c>
      <c r="D308" s="706">
        <f>ROUND(1506000/1.1,0)</f>
        <v>1369091</v>
      </c>
      <c r="E308" s="709">
        <f>ROUND(4515000/1.1,0)</f>
        <v>4104545</v>
      </c>
      <c r="F308" s="707" t="s">
        <v>2246</v>
      </c>
      <c r="G308" s="699"/>
      <c r="H308" s="700"/>
      <c r="I308" s="700" t="s">
        <v>2415</v>
      </c>
      <c r="J308" s="700"/>
      <c r="K308" s="700"/>
      <c r="L308" s="700"/>
      <c r="M308" s="701"/>
      <c r="N308" s="701"/>
      <c r="O308" s="701"/>
      <c r="P308" s="701"/>
      <c r="Q308" s="701"/>
      <c r="R308" s="701"/>
      <c r="S308" s="701"/>
      <c r="T308" s="701"/>
      <c r="U308" s="701"/>
      <c r="V308" s="701"/>
      <c r="W308" s="701"/>
      <c r="X308" s="701"/>
      <c r="Y308" s="701"/>
      <c r="Z308" s="701"/>
      <c r="AA308" s="701"/>
      <c r="AB308" s="701"/>
      <c r="AC308" s="701"/>
      <c r="AD308" s="701"/>
      <c r="AE308" s="701"/>
      <c r="AF308" s="701"/>
      <c r="AG308" s="701"/>
      <c r="AH308" s="701"/>
      <c r="AI308" s="701"/>
      <c r="AJ308" s="701"/>
      <c r="AK308" s="701"/>
      <c r="AL308" s="701"/>
      <c r="AM308" s="701"/>
      <c r="AN308" s="701"/>
      <c r="AO308" s="701"/>
      <c r="AP308" s="701"/>
      <c r="AQ308" s="701"/>
      <c r="AR308" s="701"/>
      <c r="AS308" s="701"/>
      <c r="AT308" s="701"/>
      <c r="AU308" s="701"/>
      <c r="AV308" s="701"/>
      <c r="AW308" s="701"/>
      <c r="AX308" s="701"/>
      <c r="AY308" s="701"/>
      <c r="AZ308" s="701"/>
      <c r="BA308" s="701"/>
      <c r="BB308" s="701"/>
      <c r="BC308" s="701"/>
    </row>
    <row r="309" spans="1:55" s="702" customFormat="1" ht="35.1" customHeight="1">
      <c r="A309" s="703">
        <v>306</v>
      </c>
      <c r="B309" s="704" t="s">
        <v>2417</v>
      </c>
      <c r="C309" s="705" t="s">
        <v>655</v>
      </c>
      <c r="D309" s="706">
        <f>ROUND(1506000/1.1,0)</f>
        <v>1369091</v>
      </c>
      <c r="E309" s="709">
        <f>ROUND(4515000/1.1,0)</f>
        <v>4104545</v>
      </c>
      <c r="F309" s="707" t="s">
        <v>2246</v>
      </c>
      <c r="G309" s="699"/>
      <c r="H309" s="700"/>
      <c r="I309" s="700"/>
      <c r="J309" s="700"/>
      <c r="K309" s="700"/>
      <c r="L309" s="700"/>
      <c r="M309" s="701"/>
      <c r="N309" s="701"/>
      <c r="O309" s="701"/>
      <c r="P309" s="701"/>
      <c r="Q309" s="701"/>
      <c r="R309" s="701"/>
      <c r="S309" s="701"/>
      <c r="T309" s="701"/>
      <c r="U309" s="701"/>
      <c r="V309" s="701"/>
      <c r="W309" s="701"/>
      <c r="X309" s="701"/>
      <c r="Y309" s="701"/>
      <c r="Z309" s="701"/>
      <c r="AA309" s="701"/>
      <c r="AB309" s="701"/>
      <c r="AC309" s="701"/>
      <c r="AD309" s="701"/>
      <c r="AE309" s="701"/>
      <c r="AF309" s="701"/>
      <c r="AG309" s="701"/>
      <c r="AH309" s="701"/>
      <c r="AI309" s="701"/>
      <c r="AJ309" s="701"/>
      <c r="AK309" s="701"/>
      <c r="AL309" s="701"/>
      <c r="AM309" s="701"/>
      <c r="AN309" s="701"/>
      <c r="AO309" s="701"/>
      <c r="AP309" s="701"/>
      <c r="AQ309" s="701"/>
      <c r="AR309" s="701"/>
      <c r="AS309" s="701"/>
      <c r="AT309" s="701"/>
      <c r="AU309" s="701"/>
      <c r="AV309" s="701"/>
      <c r="AW309" s="701"/>
      <c r="AX309" s="701"/>
      <c r="AY309" s="701"/>
      <c r="AZ309" s="701"/>
      <c r="BA309" s="701"/>
      <c r="BB309" s="701"/>
      <c r="BC309" s="701"/>
    </row>
    <row r="310" spans="1:55" s="702" customFormat="1" ht="35.1" customHeight="1">
      <c r="A310" s="703">
        <v>307</v>
      </c>
      <c r="B310" s="704" t="s">
        <v>2418</v>
      </c>
      <c r="C310" s="705" t="s">
        <v>655</v>
      </c>
      <c r="D310" s="706">
        <f>ROUND(1506000/1.1,0)</f>
        <v>1369091</v>
      </c>
      <c r="E310" s="709">
        <f>ROUND(4620000/1.1,0)</f>
        <v>4200000</v>
      </c>
      <c r="F310" s="707" t="s">
        <v>2246</v>
      </c>
      <c r="G310" s="699"/>
      <c r="H310" s="700"/>
      <c r="I310" s="700"/>
      <c r="J310" s="700"/>
      <c r="K310" s="700"/>
      <c r="L310" s="700"/>
      <c r="M310" s="701"/>
      <c r="N310" s="701"/>
      <c r="O310" s="701"/>
      <c r="P310" s="701"/>
      <c r="Q310" s="701"/>
      <c r="R310" s="701"/>
      <c r="S310" s="701"/>
      <c r="T310" s="701"/>
      <c r="U310" s="701"/>
      <c r="V310" s="701"/>
      <c r="W310" s="701"/>
      <c r="X310" s="701"/>
      <c r="Y310" s="701"/>
      <c r="Z310" s="701"/>
      <c r="AA310" s="701"/>
      <c r="AB310" s="701"/>
      <c r="AC310" s="701"/>
      <c r="AD310" s="701"/>
      <c r="AE310" s="701"/>
      <c r="AF310" s="701"/>
      <c r="AG310" s="701"/>
      <c r="AH310" s="701"/>
      <c r="AI310" s="701"/>
      <c r="AJ310" s="701"/>
      <c r="AK310" s="701"/>
      <c r="AL310" s="701"/>
      <c r="AM310" s="701"/>
      <c r="AN310" s="701"/>
      <c r="AO310" s="701"/>
      <c r="AP310" s="701"/>
      <c r="AQ310" s="701"/>
      <c r="AR310" s="701"/>
      <c r="AS310" s="701"/>
      <c r="AT310" s="701"/>
      <c r="AU310" s="701"/>
      <c r="AV310" s="701"/>
      <c r="AW310" s="701"/>
      <c r="AX310" s="701"/>
      <c r="AY310" s="701"/>
      <c r="AZ310" s="701"/>
      <c r="BA310" s="701"/>
      <c r="BB310" s="701"/>
      <c r="BC310" s="701"/>
    </row>
    <row r="311" spans="1:55" s="702" customFormat="1" ht="35.1" customHeight="1">
      <c r="A311" s="703">
        <v>308</v>
      </c>
      <c r="B311" s="704" t="s">
        <v>2419</v>
      </c>
      <c r="C311" s="705" t="s">
        <v>655</v>
      </c>
      <c r="D311" s="706">
        <f>ROUND(4515000/1.1,0)</f>
        <v>4104545</v>
      </c>
      <c r="E311" s="709">
        <f>ROUND(4515000/1.1,0)</f>
        <v>4104545</v>
      </c>
      <c r="F311" s="707" t="s">
        <v>2246</v>
      </c>
      <c r="G311" s="699"/>
      <c r="H311" s="700"/>
      <c r="I311" s="700"/>
      <c r="J311" s="700"/>
      <c r="K311" s="700"/>
      <c r="L311" s="700"/>
      <c r="M311" s="701"/>
      <c r="N311" s="701"/>
      <c r="O311" s="701"/>
      <c r="P311" s="701"/>
      <c r="Q311" s="701"/>
      <c r="R311" s="701"/>
      <c r="S311" s="701"/>
      <c r="T311" s="701"/>
      <c r="U311" s="701"/>
      <c r="V311" s="701"/>
      <c r="W311" s="701"/>
      <c r="X311" s="701"/>
      <c r="Y311" s="701"/>
      <c r="Z311" s="701"/>
      <c r="AA311" s="701"/>
      <c r="AB311" s="701"/>
      <c r="AC311" s="701"/>
      <c r="AD311" s="701"/>
      <c r="AE311" s="701"/>
      <c r="AF311" s="701"/>
      <c r="AG311" s="701"/>
      <c r="AH311" s="701"/>
      <c r="AI311" s="701"/>
      <c r="AJ311" s="701"/>
      <c r="AK311" s="701"/>
      <c r="AL311" s="701"/>
      <c r="AM311" s="701"/>
      <c r="AN311" s="701"/>
      <c r="AO311" s="701"/>
      <c r="AP311" s="701"/>
      <c r="AQ311" s="701"/>
      <c r="AR311" s="701"/>
      <c r="AS311" s="701"/>
      <c r="AT311" s="701"/>
      <c r="AU311" s="701"/>
      <c r="AV311" s="701"/>
      <c r="AW311" s="701"/>
      <c r="AX311" s="701"/>
      <c r="AY311" s="701"/>
      <c r="AZ311" s="701"/>
      <c r="BA311" s="701"/>
      <c r="BB311" s="701"/>
      <c r="BC311" s="701"/>
    </row>
    <row r="312" spans="1:55" s="702" customFormat="1" ht="35.1" customHeight="1">
      <c r="A312" s="703">
        <v>309</v>
      </c>
      <c r="B312" s="704" t="s">
        <v>2420</v>
      </c>
      <c r="C312" s="705" t="s">
        <v>655</v>
      </c>
      <c r="D312" s="706">
        <f>ROUND(4620000/1.1,0)</f>
        <v>4200000</v>
      </c>
      <c r="E312" s="709">
        <f>ROUND(4620000/1.1,0)</f>
        <v>4200000</v>
      </c>
      <c r="F312" s="707" t="s">
        <v>2246</v>
      </c>
      <c r="G312" s="699"/>
      <c r="H312" s="700"/>
      <c r="I312" s="700" t="s">
        <v>2421</v>
      </c>
      <c r="J312" s="700"/>
      <c r="K312" s="700"/>
      <c r="L312" s="700"/>
      <c r="M312" s="701"/>
      <c r="N312" s="701"/>
      <c r="O312" s="701"/>
      <c r="P312" s="701"/>
      <c r="Q312" s="701"/>
      <c r="R312" s="701"/>
      <c r="S312" s="701"/>
      <c r="T312" s="701"/>
      <c r="U312" s="701"/>
      <c r="V312" s="701"/>
      <c r="W312" s="701"/>
      <c r="X312" s="701"/>
      <c r="Y312" s="701"/>
      <c r="Z312" s="701"/>
      <c r="AA312" s="701"/>
      <c r="AB312" s="701"/>
      <c r="AC312" s="701"/>
      <c r="AD312" s="701"/>
      <c r="AE312" s="701"/>
      <c r="AF312" s="701"/>
      <c r="AG312" s="701"/>
      <c r="AH312" s="701"/>
      <c r="AI312" s="701"/>
      <c r="AJ312" s="701"/>
      <c r="AK312" s="701"/>
      <c r="AL312" s="701"/>
      <c r="AM312" s="701"/>
      <c r="AN312" s="701"/>
      <c r="AO312" s="701"/>
      <c r="AP312" s="701"/>
      <c r="AQ312" s="701"/>
      <c r="AR312" s="701"/>
      <c r="AS312" s="701"/>
      <c r="AT312" s="701"/>
      <c r="AU312" s="701"/>
      <c r="AV312" s="701"/>
      <c r="AW312" s="701"/>
      <c r="AX312" s="701"/>
      <c r="AY312" s="701"/>
      <c r="AZ312" s="701"/>
      <c r="BA312" s="701"/>
      <c r="BB312" s="701"/>
      <c r="BC312" s="701"/>
    </row>
    <row r="313" spans="1:55" s="702" customFormat="1" ht="35.1" customHeight="1">
      <c r="A313" s="703">
        <v>310</v>
      </c>
      <c r="B313" s="704" t="s">
        <v>2422</v>
      </c>
      <c r="C313" s="705" t="s">
        <v>624</v>
      </c>
      <c r="D313" s="706">
        <v>15000</v>
      </c>
      <c r="E313" s="706">
        <v>15000</v>
      </c>
      <c r="F313" s="707" t="s">
        <v>2201</v>
      </c>
      <c r="G313" s="699"/>
      <c r="H313" s="700"/>
      <c r="I313" s="700"/>
      <c r="J313" s="700"/>
      <c r="K313" s="700"/>
      <c r="L313" s="700"/>
      <c r="M313" s="701"/>
      <c r="N313" s="701"/>
      <c r="O313" s="701"/>
      <c r="P313" s="701"/>
      <c r="Q313" s="701"/>
      <c r="R313" s="701"/>
      <c r="S313" s="701"/>
      <c r="T313" s="701"/>
      <c r="U313" s="701"/>
      <c r="V313" s="701"/>
      <c r="W313" s="701"/>
      <c r="X313" s="701"/>
      <c r="Y313" s="701"/>
      <c r="Z313" s="701"/>
      <c r="AA313" s="701"/>
      <c r="AB313" s="701"/>
      <c r="AC313" s="701"/>
      <c r="AD313" s="701"/>
      <c r="AE313" s="701"/>
      <c r="AF313" s="701"/>
      <c r="AG313" s="701"/>
      <c r="AH313" s="701"/>
      <c r="AI313" s="701"/>
      <c r="AJ313" s="701"/>
      <c r="AK313" s="701"/>
      <c r="AL313" s="701"/>
      <c r="AM313" s="701"/>
      <c r="AN313" s="701"/>
      <c r="AO313" s="701"/>
      <c r="AP313" s="701"/>
      <c r="AQ313" s="701"/>
      <c r="AR313" s="701"/>
      <c r="AS313" s="701"/>
      <c r="AT313" s="701"/>
      <c r="AU313" s="701"/>
      <c r="AV313" s="701"/>
      <c r="AW313" s="701"/>
      <c r="AX313" s="701"/>
      <c r="AY313" s="701"/>
      <c r="AZ313" s="701"/>
      <c r="BA313" s="701"/>
      <c r="BB313" s="701"/>
      <c r="BC313" s="701"/>
    </row>
    <row r="314" spans="1:55" s="702" customFormat="1" ht="35.1" customHeight="1">
      <c r="A314" s="703">
        <v>311</v>
      </c>
      <c r="B314" s="704" t="s">
        <v>2423</v>
      </c>
      <c r="C314" s="705" t="s">
        <v>624</v>
      </c>
      <c r="D314" s="706">
        <f>ROUND(1476000/1.1,0)</f>
        <v>1341818</v>
      </c>
      <c r="E314" s="706">
        <f>ROUND(1476000/1.1,0)</f>
        <v>1341818</v>
      </c>
      <c r="F314" s="707" t="s">
        <v>2424</v>
      </c>
      <c r="G314" s="699"/>
      <c r="H314" s="700"/>
      <c r="I314" s="700"/>
      <c r="J314" s="700"/>
      <c r="K314" s="700"/>
      <c r="L314" s="700"/>
      <c r="M314" s="701"/>
      <c r="N314" s="701"/>
      <c r="O314" s="701"/>
      <c r="P314" s="701"/>
      <c r="Q314" s="701"/>
      <c r="R314" s="701"/>
      <c r="S314" s="701"/>
      <c r="T314" s="701"/>
      <c r="U314" s="701"/>
      <c r="V314" s="701"/>
      <c r="W314" s="701"/>
      <c r="X314" s="701"/>
      <c r="Y314" s="701"/>
      <c r="Z314" s="701"/>
      <c r="AA314" s="701"/>
      <c r="AB314" s="701"/>
      <c r="AC314" s="701"/>
      <c r="AD314" s="701"/>
      <c r="AE314" s="701"/>
      <c r="AF314" s="701"/>
      <c r="AG314" s="701"/>
      <c r="AH314" s="701"/>
      <c r="AI314" s="701"/>
      <c r="AJ314" s="701"/>
      <c r="AK314" s="701"/>
      <c r="AL314" s="701"/>
      <c r="AM314" s="701"/>
      <c r="AN314" s="701"/>
      <c r="AO314" s="701"/>
      <c r="AP314" s="701"/>
      <c r="AQ314" s="701"/>
      <c r="AR314" s="701"/>
      <c r="AS314" s="701"/>
      <c r="AT314" s="701"/>
      <c r="AU314" s="701"/>
      <c r="AV314" s="701"/>
      <c r="AW314" s="701"/>
      <c r="AX314" s="701"/>
      <c r="AY314" s="701"/>
      <c r="AZ314" s="701"/>
      <c r="BA314" s="701"/>
      <c r="BB314" s="701"/>
      <c r="BC314" s="701"/>
    </row>
    <row r="315" spans="1:55" s="702" customFormat="1" ht="35.1" customHeight="1">
      <c r="A315" s="703">
        <v>312</v>
      </c>
      <c r="B315" s="704" t="s">
        <v>2425</v>
      </c>
      <c r="C315" s="705" t="s">
        <v>655</v>
      </c>
      <c r="D315" s="706">
        <v>811000</v>
      </c>
      <c r="E315" s="706">
        <v>811000</v>
      </c>
      <c r="F315" s="707" t="s">
        <v>2426</v>
      </c>
      <c r="G315" s="699"/>
      <c r="H315" s="700"/>
      <c r="I315" s="700"/>
      <c r="J315" s="700"/>
      <c r="K315" s="700"/>
      <c r="L315" s="700"/>
      <c r="M315" s="701"/>
      <c r="N315" s="701"/>
      <c r="O315" s="701"/>
      <c r="P315" s="701"/>
      <c r="Q315" s="701"/>
      <c r="R315" s="701"/>
      <c r="S315" s="701"/>
      <c r="T315" s="701"/>
      <c r="U315" s="701"/>
      <c r="V315" s="701"/>
      <c r="W315" s="701"/>
      <c r="X315" s="701"/>
      <c r="Y315" s="701"/>
      <c r="Z315" s="701"/>
      <c r="AA315" s="701"/>
      <c r="AB315" s="701"/>
      <c r="AC315" s="701"/>
      <c r="AD315" s="701"/>
      <c r="AE315" s="701"/>
      <c r="AF315" s="701"/>
      <c r="AG315" s="701"/>
      <c r="AH315" s="701"/>
      <c r="AI315" s="701"/>
      <c r="AJ315" s="701"/>
      <c r="AK315" s="701"/>
      <c r="AL315" s="701"/>
      <c r="AM315" s="701"/>
      <c r="AN315" s="701"/>
      <c r="AO315" s="701"/>
      <c r="AP315" s="701"/>
      <c r="AQ315" s="701"/>
      <c r="AR315" s="701"/>
      <c r="AS315" s="701"/>
      <c r="AT315" s="701"/>
      <c r="AU315" s="701"/>
      <c r="AV315" s="701"/>
      <c r="AW315" s="701"/>
      <c r="AX315" s="701"/>
      <c r="AY315" s="701"/>
      <c r="AZ315" s="701"/>
      <c r="BA315" s="701"/>
      <c r="BB315" s="701"/>
      <c r="BC315" s="701"/>
    </row>
    <row r="316" spans="1:55" s="702" customFormat="1" ht="35.1" customHeight="1">
      <c r="A316" s="703">
        <v>313</v>
      </c>
      <c r="B316" s="704" t="s">
        <v>2427</v>
      </c>
      <c r="C316" s="705" t="s">
        <v>655</v>
      </c>
      <c r="D316" s="706">
        <v>50000</v>
      </c>
      <c r="E316" s="706">
        <v>50000</v>
      </c>
      <c r="F316" s="707" t="s">
        <v>2201</v>
      </c>
      <c r="G316" s="699"/>
      <c r="H316" s="700"/>
      <c r="I316" s="700"/>
      <c r="J316" s="700"/>
      <c r="K316" s="700"/>
      <c r="L316" s="700"/>
      <c r="M316" s="701"/>
      <c r="N316" s="701"/>
      <c r="O316" s="701"/>
      <c r="P316" s="701"/>
      <c r="Q316" s="701"/>
      <c r="R316" s="701"/>
      <c r="S316" s="701"/>
      <c r="T316" s="701"/>
      <c r="U316" s="701"/>
      <c r="V316" s="701"/>
      <c r="W316" s="701"/>
      <c r="X316" s="701"/>
      <c r="Y316" s="701"/>
      <c r="Z316" s="701"/>
      <c r="AA316" s="701"/>
      <c r="AB316" s="701"/>
      <c r="AC316" s="701"/>
      <c r="AD316" s="701"/>
      <c r="AE316" s="701"/>
      <c r="AF316" s="701"/>
      <c r="AG316" s="701"/>
      <c r="AH316" s="701"/>
      <c r="AI316" s="701"/>
      <c r="AJ316" s="701"/>
      <c r="AK316" s="701"/>
      <c r="AL316" s="701"/>
      <c r="AM316" s="701"/>
      <c r="AN316" s="701"/>
      <c r="AO316" s="701"/>
      <c r="AP316" s="701"/>
      <c r="AQ316" s="701"/>
      <c r="AR316" s="701"/>
      <c r="AS316" s="701"/>
      <c r="AT316" s="701"/>
      <c r="AU316" s="701"/>
      <c r="AV316" s="701"/>
      <c r="AW316" s="701"/>
      <c r="AX316" s="701"/>
      <c r="AY316" s="701"/>
      <c r="AZ316" s="701"/>
      <c r="BA316" s="701"/>
      <c r="BB316" s="701"/>
      <c r="BC316" s="701"/>
    </row>
    <row r="317" spans="1:55" s="702" customFormat="1" ht="35.1" customHeight="1">
      <c r="A317" s="703">
        <v>314</v>
      </c>
      <c r="B317" s="704" t="s">
        <v>2428</v>
      </c>
      <c r="C317" s="705" t="s">
        <v>655</v>
      </c>
      <c r="D317" s="706">
        <v>35000</v>
      </c>
      <c r="E317" s="706">
        <v>35000</v>
      </c>
      <c r="F317" s="707" t="s">
        <v>2201</v>
      </c>
      <c r="G317" s="699"/>
      <c r="H317" s="700"/>
      <c r="I317" s="700" t="s">
        <v>2061</v>
      </c>
      <c r="J317" s="700"/>
      <c r="K317" s="700"/>
      <c r="L317" s="700"/>
      <c r="M317" s="701"/>
      <c r="N317" s="701"/>
      <c r="O317" s="701"/>
      <c r="P317" s="701"/>
      <c r="Q317" s="701"/>
      <c r="R317" s="701"/>
      <c r="S317" s="701"/>
      <c r="T317" s="701"/>
      <c r="U317" s="701"/>
      <c r="V317" s="701"/>
      <c r="W317" s="701"/>
      <c r="X317" s="701"/>
      <c r="Y317" s="701"/>
      <c r="Z317" s="701"/>
      <c r="AA317" s="701"/>
      <c r="AB317" s="701"/>
      <c r="AC317" s="701"/>
      <c r="AD317" s="701"/>
      <c r="AE317" s="701"/>
      <c r="AF317" s="701"/>
      <c r="AG317" s="701"/>
      <c r="AH317" s="701"/>
      <c r="AI317" s="701"/>
      <c r="AJ317" s="701"/>
      <c r="AK317" s="701"/>
      <c r="AL317" s="701"/>
      <c r="AM317" s="701"/>
      <c r="AN317" s="701"/>
      <c r="AO317" s="701"/>
      <c r="AP317" s="701"/>
      <c r="AQ317" s="701"/>
      <c r="AR317" s="701"/>
      <c r="AS317" s="701"/>
      <c r="AT317" s="701"/>
      <c r="AU317" s="701"/>
      <c r="AV317" s="701"/>
      <c r="AW317" s="701"/>
      <c r="AX317" s="701"/>
      <c r="AY317" s="701"/>
      <c r="AZ317" s="701"/>
      <c r="BA317" s="701"/>
      <c r="BB317" s="701"/>
      <c r="BC317" s="701"/>
    </row>
    <row r="318" spans="1:55" s="702" customFormat="1" ht="35.1" customHeight="1">
      <c r="A318" s="703">
        <v>315</v>
      </c>
      <c r="B318" s="704" t="s">
        <v>2429</v>
      </c>
      <c r="C318" s="705" t="s">
        <v>655</v>
      </c>
      <c r="D318" s="706">
        <v>120000</v>
      </c>
      <c r="E318" s="706">
        <v>120000</v>
      </c>
      <c r="F318" s="707" t="s">
        <v>2201</v>
      </c>
      <c r="G318" s="699"/>
      <c r="H318" s="700"/>
      <c r="I318" s="700" t="s">
        <v>2061</v>
      </c>
      <c r="J318" s="700"/>
      <c r="K318" s="700"/>
      <c r="L318" s="700"/>
      <c r="M318" s="701"/>
      <c r="N318" s="701"/>
      <c r="O318" s="701"/>
      <c r="P318" s="701"/>
      <c r="Q318" s="701"/>
      <c r="R318" s="701"/>
      <c r="S318" s="701"/>
      <c r="T318" s="701"/>
      <c r="U318" s="701"/>
      <c r="V318" s="701"/>
      <c r="W318" s="701"/>
      <c r="X318" s="701"/>
      <c r="Y318" s="701"/>
      <c r="Z318" s="701"/>
      <c r="AA318" s="701"/>
      <c r="AB318" s="701"/>
      <c r="AC318" s="701"/>
      <c r="AD318" s="701"/>
      <c r="AE318" s="701"/>
      <c r="AF318" s="701"/>
      <c r="AG318" s="701"/>
      <c r="AH318" s="701"/>
      <c r="AI318" s="701"/>
      <c r="AJ318" s="701"/>
      <c r="AK318" s="701"/>
      <c r="AL318" s="701"/>
      <c r="AM318" s="701"/>
      <c r="AN318" s="701"/>
      <c r="AO318" s="701"/>
      <c r="AP318" s="701"/>
      <c r="AQ318" s="701"/>
      <c r="AR318" s="701"/>
      <c r="AS318" s="701"/>
      <c r="AT318" s="701"/>
      <c r="AU318" s="701"/>
      <c r="AV318" s="701"/>
      <c r="AW318" s="701"/>
      <c r="AX318" s="701"/>
      <c r="AY318" s="701"/>
      <c r="AZ318" s="701"/>
      <c r="BA318" s="701"/>
      <c r="BB318" s="701"/>
      <c r="BC318" s="701"/>
    </row>
    <row r="319" spans="1:55" s="702" customFormat="1" ht="35.1" customHeight="1">
      <c r="A319" s="703">
        <v>316</v>
      </c>
      <c r="B319" s="704" t="s">
        <v>2430</v>
      </c>
      <c r="C319" s="705" t="s">
        <v>655</v>
      </c>
      <c r="D319" s="706">
        <v>500000</v>
      </c>
      <c r="E319" s="706">
        <v>500000</v>
      </c>
      <c r="F319" s="707" t="s">
        <v>2201</v>
      </c>
      <c r="G319" s="699"/>
      <c r="H319" s="700"/>
      <c r="I319" s="700" t="s">
        <v>2061</v>
      </c>
      <c r="J319" s="700"/>
      <c r="K319" s="700"/>
      <c r="L319" s="700"/>
      <c r="M319" s="701"/>
      <c r="N319" s="701"/>
      <c r="O319" s="701"/>
      <c r="P319" s="701"/>
      <c r="Q319" s="701"/>
      <c r="R319" s="701"/>
      <c r="S319" s="701"/>
      <c r="T319" s="701"/>
      <c r="U319" s="701"/>
      <c r="V319" s="701"/>
      <c r="W319" s="701"/>
      <c r="X319" s="701"/>
      <c r="Y319" s="701"/>
      <c r="Z319" s="701"/>
      <c r="AA319" s="701"/>
      <c r="AB319" s="701"/>
      <c r="AC319" s="701"/>
      <c r="AD319" s="701"/>
      <c r="AE319" s="701"/>
      <c r="AF319" s="701"/>
      <c r="AG319" s="701"/>
      <c r="AH319" s="701"/>
      <c r="AI319" s="701"/>
      <c r="AJ319" s="701"/>
      <c r="AK319" s="701"/>
      <c r="AL319" s="701"/>
      <c r="AM319" s="701"/>
      <c r="AN319" s="701"/>
      <c r="AO319" s="701"/>
      <c r="AP319" s="701"/>
      <c r="AQ319" s="701"/>
      <c r="AR319" s="701"/>
      <c r="AS319" s="701"/>
      <c r="AT319" s="701"/>
      <c r="AU319" s="701"/>
      <c r="AV319" s="701"/>
      <c r="AW319" s="701"/>
      <c r="AX319" s="701"/>
      <c r="AY319" s="701"/>
      <c r="AZ319" s="701"/>
      <c r="BA319" s="701"/>
      <c r="BB319" s="701"/>
      <c r="BC319" s="701"/>
    </row>
    <row r="320" spans="1:55" s="702" customFormat="1" ht="35.1" customHeight="1">
      <c r="A320" s="703">
        <v>317</v>
      </c>
      <c r="B320" s="704" t="s">
        <v>2431</v>
      </c>
      <c r="C320" s="705" t="s">
        <v>685</v>
      </c>
      <c r="D320" s="706">
        <v>35000</v>
      </c>
      <c r="E320" s="706">
        <v>35000</v>
      </c>
      <c r="F320" s="707" t="s">
        <v>2201</v>
      </c>
      <c r="G320" s="699"/>
      <c r="H320" s="700"/>
      <c r="I320" s="700" t="s">
        <v>2061</v>
      </c>
      <c r="J320" s="700"/>
      <c r="K320" s="700"/>
      <c r="L320" s="700"/>
      <c r="M320" s="701"/>
      <c r="N320" s="701"/>
      <c r="O320" s="701"/>
      <c r="P320" s="701"/>
      <c r="Q320" s="701"/>
      <c r="R320" s="701"/>
      <c r="S320" s="701"/>
      <c r="T320" s="701"/>
      <c r="U320" s="701"/>
      <c r="V320" s="701"/>
      <c r="W320" s="701"/>
      <c r="X320" s="701"/>
      <c r="Y320" s="701"/>
      <c r="Z320" s="701"/>
      <c r="AA320" s="701"/>
      <c r="AB320" s="701"/>
      <c r="AC320" s="701"/>
      <c r="AD320" s="701"/>
      <c r="AE320" s="701"/>
      <c r="AF320" s="701"/>
      <c r="AG320" s="701"/>
      <c r="AH320" s="701"/>
      <c r="AI320" s="701"/>
      <c r="AJ320" s="701"/>
      <c r="AK320" s="701"/>
      <c r="AL320" s="701"/>
      <c r="AM320" s="701"/>
      <c r="AN320" s="701"/>
      <c r="AO320" s="701"/>
      <c r="AP320" s="701"/>
      <c r="AQ320" s="701"/>
      <c r="AR320" s="701"/>
      <c r="AS320" s="701"/>
      <c r="AT320" s="701"/>
      <c r="AU320" s="701"/>
      <c r="AV320" s="701"/>
      <c r="AW320" s="701"/>
      <c r="AX320" s="701"/>
      <c r="AY320" s="701"/>
      <c r="AZ320" s="701"/>
      <c r="BA320" s="701"/>
      <c r="BB320" s="701"/>
      <c r="BC320" s="701"/>
    </row>
    <row r="321" spans="1:55" s="702" customFormat="1" ht="35.1" customHeight="1">
      <c r="A321" s="703">
        <v>318</v>
      </c>
      <c r="B321" s="704" t="s">
        <v>2432</v>
      </c>
      <c r="C321" s="705" t="s">
        <v>685</v>
      </c>
      <c r="D321" s="706">
        <v>400000</v>
      </c>
      <c r="E321" s="706">
        <v>400000</v>
      </c>
      <c r="F321" s="707" t="s">
        <v>2201</v>
      </c>
      <c r="G321" s="699"/>
      <c r="H321" s="700"/>
      <c r="I321" s="700" t="s">
        <v>2061</v>
      </c>
      <c r="J321" s="700"/>
      <c r="K321" s="700"/>
      <c r="L321" s="700"/>
      <c r="M321" s="701"/>
      <c r="N321" s="701"/>
      <c r="O321" s="701"/>
      <c r="P321" s="701"/>
      <c r="Q321" s="701"/>
      <c r="R321" s="701"/>
      <c r="S321" s="701"/>
      <c r="T321" s="701"/>
      <c r="U321" s="701"/>
      <c r="V321" s="701"/>
      <c r="W321" s="701"/>
      <c r="X321" s="701"/>
      <c r="Y321" s="701"/>
      <c r="Z321" s="701"/>
      <c r="AA321" s="701"/>
      <c r="AB321" s="701"/>
      <c r="AC321" s="701"/>
      <c r="AD321" s="701"/>
      <c r="AE321" s="701"/>
      <c r="AF321" s="701"/>
      <c r="AG321" s="701"/>
      <c r="AH321" s="701"/>
      <c r="AI321" s="701"/>
      <c r="AJ321" s="701"/>
      <c r="AK321" s="701"/>
      <c r="AL321" s="701"/>
      <c r="AM321" s="701"/>
      <c r="AN321" s="701"/>
      <c r="AO321" s="701"/>
      <c r="AP321" s="701"/>
      <c r="AQ321" s="701"/>
      <c r="AR321" s="701"/>
      <c r="AS321" s="701"/>
      <c r="AT321" s="701"/>
      <c r="AU321" s="701"/>
      <c r="AV321" s="701"/>
      <c r="AW321" s="701"/>
      <c r="AX321" s="701"/>
      <c r="AY321" s="701"/>
      <c r="AZ321" s="701"/>
      <c r="BA321" s="701"/>
      <c r="BB321" s="701"/>
      <c r="BC321" s="701"/>
    </row>
    <row r="322" spans="1:55" s="702" customFormat="1" ht="35.1" customHeight="1">
      <c r="A322" s="703">
        <v>319</v>
      </c>
      <c r="B322" s="704" t="s">
        <v>2433</v>
      </c>
      <c r="C322" s="705" t="s">
        <v>685</v>
      </c>
      <c r="D322" s="706">
        <v>350000</v>
      </c>
      <c r="E322" s="706">
        <v>350000</v>
      </c>
      <c r="F322" s="707" t="s">
        <v>2201</v>
      </c>
      <c r="G322" s="699"/>
      <c r="H322" s="700"/>
      <c r="I322" s="700" t="s">
        <v>2061</v>
      </c>
      <c r="J322" s="700"/>
      <c r="K322" s="700"/>
      <c r="L322" s="700"/>
      <c r="M322" s="701"/>
      <c r="N322" s="701"/>
      <c r="O322" s="701"/>
      <c r="P322" s="701"/>
      <c r="Q322" s="701"/>
      <c r="R322" s="701"/>
      <c r="S322" s="701"/>
      <c r="T322" s="701"/>
      <c r="U322" s="701"/>
      <c r="V322" s="701"/>
      <c r="W322" s="701"/>
      <c r="X322" s="701"/>
      <c r="Y322" s="701"/>
      <c r="Z322" s="701"/>
      <c r="AA322" s="701"/>
      <c r="AB322" s="701"/>
      <c r="AC322" s="701"/>
      <c r="AD322" s="701"/>
      <c r="AE322" s="701"/>
      <c r="AF322" s="701"/>
      <c r="AG322" s="701"/>
      <c r="AH322" s="701"/>
      <c r="AI322" s="701"/>
      <c r="AJ322" s="701"/>
      <c r="AK322" s="701"/>
      <c r="AL322" s="701"/>
      <c r="AM322" s="701"/>
      <c r="AN322" s="701"/>
      <c r="AO322" s="701"/>
      <c r="AP322" s="701"/>
      <c r="AQ322" s="701"/>
      <c r="AR322" s="701"/>
      <c r="AS322" s="701"/>
      <c r="AT322" s="701"/>
      <c r="AU322" s="701"/>
      <c r="AV322" s="701"/>
      <c r="AW322" s="701"/>
      <c r="AX322" s="701"/>
      <c r="AY322" s="701"/>
      <c r="AZ322" s="701"/>
      <c r="BA322" s="701"/>
      <c r="BB322" s="701"/>
      <c r="BC322" s="701"/>
    </row>
    <row r="323" spans="1:55" s="702" customFormat="1" ht="35.1" customHeight="1">
      <c r="A323" s="703">
        <v>320</v>
      </c>
      <c r="B323" s="704" t="s">
        <v>2434</v>
      </c>
      <c r="C323" s="705" t="s">
        <v>685</v>
      </c>
      <c r="D323" s="706">
        <v>350000</v>
      </c>
      <c r="E323" s="706">
        <v>350000</v>
      </c>
      <c r="F323" s="707" t="s">
        <v>2201</v>
      </c>
      <c r="G323" s="699"/>
      <c r="H323" s="700"/>
      <c r="I323" s="700" t="s">
        <v>2061</v>
      </c>
      <c r="J323" s="700"/>
      <c r="K323" s="700"/>
      <c r="L323" s="700"/>
      <c r="M323" s="701"/>
      <c r="N323" s="701"/>
      <c r="O323" s="701"/>
      <c r="P323" s="701"/>
      <c r="Q323" s="701"/>
      <c r="R323" s="701"/>
      <c r="S323" s="701"/>
      <c r="T323" s="701"/>
      <c r="U323" s="701"/>
      <c r="V323" s="701"/>
      <c r="W323" s="701"/>
      <c r="X323" s="701"/>
      <c r="Y323" s="701"/>
      <c r="Z323" s="701"/>
      <c r="AA323" s="701"/>
      <c r="AB323" s="701"/>
      <c r="AC323" s="701"/>
      <c r="AD323" s="701"/>
      <c r="AE323" s="701"/>
      <c r="AF323" s="701"/>
      <c r="AG323" s="701"/>
      <c r="AH323" s="701"/>
      <c r="AI323" s="701"/>
      <c r="AJ323" s="701"/>
      <c r="AK323" s="701"/>
      <c r="AL323" s="701"/>
      <c r="AM323" s="701"/>
      <c r="AN323" s="701"/>
      <c r="AO323" s="701"/>
      <c r="AP323" s="701"/>
      <c r="AQ323" s="701"/>
      <c r="AR323" s="701"/>
      <c r="AS323" s="701"/>
      <c r="AT323" s="701"/>
      <c r="AU323" s="701"/>
      <c r="AV323" s="701"/>
      <c r="AW323" s="701"/>
      <c r="AX323" s="701"/>
      <c r="AY323" s="701"/>
      <c r="AZ323" s="701"/>
      <c r="BA323" s="701"/>
      <c r="BB323" s="701"/>
      <c r="BC323" s="701"/>
    </row>
    <row r="324" spans="1:55" s="702" customFormat="1" ht="35.1" customHeight="1">
      <c r="A324" s="703">
        <v>321</v>
      </c>
      <c r="B324" s="704" t="s">
        <v>2041</v>
      </c>
      <c r="C324" s="705" t="s">
        <v>1808</v>
      </c>
      <c r="D324" s="708">
        <v>19000</v>
      </c>
      <c r="E324" s="708">
        <v>19000</v>
      </c>
      <c r="F324" s="707" t="s">
        <v>2201</v>
      </c>
      <c r="G324" s="699"/>
      <c r="H324" s="700"/>
      <c r="I324" s="700" t="s">
        <v>2061</v>
      </c>
      <c r="J324" s="700"/>
      <c r="K324" s="700"/>
      <c r="L324" s="700"/>
      <c r="M324" s="701"/>
      <c r="N324" s="701"/>
      <c r="O324" s="701"/>
      <c r="P324" s="701"/>
      <c r="Q324" s="701"/>
      <c r="R324" s="701"/>
      <c r="S324" s="701"/>
      <c r="T324" s="701"/>
      <c r="U324" s="701"/>
      <c r="V324" s="701"/>
      <c r="W324" s="701"/>
      <c r="X324" s="701"/>
      <c r="Y324" s="701"/>
      <c r="Z324" s="701"/>
      <c r="AA324" s="701"/>
      <c r="AB324" s="701"/>
      <c r="AC324" s="701"/>
      <c r="AD324" s="701"/>
      <c r="AE324" s="701"/>
      <c r="AF324" s="701"/>
      <c r="AG324" s="701"/>
      <c r="AH324" s="701"/>
      <c r="AI324" s="701"/>
      <c r="AJ324" s="701"/>
      <c r="AK324" s="701"/>
      <c r="AL324" s="701"/>
      <c r="AM324" s="701"/>
      <c r="AN324" s="701"/>
      <c r="AO324" s="701"/>
      <c r="AP324" s="701"/>
      <c r="AQ324" s="701"/>
      <c r="AR324" s="701"/>
      <c r="AS324" s="701"/>
      <c r="AT324" s="701"/>
      <c r="AU324" s="701"/>
      <c r="AV324" s="701"/>
      <c r="AW324" s="701"/>
      <c r="AX324" s="701"/>
      <c r="AY324" s="701"/>
      <c r="AZ324" s="701"/>
      <c r="BA324" s="701"/>
      <c r="BB324" s="701"/>
      <c r="BC324" s="701"/>
    </row>
    <row r="325" spans="1:55" s="702" customFormat="1" ht="35.1" customHeight="1">
      <c r="A325" s="703">
        <v>322</v>
      </c>
      <c r="B325" s="704" t="s">
        <v>1892</v>
      </c>
      <c r="C325" s="705" t="s">
        <v>1730</v>
      </c>
      <c r="D325" s="706">
        <v>142500</v>
      </c>
      <c r="E325" s="706">
        <v>142500</v>
      </c>
      <c r="F325" s="707" t="s">
        <v>2084</v>
      </c>
      <c r="G325" s="699"/>
      <c r="H325" s="700"/>
      <c r="I325" s="700" t="s">
        <v>2061</v>
      </c>
      <c r="J325" s="700"/>
      <c r="K325" s="700"/>
      <c r="L325" s="700"/>
      <c r="M325" s="701"/>
      <c r="N325" s="701"/>
      <c r="O325" s="701"/>
      <c r="P325" s="701"/>
      <c r="Q325" s="701"/>
      <c r="R325" s="701"/>
      <c r="S325" s="701"/>
      <c r="T325" s="701"/>
      <c r="U325" s="701"/>
      <c r="V325" s="701"/>
      <c r="W325" s="701"/>
      <c r="X325" s="701"/>
      <c r="Y325" s="701"/>
      <c r="Z325" s="701"/>
      <c r="AA325" s="701"/>
      <c r="AB325" s="701"/>
      <c r="AC325" s="701"/>
      <c r="AD325" s="701"/>
      <c r="AE325" s="701"/>
      <c r="AF325" s="701"/>
      <c r="AG325" s="701"/>
      <c r="AH325" s="701"/>
      <c r="AI325" s="701"/>
      <c r="AJ325" s="701"/>
      <c r="AK325" s="701"/>
      <c r="AL325" s="701"/>
      <c r="AM325" s="701"/>
      <c r="AN325" s="701"/>
      <c r="AO325" s="701"/>
      <c r="AP325" s="701"/>
      <c r="AQ325" s="701"/>
      <c r="AR325" s="701"/>
      <c r="AS325" s="701"/>
      <c r="AT325" s="701"/>
      <c r="AU325" s="701"/>
      <c r="AV325" s="701"/>
      <c r="AW325" s="701"/>
      <c r="AX325" s="701"/>
      <c r="AY325" s="701"/>
      <c r="AZ325" s="701"/>
      <c r="BA325" s="701"/>
      <c r="BB325" s="701"/>
      <c r="BC325" s="701"/>
    </row>
    <row r="326" spans="1:55" s="702" customFormat="1" ht="45">
      <c r="A326" s="703">
        <v>323</v>
      </c>
      <c r="B326" s="704" t="s">
        <v>2435</v>
      </c>
      <c r="C326" s="705" t="s">
        <v>655</v>
      </c>
      <c r="D326" s="706">
        <f>130680+62400</f>
        <v>193080</v>
      </c>
      <c r="E326" s="706">
        <f>130680+62400</f>
        <v>193080</v>
      </c>
      <c r="F326" s="707" t="s">
        <v>2193</v>
      </c>
      <c r="G326" s="699"/>
      <c r="H326" s="700"/>
      <c r="I326" s="700" t="s">
        <v>2061</v>
      </c>
      <c r="J326" s="700"/>
      <c r="K326" s="700"/>
      <c r="L326" s="700"/>
      <c r="M326" s="701"/>
      <c r="N326" s="701"/>
      <c r="O326" s="701"/>
      <c r="P326" s="701"/>
      <c r="Q326" s="701"/>
      <c r="R326" s="701"/>
      <c r="S326" s="701"/>
      <c r="T326" s="701"/>
      <c r="U326" s="701"/>
      <c r="V326" s="701"/>
      <c r="W326" s="701"/>
      <c r="X326" s="701"/>
      <c r="Y326" s="701"/>
      <c r="Z326" s="701"/>
      <c r="AA326" s="701"/>
      <c r="AB326" s="701"/>
      <c r="AC326" s="701"/>
      <c r="AD326" s="701"/>
      <c r="AE326" s="701"/>
      <c r="AF326" s="701"/>
      <c r="AG326" s="701"/>
      <c r="AH326" s="701"/>
      <c r="AI326" s="701"/>
      <c r="AJ326" s="701"/>
      <c r="AK326" s="701"/>
      <c r="AL326" s="701"/>
      <c r="AM326" s="701"/>
      <c r="AN326" s="701"/>
      <c r="AO326" s="701"/>
      <c r="AP326" s="701"/>
      <c r="AQ326" s="701"/>
      <c r="AR326" s="701"/>
      <c r="AS326" s="701"/>
      <c r="AT326" s="701"/>
      <c r="AU326" s="701"/>
      <c r="AV326" s="701"/>
      <c r="AW326" s="701"/>
      <c r="AX326" s="701"/>
      <c r="AY326" s="701"/>
      <c r="AZ326" s="701"/>
      <c r="BA326" s="701"/>
      <c r="BB326" s="701"/>
      <c r="BC326" s="701"/>
    </row>
    <row r="327" spans="1:55" s="702" customFormat="1" ht="35.1" customHeight="1">
      <c r="A327" s="703">
        <v>324</v>
      </c>
      <c r="B327" s="704" t="s">
        <v>2436</v>
      </c>
      <c r="C327" s="705" t="s">
        <v>655</v>
      </c>
      <c r="D327" s="706">
        <v>3000</v>
      </c>
      <c r="E327" s="706">
        <v>3000</v>
      </c>
      <c r="F327" s="707" t="s">
        <v>2084</v>
      </c>
      <c r="G327" s="699"/>
      <c r="H327" s="700"/>
      <c r="I327" s="700"/>
      <c r="J327" s="700"/>
      <c r="K327" s="700"/>
      <c r="L327" s="700"/>
      <c r="M327" s="701"/>
      <c r="N327" s="701"/>
      <c r="O327" s="701"/>
      <c r="P327" s="701"/>
      <c r="Q327" s="701"/>
      <c r="R327" s="701"/>
      <c r="S327" s="701"/>
      <c r="T327" s="701"/>
      <c r="U327" s="701"/>
      <c r="V327" s="701"/>
      <c r="W327" s="701"/>
      <c r="X327" s="701"/>
      <c r="Y327" s="701"/>
      <c r="Z327" s="701"/>
      <c r="AA327" s="701"/>
      <c r="AB327" s="701"/>
      <c r="AC327" s="701"/>
      <c r="AD327" s="701"/>
      <c r="AE327" s="701"/>
      <c r="AF327" s="701"/>
      <c r="AG327" s="701"/>
      <c r="AH327" s="701"/>
      <c r="AI327" s="701"/>
      <c r="AJ327" s="701"/>
      <c r="AK327" s="701"/>
      <c r="AL327" s="701"/>
      <c r="AM327" s="701"/>
      <c r="AN327" s="701"/>
      <c r="AO327" s="701"/>
      <c r="AP327" s="701"/>
      <c r="AQ327" s="701"/>
      <c r="AR327" s="701"/>
      <c r="AS327" s="701"/>
      <c r="AT327" s="701"/>
      <c r="AU327" s="701"/>
      <c r="AV327" s="701"/>
      <c r="AW327" s="701"/>
      <c r="AX327" s="701"/>
      <c r="AY327" s="701"/>
      <c r="AZ327" s="701"/>
      <c r="BA327" s="701"/>
      <c r="BB327" s="701"/>
      <c r="BC327" s="701"/>
    </row>
    <row r="328" spans="1:55" s="702" customFormat="1" ht="35.1" customHeight="1">
      <c r="A328" s="703">
        <v>325</v>
      </c>
      <c r="B328" s="704" t="s">
        <v>2437</v>
      </c>
      <c r="C328" s="705" t="s">
        <v>655</v>
      </c>
      <c r="D328" s="706">
        <v>4200</v>
      </c>
      <c r="E328" s="706">
        <v>4200</v>
      </c>
      <c r="F328" s="707" t="s">
        <v>2084</v>
      </c>
      <c r="G328" s="699"/>
      <c r="H328" s="700"/>
      <c r="I328" s="700"/>
      <c r="J328" s="700"/>
      <c r="K328" s="700"/>
      <c r="L328" s="700"/>
      <c r="M328" s="701"/>
      <c r="N328" s="701"/>
      <c r="O328" s="701"/>
      <c r="P328" s="701"/>
      <c r="Q328" s="701"/>
      <c r="R328" s="701"/>
      <c r="S328" s="701"/>
      <c r="T328" s="701"/>
      <c r="U328" s="701"/>
      <c r="V328" s="701"/>
      <c r="W328" s="701"/>
      <c r="X328" s="701"/>
      <c r="Y328" s="701"/>
      <c r="Z328" s="701"/>
      <c r="AA328" s="701"/>
      <c r="AB328" s="701"/>
      <c r="AC328" s="701"/>
      <c r="AD328" s="701"/>
      <c r="AE328" s="701"/>
      <c r="AF328" s="701"/>
      <c r="AG328" s="701"/>
      <c r="AH328" s="701"/>
      <c r="AI328" s="701"/>
      <c r="AJ328" s="701"/>
      <c r="AK328" s="701"/>
      <c r="AL328" s="701"/>
      <c r="AM328" s="701"/>
      <c r="AN328" s="701"/>
      <c r="AO328" s="701"/>
      <c r="AP328" s="701"/>
      <c r="AQ328" s="701"/>
      <c r="AR328" s="701"/>
      <c r="AS328" s="701"/>
      <c r="AT328" s="701"/>
      <c r="AU328" s="701"/>
      <c r="AV328" s="701"/>
      <c r="AW328" s="701"/>
      <c r="AX328" s="701"/>
      <c r="AY328" s="701"/>
      <c r="AZ328" s="701"/>
      <c r="BA328" s="701"/>
      <c r="BB328" s="701"/>
      <c r="BC328" s="701"/>
    </row>
    <row r="329" spans="1:55" s="702" customFormat="1" ht="35.1" customHeight="1">
      <c r="A329" s="703">
        <v>326</v>
      </c>
      <c r="B329" s="704" t="s">
        <v>2438</v>
      </c>
      <c r="C329" s="705" t="s">
        <v>655</v>
      </c>
      <c r="D329" s="706">
        <v>13200</v>
      </c>
      <c r="E329" s="706">
        <v>13200</v>
      </c>
      <c r="F329" s="707" t="s">
        <v>2084</v>
      </c>
      <c r="G329" s="699"/>
      <c r="H329" s="700"/>
      <c r="I329" s="700"/>
      <c r="J329" s="700"/>
      <c r="K329" s="700"/>
      <c r="L329" s="700"/>
      <c r="M329" s="701"/>
      <c r="N329" s="701"/>
      <c r="O329" s="701"/>
      <c r="P329" s="701"/>
      <c r="Q329" s="701"/>
      <c r="R329" s="701"/>
      <c r="S329" s="701"/>
      <c r="T329" s="701"/>
      <c r="U329" s="701"/>
      <c r="V329" s="701"/>
      <c r="W329" s="701"/>
      <c r="X329" s="701"/>
      <c r="Y329" s="701"/>
      <c r="Z329" s="701"/>
      <c r="AA329" s="701"/>
      <c r="AB329" s="701"/>
      <c r="AC329" s="701"/>
      <c r="AD329" s="701"/>
      <c r="AE329" s="701"/>
      <c r="AF329" s="701"/>
      <c r="AG329" s="701"/>
      <c r="AH329" s="701"/>
      <c r="AI329" s="701"/>
      <c r="AJ329" s="701"/>
      <c r="AK329" s="701"/>
      <c r="AL329" s="701"/>
      <c r="AM329" s="701"/>
      <c r="AN329" s="701"/>
      <c r="AO329" s="701"/>
      <c r="AP329" s="701"/>
      <c r="AQ329" s="701"/>
      <c r="AR329" s="701"/>
      <c r="AS329" s="701"/>
      <c r="AT329" s="701"/>
      <c r="AU329" s="701"/>
      <c r="AV329" s="701"/>
      <c r="AW329" s="701"/>
      <c r="AX329" s="701"/>
      <c r="AY329" s="701"/>
      <c r="AZ329" s="701"/>
      <c r="BA329" s="701"/>
      <c r="BB329" s="701"/>
      <c r="BC329" s="701"/>
    </row>
    <row r="330" spans="1:55" s="702" customFormat="1" ht="35.1" customHeight="1">
      <c r="A330" s="703">
        <v>327</v>
      </c>
      <c r="B330" s="704" t="s">
        <v>2439</v>
      </c>
      <c r="C330" s="705" t="s">
        <v>655</v>
      </c>
      <c r="D330" s="706">
        <v>13300</v>
      </c>
      <c r="E330" s="706">
        <v>13300</v>
      </c>
      <c r="F330" s="707" t="s">
        <v>2084</v>
      </c>
      <c r="G330" s="699"/>
      <c r="H330" s="700"/>
      <c r="I330" s="700"/>
      <c r="J330" s="700"/>
      <c r="K330" s="700"/>
      <c r="L330" s="700"/>
      <c r="M330" s="701"/>
      <c r="N330" s="701"/>
      <c r="O330" s="701"/>
      <c r="P330" s="701"/>
      <c r="Q330" s="701"/>
      <c r="R330" s="701"/>
      <c r="S330" s="701"/>
      <c r="T330" s="701"/>
      <c r="U330" s="701"/>
      <c r="V330" s="701"/>
      <c r="W330" s="701"/>
      <c r="X330" s="701"/>
      <c r="Y330" s="701"/>
      <c r="Z330" s="701"/>
      <c r="AA330" s="701"/>
      <c r="AB330" s="701"/>
      <c r="AC330" s="701"/>
      <c r="AD330" s="701"/>
      <c r="AE330" s="701"/>
      <c r="AF330" s="701"/>
      <c r="AG330" s="701"/>
      <c r="AH330" s="701"/>
      <c r="AI330" s="701"/>
      <c r="AJ330" s="701"/>
      <c r="AK330" s="701"/>
      <c r="AL330" s="701"/>
      <c r="AM330" s="701"/>
      <c r="AN330" s="701"/>
      <c r="AO330" s="701"/>
      <c r="AP330" s="701"/>
      <c r="AQ330" s="701"/>
      <c r="AR330" s="701"/>
      <c r="AS330" s="701"/>
      <c r="AT330" s="701"/>
      <c r="AU330" s="701"/>
      <c r="AV330" s="701"/>
      <c r="AW330" s="701"/>
      <c r="AX330" s="701"/>
      <c r="AY330" s="701"/>
      <c r="AZ330" s="701"/>
      <c r="BA330" s="701"/>
      <c r="BB330" s="701"/>
      <c r="BC330" s="701"/>
    </row>
    <row r="331" spans="1:55" s="702" customFormat="1" ht="35.1" customHeight="1">
      <c r="A331" s="703">
        <v>328</v>
      </c>
      <c r="B331" s="704" t="s">
        <v>2440</v>
      </c>
      <c r="C331" s="705" t="s">
        <v>655</v>
      </c>
      <c r="D331" s="706">
        <v>23000</v>
      </c>
      <c r="E331" s="706">
        <v>23000</v>
      </c>
      <c r="F331" s="707" t="s">
        <v>2084</v>
      </c>
      <c r="G331" s="699"/>
      <c r="H331" s="700"/>
      <c r="I331" s="700"/>
      <c r="J331" s="700"/>
      <c r="K331" s="700"/>
      <c r="L331" s="700"/>
      <c r="M331" s="701"/>
      <c r="N331" s="701"/>
      <c r="O331" s="701"/>
      <c r="P331" s="701"/>
      <c r="Q331" s="701"/>
      <c r="R331" s="701"/>
      <c r="S331" s="701"/>
      <c r="T331" s="701"/>
      <c r="U331" s="701"/>
      <c r="V331" s="701"/>
      <c r="W331" s="701"/>
      <c r="X331" s="701"/>
      <c r="Y331" s="701"/>
      <c r="Z331" s="701"/>
      <c r="AA331" s="701"/>
      <c r="AB331" s="701"/>
      <c r="AC331" s="701"/>
      <c r="AD331" s="701"/>
      <c r="AE331" s="701"/>
      <c r="AF331" s="701"/>
      <c r="AG331" s="701"/>
      <c r="AH331" s="701"/>
      <c r="AI331" s="701"/>
      <c r="AJ331" s="701"/>
      <c r="AK331" s="701"/>
      <c r="AL331" s="701"/>
      <c r="AM331" s="701"/>
      <c r="AN331" s="701"/>
      <c r="AO331" s="701"/>
      <c r="AP331" s="701"/>
      <c r="AQ331" s="701"/>
      <c r="AR331" s="701"/>
      <c r="AS331" s="701"/>
      <c r="AT331" s="701"/>
      <c r="AU331" s="701"/>
      <c r="AV331" s="701"/>
      <c r="AW331" s="701"/>
      <c r="AX331" s="701"/>
      <c r="AY331" s="701"/>
      <c r="AZ331" s="701"/>
      <c r="BA331" s="701"/>
      <c r="BB331" s="701"/>
      <c r="BC331" s="701"/>
    </row>
    <row r="332" spans="1:55" s="702" customFormat="1" ht="35.1" customHeight="1">
      <c r="A332" s="703">
        <v>329</v>
      </c>
      <c r="B332" s="704" t="s">
        <v>2441</v>
      </c>
      <c r="C332" s="705" t="s">
        <v>655</v>
      </c>
      <c r="D332" s="706">
        <v>2200</v>
      </c>
      <c r="E332" s="706">
        <v>2200</v>
      </c>
      <c r="F332" s="707" t="s">
        <v>2084</v>
      </c>
      <c r="G332" s="699"/>
      <c r="H332" s="700"/>
      <c r="I332" s="700"/>
      <c r="J332" s="700"/>
      <c r="K332" s="700"/>
      <c r="L332" s="700"/>
      <c r="M332" s="701"/>
      <c r="N332" s="701"/>
      <c r="O332" s="701"/>
      <c r="P332" s="701"/>
      <c r="Q332" s="701"/>
      <c r="R332" s="701"/>
      <c r="S332" s="701"/>
      <c r="T332" s="701"/>
      <c r="U332" s="701"/>
      <c r="V332" s="701"/>
      <c r="W332" s="701"/>
      <c r="X332" s="701"/>
      <c r="Y332" s="701"/>
      <c r="Z332" s="701"/>
      <c r="AA332" s="701"/>
      <c r="AB332" s="701"/>
      <c r="AC332" s="701"/>
      <c r="AD332" s="701"/>
      <c r="AE332" s="701"/>
      <c r="AF332" s="701"/>
      <c r="AG332" s="701"/>
      <c r="AH332" s="701"/>
      <c r="AI332" s="701"/>
      <c r="AJ332" s="701"/>
      <c r="AK332" s="701"/>
      <c r="AL332" s="701"/>
      <c r="AM332" s="701"/>
      <c r="AN332" s="701"/>
      <c r="AO332" s="701"/>
      <c r="AP332" s="701"/>
      <c r="AQ332" s="701"/>
      <c r="AR332" s="701"/>
      <c r="AS332" s="701"/>
      <c r="AT332" s="701"/>
      <c r="AU332" s="701"/>
      <c r="AV332" s="701"/>
      <c r="AW332" s="701"/>
      <c r="AX332" s="701"/>
      <c r="AY332" s="701"/>
      <c r="AZ332" s="701"/>
      <c r="BA332" s="701"/>
      <c r="BB332" s="701"/>
      <c r="BC332" s="701"/>
    </row>
    <row r="333" spans="1:55" s="702" customFormat="1" ht="35.1" customHeight="1">
      <c r="A333" s="703">
        <v>330</v>
      </c>
      <c r="B333" s="704" t="s">
        <v>2442</v>
      </c>
      <c r="C333" s="705" t="s">
        <v>655</v>
      </c>
      <c r="D333" s="706">
        <v>3200</v>
      </c>
      <c r="E333" s="706">
        <v>3200</v>
      </c>
      <c r="F333" s="707" t="s">
        <v>2084</v>
      </c>
      <c r="G333" s="699"/>
      <c r="H333" s="700"/>
      <c r="I333" s="700"/>
      <c r="J333" s="700"/>
      <c r="K333" s="700"/>
      <c r="L333" s="700"/>
      <c r="M333" s="701"/>
      <c r="N333" s="701"/>
      <c r="O333" s="701"/>
      <c r="P333" s="701"/>
      <c r="Q333" s="701"/>
      <c r="R333" s="701"/>
      <c r="S333" s="701"/>
      <c r="T333" s="701"/>
      <c r="U333" s="701"/>
      <c r="V333" s="701"/>
      <c r="W333" s="701"/>
      <c r="X333" s="701"/>
      <c r="Y333" s="701"/>
      <c r="Z333" s="701"/>
      <c r="AA333" s="701"/>
      <c r="AB333" s="701"/>
      <c r="AC333" s="701"/>
      <c r="AD333" s="701"/>
      <c r="AE333" s="701"/>
      <c r="AF333" s="701"/>
      <c r="AG333" s="701"/>
      <c r="AH333" s="701"/>
      <c r="AI333" s="701"/>
      <c r="AJ333" s="701"/>
      <c r="AK333" s="701"/>
      <c r="AL333" s="701"/>
      <c r="AM333" s="701"/>
      <c r="AN333" s="701"/>
      <c r="AO333" s="701"/>
      <c r="AP333" s="701"/>
      <c r="AQ333" s="701"/>
      <c r="AR333" s="701"/>
      <c r="AS333" s="701"/>
      <c r="AT333" s="701"/>
      <c r="AU333" s="701"/>
      <c r="AV333" s="701"/>
      <c r="AW333" s="701"/>
      <c r="AX333" s="701"/>
      <c r="AY333" s="701"/>
      <c r="AZ333" s="701"/>
      <c r="BA333" s="701"/>
      <c r="BB333" s="701"/>
      <c r="BC333" s="701"/>
    </row>
    <row r="334" spans="1:55" s="702" customFormat="1" ht="35.1" customHeight="1">
      <c r="A334" s="703">
        <v>331</v>
      </c>
      <c r="B334" s="704" t="s">
        <v>2443</v>
      </c>
      <c r="C334" s="705" t="s">
        <v>655</v>
      </c>
      <c r="D334" s="706">
        <v>6800</v>
      </c>
      <c r="E334" s="706">
        <v>6800</v>
      </c>
      <c r="F334" s="707" t="s">
        <v>2084</v>
      </c>
      <c r="G334" s="699"/>
      <c r="H334" s="700"/>
      <c r="I334" s="700"/>
      <c r="J334" s="700"/>
      <c r="K334" s="700"/>
      <c r="L334" s="700"/>
      <c r="M334" s="701"/>
      <c r="N334" s="701"/>
      <c r="O334" s="701"/>
      <c r="P334" s="701"/>
      <c r="Q334" s="701"/>
      <c r="R334" s="701"/>
      <c r="S334" s="701"/>
      <c r="T334" s="701"/>
      <c r="U334" s="701"/>
      <c r="V334" s="701"/>
      <c r="W334" s="701"/>
      <c r="X334" s="701"/>
      <c r="Y334" s="701"/>
      <c r="Z334" s="701"/>
      <c r="AA334" s="701"/>
      <c r="AB334" s="701"/>
      <c r="AC334" s="701"/>
      <c r="AD334" s="701"/>
      <c r="AE334" s="701"/>
      <c r="AF334" s="701"/>
      <c r="AG334" s="701"/>
      <c r="AH334" s="701"/>
      <c r="AI334" s="701"/>
      <c r="AJ334" s="701"/>
      <c r="AK334" s="701"/>
      <c r="AL334" s="701"/>
      <c r="AM334" s="701"/>
      <c r="AN334" s="701"/>
      <c r="AO334" s="701"/>
      <c r="AP334" s="701"/>
      <c r="AQ334" s="701"/>
      <c r="AR334" s="701"/>
      <c r="AS334" s="701"/>
      <c r="AT334" s="701"/>
      <c r="AU334" s="701"/>
      <c r="AV334" s="701"/>
      <c r="AW334" s="701"/>
      <c r="AX334" s="701"/>
      <c r="AY334" s="701"/>
      <c r="AZ334" s="701"/>
      <c r="BA334" s="701"/>
      <c r="BB334" s="701"/>
      <c r="BC334" s="701"/>
    </row>
    <row r="335" spans="1:55" s="702" customFormat="1" ht="35.1" customHeight="1">
      <c r="A335" s="703">
        <v>332</v>
      </c>
      <c r="B335" s="704" t="s">
        <v>2444</v>
      </c>
      <c r="C335" s="705" t="s">
        <v>655</v>
      </c>
      <c r="D335" s="706">
        <v>15800</v>
      </c>
      <c r="E335" s="706">
        <v>15800</v>
      </c>
      <c r="F335" s="707" t="s">
        <v>2084</v>
      </c>
      <c r="G335" s="699"/>
      <c r="H335" s="700"/>
      <c r="I335" s="700"/>
      <c r="J335" s="700"/>
      <c r="K335" s="700"/>
      <c r="L335" s="700"/>
      <c r="M335" s="701"/>
      <c r="N335" s="701"/>
      <c r="O335" s="701"/>
      <c r="P335" s="701"/>
      <c r="Q335" s="701"/>
      <c r="R335" s="701"/>
      <c r="S335" s="701"/>
      <c r="T335" s="701"/>
      <c r="U335" s="701"/>
      <c r="V335" s="701"/>
      <c r="W335" s="701"/>
      <c r="X335" s="701"/>
      <c r="Y335" s="701"/>
      <c r="Z335" s="701"/>
      <c r="AA335" s="701"/>
      <c r="AB335" s="701"/>
      <c r="AC335" s="701"/>
      <c r="AD335" s="701"/>
      <c r="AE335" s="701"/>
      <c r="AF335" s="701"/>
      <c r="AG335" s="701"/>
      <c r="AH335" s="701"/>
      <c r="AI335" s="701"/>
      <c r="AJ335" s="701"/>
      <c r="AK335" s="701"/>
      <c r="AL335" s="701"/>
      <c r="AM335" s="701"/>
      <c r="AN335" s="701"/>
      <c r="AO335" s="701"/>
      <c r="AP335" s="701"/>
      <c r="AQ335" s="701"/>
      <c r="AR335" s="701"/>
      <c r="AS335" s="701"/>
      <c r="AT335" s="701"/>
      <c r="AU335" s="701"/>
      <c r="AV335" s="701"/>
      <c r="AW335" s="701"/>
      <c r="AX335" s="701"/>
      <c r="AY335" s="701"/>
      <c r="AZ335" s="701"/>
      <c r="BA335" s="701"/>
      <c r="BB335" s="701"/>
      <c r="BC335" s="701"/>
    </row>
    <row r="336" spans="1:55" s="702" customFormat="1" ht="35.1" customHeight="1">
      <c r="A336" s="703">
        <v>333</v>
      </c>
      <c r="B336" s="704" t="s">
        <v>2445</v>
      </c>
      <c r="C336" s="705" t="s">
        <v>655</v>
      </c>
      <c r="D336" s="706">
        <v>2200</v>
      </c>
      <c r="E336" s="706">
        <v>2200</v>
      </c>
      <c r="F336" s="707" t="s">
        <v>2084</v>
      </c>
      <c r="G336" s="699"/>
      <c r="H336" s="700"/>
      <c r="I336" s="700"/>
      <c r="J336" s="700"/>
      <c r="K336" s="700"/>
      <c r="L336" s="700"/>
      <c r="M336" s="701"/>
      <c r="N336" s="701"/>
      <c r="O336" s="701"/>
      <c r="P336" s="701"/>
      <c r="Q336" s="701"/>
      <c r="R336" s="701"/>
      <c r="S336" s="701"/>
      <c r="T336" s="701"/>
      <c r="U336" s="701"/>
      <c r="V336" s="701"/>
      <c r="W336" s="701"/>
      <c r="X336" s="701"/>
      <c r="Y336" s="701"/>
      <c r="Z336" s="701"/>
      <c r="AA336" s="701"/>
      <c r="AB336" s="701"/>
      <c r="AC336" s="701"/>
      <c r="AD336" s="701"/>
      <c r="AE336" s="701"/>
      <c r="AF336" s="701"/>
      <c r="AG336" s="701"/>
      <c r="AH336" s="701"/>
      <c r="AI336" s="701"/>
      <c r="AJ336" s="701"/>
      <c r="AK336" s="701"/>
      <c r="AL336" s="701"/>
      <c r="AM336" s="701"/>
      <c r="AN336" s="701"/>
      <c r="AO336" s="701"/>
      <c r="AP336" s="701"/>
      <c r="AQ336" s="701"/>
      <c r="AR336" s="701"/>
      <c r="AS336" s="701"/>
      <c r="AT336" s="701"/>
      <c r="AU336" s="701"/>
      <c r="AV336" s="701"/>
      <c r="AW336" s="701"/>
      <c r="AX336" s="701"/>
      <c r="AY336" s="701"/>
      <c r="AZ336" s="701"/>
      <c r="BA336" s="701"/>
      <c r="BB336" s="701"/>
      <c r="BC336" s="701"/>
    </row>
    <row r="337" spans="1:55" s="702" customFormat="1" ht="35.1" customHeight="1">
      <c r="A337" s="703">
        <v>334</v>
      </c>
      <c r="B337" s="704" t="s">
        <v>2446</v>
      </c>
      <c r="C337" s="705" t="s">
        <v>655</v>
      </c>
      <c r="D337" s="706">
        <v>2000</v>
      </c>
      <c r="E337" s="706">
        <v>2000</v>
      </c>
      <c r="F337" s="707" t="s">
        <v>2084</v>
      </c>
      <c r="G337" s="699"/>
      <c r="H337" s="700"/>
      <c r="I337" s="700"/>
      <c r="J337" s="700"/>
      <c r="K337" s="700"/>
      <c r="L337" s="700"/>
      <c r="M337" s="701"/>
      <c r="N337" s="701"/>
      <c r="O337" s="701"/>
      <c r="P337" s="701"/>
      <c r="Q337" s="701"/>
      <c r="R337" s="701"/>
      <c r="S337" s="701"/>
      <c r="T337" s="701"/>
      <c r="U337" s="701"/>
      <c r="V337" s="701"/>
      <c r="W337" s="701"/>
      <c r="X337" s="701"/>
      <c r="Y337" s="701"/>
      <c r="Z337" s="701"/>
      <c r="AA337" s="701"/>
      <c r="AB337" s="701"/>
      <c r="AC337" s="701"/>
      <c r="AD337" s="701"/>
      <c r="AE337" s="701"/>
      <c r="AF337" s="701"/>
      <c r="AG337" s="701"/>
      <c r="AH337" s="701"/>
      <c r="AI337" s="701"/>
      <c r="AJ337" s="701"/>
      <c r="AK337" s="701"/>
      <c r="AL337" s="701"/>
      <c r="AM337" s="701"/>
      <c r="AN337" s="701"/>
      <c r="AO337" s="701"/>
      <c r="AP337" s="701"/>
      <c r="AQ337" s="701"/>
      <c r="AR337" s="701"/>
      <c r="AS337" s="701"/>
      <c r="AT337" s="701"/>
      <c r="AU337" s="701"/>
      <c r="AV337" s="701"/>
      <c r="AW337" s="701"/>
      <c r="AX337" s="701"/>
      <c r="AY337" s="701"/>
      <c r="AZ337" s="701"/>
      <c r="BA337" s="701"/>
      <c r="BB337" s="701"/>
      <c r="BC337" s="701"/>
    </row>
    <row r="338" spans="1:55" s="702" customFormat="1" ht="35.1" customHeight="1">
      <c r="A338" s="703">
        <v>335</v>
      </c>
      <c r="B338" s="704" t="s">
        <v>2447</v>
      </c>
      <c r="C338" s="705" t="s">
        <v>655</v>
      </c>
      <c r="D338" s="706">
        <v>3000</v>
      </c>
      <c r="E338" s="706">
        <v>3000</v>
      </c>
      <c r="F338" s="707" t="s">
        <v>2084</v>
      </c>
      <c r="G338" s="699"/>
      <c r="H338" s="700"/>
      <c r="I338" s="700"/>
      <c r="J338" s="700"/>
      <c r="K338" s="700"/>
      <c r="L338" s="700"/>
      <c r="M338" s="701"/>
      <c r="N338" s="701"/>
      <c r="O338" s="701"/>
      <c r="P338" s="701"/>
      <c r="Q338" s="701"/>
      <c r="R338" s="701"/>
      <c r="S338" s="701"/>
      <c r="T338" s="701"/>
      <c r="U338" s="701"/>
      <c r="V338" s="701"/>
      <c r="W338" s="701"/>
      <c r="X338" s="701"/>
      <c r="Y338" s="701"/>
      <c r="Z338" s="701"/>
      <c r="AA338" s="701"/>
      <c r="AB338" s="701"/>
      <c r="AC338" s="701"/>
      <c r="AD338" s="701"/>
      <c r="AE338" s="701"/>
      <c r="AF338" s="701"/>
      <c r="AG338" s="701"/>
      <c r="AH338" s="701"/>
      <c r="AI338" s="701"/>
      <c r="AJ338" s="701"/>
      <c r="AK338" s="701"/>
      <c r="AL338" s="701"/>
      <c r="AM338" s="701"/>
      <c r="AN338" s="701"/>
      <c r="AO338" s="701"/>
      <c r="AP338" s="701"/>
      <c r="AQ338" s="701"/>
      <c r="AR338" s="701"/>
      <c r="AS338" s="701"/>
      <c r="AT338" s="701"/>
      <c r="AU338" s="701"/>
      <c r="AV338" s="701"/>
      <c r="AW338" s="701"/>
      <c r="AX338" s="701"/>
      <c r="AY338" s="701"/>
      <c r="AZ338" s="701"/>
      <c r="BA338" s="701"/>
      <c r="BB338" s="701"/>
      <c r="BC338" s="701"/>
    </row>
    <row r="339" spans="1:55" s="702" customFormat="1" ht="35.1" customHeight="1">
      <c r="A339" s="703">
        <v>336</v>
      </c>
      <c r="B339" s="704" t="s">
        <v>2448</v>
      </c>
      <c r="C339" s="705" t="s">
        <v>655</v>
      </c>
      <c r="D339" s="706">
        <v>82500</v>
      </c>
      <c r="E339" s="706">
        <v>82500</v>
      </c>
      <c r="F339" s="707" t="s">
        <v>2084</v>
      </c>
      <c r="G339" s="699"/>
      <c r="H339" s="700"/>
      <c r="I339" s="700"/>
      <c r="J339" s="700"/>
      <c r="K339" s="700"/>
      <c r="L339" s="700"/>
      <c r="M339" s="701"/>
      <c r="N339" s="701"/>
      <c r="O339" s="701"/>
      <c r="P339" s="701"/>
      <c r="Q339" s="701"/>
      <c r="R339" s="701"/>
      <c r="S339" s="701"/>
      <c r="T339" s="701"/>
      <c r="U339" s="701"/>
      <c r="V339" s="701"/>
      <c r="W339" s="701"/>
      <c r="X339" s="701"/>
      <c r="Y339" s="701"/>
      <c r="Z339" s="701"/>
      <c r="AA339" s="701"/>
      <c r="AB339" s="701"/>
      <c r="AC339" s="701"/>
      <c r="AD339" s="701"/>
      <c r="AE339" s="701"/>
      <c r="AF339" s="701"/>
      <c r="AG339" s="701"/>
      <c r="AH339" s="701"/>
      <c r="AI339" s="701"/>
      <c r="AJ339" s="701"/>
      <c r="AK339" s="701"/>
      <c r="AL339" s="701"/>
      <c r="AM339" s="701"/>
      <c r="AN339" s="701"/>
      <c r="AO339" s="701"/>
      <c r="AP339" s="701"/>
      <c r="AQ339" s="701"/>
      <c r="AR339" s="701"/>
      <c r="AS339" s="701"/>
      <c r="AT339" s="701"/>
      <c r="AU339" s="701"/>
      <c r="AV339" s="701"/>
      <c r="AW339" s="701"/>
      <c r="AX339" s="701"/>
      <c r="AY339" s="701"/>
      <c r="AZ339" s="701"/>
      <c r="BA339" s="701"/>
      <c r="BB339" s="701"/>
      <c r="BC339" s="701"/>
    </row>
    <row r="340" spans="1:55" s="702" customFormat="1" ht="35.1" customHeight="1">
      <c r="A340" s="703">
        <v>337</v>
      </c>
      <c r="B340" s="704" t="s">
        <v>2449</v>
      </c>
      <c r="C340" s="705" t="s">
        <v>655</v>
      </c>
      <c r="D340" s="706">
        <v>44100</v>
      </c>
      <c r="E340" s="706">
        <v>44100</v>
      </c>
      <c r="F340" s="707" t="s">
        <v>2084</v>
      </c>
      <c r="G340" s="699"/>
      <c r="H340" s="700"/>
      <c r="I340" s="700"/>
      <c r="J340" s="700"/>
      <c r="K340" s="700"/>
      <c r="L340" s="700"/>
      <c r="M340" s="701"/>
      <c r="N340" s="701"/>
      <c r="O340" s="701"/>
      <c r="P340" s="701"/>
      <c r="Q340" s="701"/>
      <c r="R340" s="701"/>
      <c r="S340" s="701"/>
      <c r="T340" s="701"/>
      <c r="U340" s="701"/>
      <c r="V340" s="701"/>
      <c r="W340" s="701"/>
      <c r="X340" s="701"/>
      <c r="Y340" s="701"/>
      <c r="Z340" s="701"/>
      <c r="AA340" s="701"/>
      <c r="AB340" s="701"/>
      <c r="AC340" s="701"/>
      <c r="AD340" s="701"/>
      <c r="AE340" s="701"/>
      <c r="AF340" s="701"/>
      <c r="AG340" s="701"/>
      <c r="AH340" s="701"/>
      <c r="AI340" s="701"/>
      <c r="AJ340" s="701"/>
      <c r="AK340" s="701"/>
      <c r="AL340" s="701"/>
      <c r="AM340" s="701"/>
      <c r="AN340" s="701"/>
      <c r="AO340" s="701"/>
      <c r="AP340" s="701"/>
      <c r="AQ340" s="701"/>
      <c r="AR340" s="701"/>
      <c r="AS340" s="701"/>
      <c r="AT340" s="701"/>
      <c r="AU340" s="701"/>
      <c r="AV340" s="701"/>
      <c r="AW340" s="701"/>
      <c r="AX340" s="701"/>
      <c r="AY340" s="701"/>
      <c r="AZ340" s="701"/>
      <c r="BA340" s="701"/>
      <c r="BB340" s="701"/>
      <c r="BC340" s="701"/>
    </row>
    <row r="341" spans="1:55" s="702" customFormat="1" ht="35.1" customHeight="1">
      <c r="A341" s="703">
        <v>338</v>
      </c>
      <c r="B341" s="704" t="s">
        <v>2450</v>
      </c>
      <c r="C341" s="705" t="s">
        <v>655</v>
      </c>
      <c r="D341" s="706">
        <v>24000</v>
      </c>
      <c r="E341" s="706">
        <v>24000</v>
      </c>
      <c r="F341" s="707" t="s">
        <v>2084</v>
      </c>
      <c r="G341" s="699"/>
      <c r="H341" s="700"/>
      <c r="I341" s="700"/>
      <c r="J341" s="700"/>
      <c r="K341" s="700"/>
      <c r="L341" s="700"/>
      <c r="M341" s="701"/>
      <c r="N341" s="701"/>
      <c r="O341" s="701"/>
      <c r="P341" s="701"/>
      <c r="Q341" s="701"/>
      <c r="R341" s="701"/>
      <c r="S341" s="701"/>
      <c r="T341" s="701"/>
      <c r="U341" s="701"/>
      <c r="V341" s="701"/>
      <c r="W341" s="701"/>
      <c r="X341" s="701"/>
      <c r="Y341" s="701"/>
      <c r="Z341" s="701"/>
      <c r="AA341" s="701"/>
      <c r="AB341" s="701"/>
      <c r="AC341" s="701"/>
      <c r="AD341" s="701"/>
      <c r="AE341" s="701"/>
      <c r="AF341" s="701"/>
      <c r="AG341" s="701"/>
      <c r="AH341" s="701"/>
      <c r="AI341" s="701"/>
      <c r="AJ341" s="701"/>
      <c r="AK341" s="701"/>
      <c r="AL341" s="701"/>
      <c r="AM341" s="701"/>
      <c r="AN341" s="701"/>
      <c r="AO341" s="701"/>
      <c r="AP341" s="701"/>
      <c r="AQ341" s="701"/>
      <c r="AR341" s="701"/>
      <c r="AS341" s="701"/>
      <c r="AT341" s="701"/>
      <c r="AU341" s="701"/>
      <c r="AV341" s="701"/>
      <c r="AW341" s="701"/>
      <c r="AX341" s="701"/>
      <c r="AY341" s="701"/>
      <c r="AZ341" s="701"/>
      <c r="BA341" s="701"/>
      <c r="BB341" s="701"/>
      <c r="BC341" s="701"/>
    </row>
    <row r="342" spans="1:55" s="702" customFormat="1" ht="35.1" customHeight="1">
      <c r="A342" s="703">
        <v>339</v>
      </c>
      <c r="B342" s="704" t="s">
        <v>1744</v>
      </c>
      <c r="C342" s="705" t="s">
        <v>1745</v>
      </c>
      <c r="D342" s="706">
        <v>10</v>
      </c>
      <c r="E342" s="706">
        <v>10</v>
      </c>
      <c r="F342" s="707" t="s">
        <v>697</v>
      </c>
      <c r="G342" s="699"/>
      <c r="H342" s="700"/>
      <c r="I342" s="700"/>
      <c r="J342" s="700"/>
      <c r="K342" s="700"/>
      <c r="L342" s="700"/>
      <c r="M342" s="701"/>
      <c r="N342" s="701"/>
      <c r="O342" s="701"/>
      <c r="P342" s="701"/>
      <c r="Q342" s="701"/>
      <c r="R342" s="701"/>
      <c r="S342" s="701"/>
      <c r="T342" s="701"/>
      <c r="U342" s="701"/>
      <c r="V342" s="701"/>
      <c r="W342" s="701"/>
      <c r="X342" s="701"/>
      <c r="Y342" s="701"/>
      <c r="Z342" s="701"/>
      <c r="AA342" s="701"/>
      <c r="AB342" s="701"/>
      <c r="AC342" s="701"/>
      <c r="AD342" s="701"/>
      <c r="AE342" s="701"/>
      <c r="AF342" s="701"/>
      <c r="AG342" s="701"/>
      <c r="AH342" s="701"/>
      <c r="AI342" s="701"/>
      <c r="AJ342" s="701"/>
      <c r="AK342" s="701"/>
      <c r="AL342" s="701"/>
      <c r="AM342" s="701"/>
      <c r="AN342" s="701"/>
      <c r="AO342" s="701"/>
      <c r="AP342" s="701"/>
      <c r="AQ342" s="701"/>
      <c r="AR342" s="701"/>
      <c r="AS342" s="701"/>
      <c r="AT342" s="701"/>
      <c r="AU342" s="701"/>
      <c r="AV342" s="701"/>
      <c r="AW342" s="701"/>
      <c r="AX342" s="701"/>
      <c r="AY342" s="701"/>
      <c r="AZ342" s="701"/>
      <c r="BA342" s="701"/>
      <c r="BB342" s="701"/>
      <c r="BC342" s="701"/>
    </row>
    <row r="343" spans="1:55" s="702" customFormat="1" ht="35.1" customHeight="1">
      <c r="A343" s="703">
        <v>340</v>
      </c>
      <c r="B343" s="704" t="s">
        <v>2451</v>
      </c>
      <c r="C343" s="705" t="s">
        <v>655</v>
      </c>
      <c r="D343" s="706">
        <v>15000</v>
      </c>
      <c r="E343" s="706">
        <v>15000</v>
      </c>
      <c r="F343" s="707" t="s">
        <v>2201</v>
      </c>
      <c r="G343" s="699"/>
      <c r="H343" s="700"/>
      <c r="I343" s="700"/>
      <c r="J343" s="700"/>
      <c r="K343" s="700"/>
      <c r="L343" s="700"/>
      <c r="M343" s="701"/>
      <c r="N343" s="701"/>
      <c r="O343" s="701"/>
      <c r="P343" s="701"/>
      <c r="Q343" s="701"/>
      <c r="R343" s="701"/>
      <c r="S343" s="701"/>
      <c r="T343" s="701"/>
      <c r="U343" s="701"/>
      <c r="V343" s="701"/>
      <c r="W343" s="701"/>
      <c r="X343" s="701"/>
      <c r="Y343" s="701"/>
      <c r="Z343" s="701"/>
      <c r="AA343" s="701"/>
      <c r="AB343" s="701"/>
      <c r="AC343" s="701"/>
      <c r="AD343" s="701"/>
      <c r="AE343" s="701"/>
      <c r="AF343" s="701"/>
      <c r="AG343" s="701"/>
      <c r="AH343" s="701"/>
      <c r="AI343" s="701"/>
      <c r="AJ343" s="701"/>
      <c r="AK343" s="701"/>
      <c r="AL343" s="701"/>
      <c r="AM343" s="701"/>
      <c r="AN343" s="701"/>
      <c r="AO343" s="701"/>
      <c r="AP343" s="701"/>
      <c r="AQ343" s="701"/>
      <c r="AR343" s="701"/>
      <c r="AS343" s="701"/>
      <c r="AT343" s="701"/>
      <c r="AU343" s="701"/>
      <c r="AV343" s="701"/>
      <c r="AW343" s="701"/>
      <c r="AX343" s="701"/>
      <c r="AY343" s="701"/>
      <c r="AZ343" s="701"/>
      <c r="BA343" s="701"/>
      <c r="BB343" s="701"/>
      <c r="BC343" s="701"/>
    </row>
    <row r="344" spans="1:55" s="702" customFormat="1" ht="35.1" customHeight="1">
      <c r="A344" s="703">
        <v>341</v>
      </c>
      <c r="B344" s="704" t="s">
        <v>2452</v>
      </c>
      <c r="C344" s="705" t="s">
        <v>624</v>
      </c>
      <c r="D344" s="708">
        <v>500000</v>
      </c>
      <c r="E344" s="708">
        <v>500000</v>
      </c>
      <c r="F344" s="707" t="s">
        <v>2201</v>
      </c>
      <c r="G344" s="699"/>
      <c r="H344" s="700"/>
      <c r="I344" s="700"/>
      <c r="J344" s="700"/>
      <c r="K344" s="700"/>
      <c r="L344" s="700"/>
      <c r="M344" s="701"/>
      <c r="N344" s="701"/>
      <c r="O344" s="701"/>
      <c r="P344" s="701"/>
      <c r="Q344" s="701"/>
      <c r="R344" s="701"/>
      <c r="S344" s="701"/>
      <c r="T344" s="701"/>
      <c r="U344" s="701"/>
      <c r="V344" s="701"/>
      <c r="W344" s="701"/>
      <c r="X344" s="701"/>
      <c r="Y344" s="701"/>
      <c r="Z344" s="701"/>
      <c r="AA344" s="701"/>
      <c r="AB344" s="701"/>
      <c r="AC344" s="701"/>
      <c r="AD344" s="701"/>
      <c r="AE344" s="701"/>
      <c r="AF344" s="701"/>
      <c r="AG344" s="701"/>
      <c r="AH344" s="701"/>
      <c r="AI344" s="701"/>
      <c r="AJ344" s="701"/>
      <c r="AK344" s="701"/>
      <c r="AL344" s="701"/>
      <c r="AM344" s="701"/>
      <c r="AN344" s="701"/>
      <c r="AO344" s="701"/>
      <c r="AP344" s="701"/>
      <c r="AQ344" s="701"/>
      <c r="AR344" s="701"/>
      <c r="AS344" s="701"/>
      <c r="AT344" s="701"/>
      <c r="AU344" s="701"/>
      <c r="AV344" s="701"/>
      <c r="AW344" s="701"/>
      <c r="AX344" s="701"/>
      <c r="AY344" s="701"/>
      <c r="AZ344" s="701"/>
      <c r="BA344" s="701"/>
      <c r="BB344" s="701"/>
      <c r="BC344" s="701"/>
    </row>
    <row r="345" spans="1:55" s="702" customFormat="1" ht="35.1" customHeight="1">
      <c r="A345" s="703">
        <v>342</v>
      </c>
      <c r="B345" s="704" t="s">
        <v>1833</v>
      </c>
      <c r="C345" s="705" t="s">
        <v>1834</v>
      </c>
      <c r="D345" s="706">
        <v>120000</v>
      </c>
      <c r="E345" s="706">
        <v>120000</v>
      </c>
      <c r="F345" s="707" t="s">
        <v>697</v>
      </c>
      <c r="G345" s="699"/>
      <c r="H345" s="700"/>
      <c r="I345" s="700"/>
      <c r="J345" s="700"/>
      <c r="K345" s="700"/>
      <c r="L345" s="700"/>
      <c r="M345" s="701"/>
      <c r="N345" s="701"/>
      <c r="O345" s="701"/>
      <c r="P345" s="701"/>
      <c r="Q345" s="701"/>
      <c r="R345" s="701"/>
      <c r="S345" s="701"/>
      <c r="T345" s="701"/>
      <c r="U345" s="701"/>
      <c r="V345" s="701"/>
      <c r="W345" s="701"/>
      <c r="X345" s="701"/>
      <c r="Y345" s="701"/>
      <c r="Z345" s="701"/>
      <c r="AA345" s="701"/>
      <c r="AB345" s="701"/>
      <c r="AC345" s="701"/>
      <c r="AD345" s="701"/>
      <c r="AE345" s="701"/>
      <c r="AF345" s="701"/>
      <c r="AG345" s="701"/>
      <c r="AH345" s="701"/>
      <c r="AI345" s="701"/>
      <c r="AJ345" s="701"/>
      <c r="AK345" s="701"/>
      <c r="AL345" s="701"/>
      <c r="AM345" s="701"/>
      <c r="AN345" s="701"/>
      <c r="AO345" s="701"/>
      <c r="AP345" s="701"/>
      <c r="AQ345" s="701"/>
      <c r="AR345" s="701"/>
      <c r="AS345" s="701"/>
      <c r="AT345" s="701"/>
      <c r="AU345" s="701"/>
      <c r="AV345" s="701"/>
      <c r="AW345" s="701"/>
      <c r="AX345" s="701"/>
      <c r="AY345" s="701"/>
      <c r="AZ345" s="701"/>
      <c r="BA345" s="701"/>
      <c r="BB345" s="701"/>
      <c r="BC345" s="701"/>
    </row>
    <row r="346" spans="1:55" s="702" customFormat="1" ht="35.1" customHeight="1">
      <c r="A346" s="703">
        <v>343</v>
      </c>
      <c r="B346" s="704" t="s">
        <v>2453</v>
      </c>
      <c r="C346" s="705" t="s">
        <v>685</v>
      </c>
      <c r="D346" s="706">
        <f>ROUND(223500/50,0)</f>
        <v>4470</v>
      </c>
      <c r="E346" s="706">
        <f>ROUND(223500/50,0)</f>
        <v>4470</v>
      </c>
      <c r="F346" s="707" t="s">
        <v>2454</v>
      </c>
      <c r="G346" s="699"/>
      <c r="H346" s="700"/>
      <c r="I346" s="700"/>
      <c r="J346" s="700"/>
      <c r="K346" s="700"/>
      <c r="L346" s="700"/>
      <c r="M346" s="701"/>
      <c r="N346" s="701"/>
      <c r="O346" s="701"/>
      <c r="P346" s="701"/>
      <c r="Q346" s="701"/>
      <c r="R346" s="701"/>
      <c r="S346" s="701"/>
      <c r="T346" s="701"/>
      <c r="U346" s="701"/>
      <c r="V346" s="701"/>
      <c r="W346" s="701"/>
      <c r="X346" s="701"/>
      <c r="Y346" s="701"/>
      <c r="Z346" s="701"/>
      <c r="AA346" s="701"/>
      <c r="AB346" s="701"/>
      <c r="AC346" s="701"/>
      <c r="AD346" s="701"/>
      <c r="AE346" s="701"/>
      <c r="AF346" s="701"/>
      <c r="AG346" s="701"/>
      <c r="AH346" s="701"/>
      <c r="AI346" s="701"/>
      <c r="AJ346" s="701"/>
      <c r="AK346" s="701"/>
      <c r="AL346" s="701"/>
      <c r="AM346" s="701"/>
      <c r="AN346" s="701"/>
      <c r="AO346" s="701"/>
      <c r="AP346" s="701"/>
      <c r="AQ346" s="701"/>
      <c r="AR346" s="701"/>
      <c r="AS346" s="701"/>
      <c r="AT346" s="701"/>
      <c r="AU346" s="701"/>
      <c r="AV346" s="701"/>
      <c r="AW346" s="701"/>
      <c r="AX346" s="701"/>
      <c r="AY346" s="701"/>
      <c r="AZ346" s="701"/>
      <c r="BA346" s="701"/>
      <c r="BB346" s="701"/>
      <c r="BC346" s="701"/>
    </row>
    <row r="347" spans="1:55" s="702" customFormat="1" ht="35.1" customHeight="1">
      <c r="A347" s="703">
        <v>344</v>
      </c>
      <c r="B347" s="704" t="s">
        <v>2455</v>
      </c>
      <c r="C347" s="705" t="s">
        <v>685</v>
      </c>
      <c r="D347" s="706">
        <f>ROUND(322500/50,0)</f>
        <v>6450</v>
      </c>
      <c r="E347" s="706">
        <f>ROUND(322500/50,0)</f>
        <v>6450</v>
      </c>
      <c r="F347" s="707" t="s">
        <v>2454</v>
      </c>
      <c r="G347" s="699"/>
      <c r="H347" s="700"/>
      <c r="I347" s="700"/>
      <c r="J347" s="700"/>
      <c r="K347" s="700"/>
      <c r="L347" s="700"/>
      <c r="M347" s="701"/>
      <c r="N347" s="701"/>
      <c r="O347" s="701"/>
      <c r="P347" s="701"/>
      <c r="Q347" s="701"/>
      <c r="R347" s="701"/>
      <c r="S347" s="701"/>
      <c r="T347" s="701"/>
      <c r="U347" s="701"/>
      <c r="V347" s="701"/>
      <c r="W347" s="701"/>
      <c r="X347" s="701"/>
      <c r="Y347" s="701"/>
      <c r="Z347" s="701"/>
      <c r="AA347" s="701"/>
      <c r="AB347" s="701"/>
      <c r="AC347" s="701"/>
      <c r="AD347" s="701"/>
      <c r="AE347" s="701"/>
      <c r="AF347" s="701"/>
      <c r="AG347" s="701"/>
      <c r="AH347" s="701"/>
      <c r="AI347" s="701"/>
      <c r="AJ347" s="701"/>
      <c r="AK347" s="701"/>
      <c r="AL347" s="701"/>
      <c r="AM347" s="701"/>
      <c r="AN347" s="701"/>
      <c r="AO347" s="701"/>
      <c r="AP347" s="701"/>
      <c r="AQ347" s="701"/>
      <c r="AR347" s="701"/>
      <c r="AS347" s="701"/>
      <c r="AT347" s="701"/>
      <c r="AU347" s="701"/>
      <c r="AV347" s="701"/>
      <c r="AW347" s="701"/>
      <c r="AX347" s="701"/>
      <c r="AY347" s="701"/>
      <c r="AZ347" s="701"/>
      <c r="BA347" s="701"/>
      <c r="BB347" s="701"/>
      <c r="BC347" s="701"/>
    </row>
    <row r="348" spans="1:55" s="702" customFormat="1" ht="35.1" customHeight="1">
      <c r="A348" s="703">
        <v>345</v>
      </c>
      <c r="B348" s="704" t="s">
        <v>2456</v>
      </c>
      <c r="C348" s="705" t="s">
        <v>685</v>
      </c>
      <c r="D348" s="706">
        <v>959900</v>
      </c>
      <c r="E348" s="706">
        <v>959900</v>
      </c>
      <c r="F348" s="707" t="s">
        <v>2457</v>
      </c>
      <c r="G348" s="699"/>
      <c r="H348" s="700"/>
      <c r="I348" s="700"/>
      <c r="J348" s="700"/>
      <c r="K348" s="700"/>
      <c r="L348" s="700"/>
      <c r="M348" s="701"/>
      <c r="N348" s="701"/>
      <c r="O348" s="701"/>
      <c r="P348" s="701"/>
      <c r="Q348" s="701"/>
      <c r="R348" s="701"/>
      <c r="S348" s="701"/>
      <c r="T348" s="701"/>
      <c r="U348" s="701"/>
      <c r="V348" s="701"/>
      <c r="W348" s="701"/>
      <c r="X348" s="701"/>
      <c r="Y348" s="701"/>
      <c r="Z348" s="701"/>
      <c r="AA348" s="701"/>
      <c r="AB348" s="701"/>
      <c r="AC348" s="701"/>
      <c r="AD348" s="701"/>
      <c r="AE348" s="701"/>
      <c r="AF348" s="701"/>
      <c r="AG348" s="701"/>
      <c r="AH348" s="701"/>
      <c r="AI348" s="701"/>
      <c r="AJ348" s="701"/>
      <c r="AK348" s="701"/>
      <c r="AL348" s="701"/>
      <c r="AM348" s="701"/>
      <c r="AN348" s="701"/>
      <c r="AO348" s="701"/>
      <c r="AP348" s="701"/>
      <c r="AQ348" s="701"/>
      <c r="AR348" s="701"/>
      <c r="AS348" s="701"/>
      <c r="AT348" s="701"/>
      <c r="AU348" s="701"/>
      <c r="AV348" s="701"/>
      <c r="AW348" s="701"/>
      <c r="AX348" s="701"/>
      <c r="AY348" s="701"/>
      <c r="AZ348" s="701"/>
      <c r="BA348" s="701"/>
      <c r="BB348" s="701"/>
      <c r="BC348" s="701"/>
    </row>
    <row r="349" spans="1:55" s="702" customFormat="1" ht="35.1" customHeight="1">
      <c r="A349" s="703">
        <v>346</v>
      </c>
      <c r="B349" s="704" t="s">
        <v>2458</v>
      </c>
      <c r="C349" s="705" t="s">
        <v>685</v>
      </c>
      <c r="D349" s="706">
        <f>ROUND(43500/2.92,0)</f>
        <v>14897</v>
      </c>
      <c r="E349" s="706">
        <f>ROUND(43500/2.92,0)</f>
        <v>14897</v>
      </c>
      <c r="F349" s="707" t="s">
        <v>2454</v>
      </c>
      <c r="G349" s="699"/>
      <c r="H349" s="700"/>
      <c r="I349" s="700"/>
      <c r="J349" s="700"/>
      <c r="K349" s="700"/>
      <c r="L349" s="700"/>
      <c r="M349" s="701"/>
      <c r="N349" s="701"/>
      <c r="O349" s="701"/>
      <c r="P349" s="701"/>
      <c r="Q349" s="701"/>
      <c r="R349" s="701"/>
      <c r="S349" s="701"/>
      <c r="T349" s="701"/>
      <c r="U349" s="701"/>
      <c r="V349" s="701"/>
      <c r="W349" s="701"/>
      <c r="X349" s="701"/>
      <c r="Y349" s="701"/>
      <c r="Z349" s="701"/>
      <c r="AA349" s="701"/>
      <c r="AB349" s="701"/>
      <c r="AC349" s="701"/>
      <c r="AD349" s="701"/>
      <c r="AE349" s="701"/>
      <c r="AF349" s="701"/>
      <c r="AG349" s="701"/>
      <c r="AH349" s="701"/>
      <c r="AI349" s="701"/>
      <c r="AJ349" s="701"/>
      <c r="AK349" s="701"/>
      <c r="AL349" s="701"/>
      <c r="AM349" s="701"/>
      <c r="AN349" s="701"/>
      <c r="AO349" s="701"/>
      <c r="AP349" s="701"/>
      <c r="AQ349" s="701"/>
      <c r="AR349" s="701"/>
      <c r="AS349" s="701"/>
      <c r="AT349" s="701"/>
      <c r="AU349" s="701"/>
      <c r="AV349" s="701"/>
      <c r="AW349" s="701"/>
      <c r="AX349" s="701"/>
      <c r="AY349" s="701"/>
      <c r="AZ349" s="701"/>
      <c r="BA349" s="701"/>
      <c r="BB349" s="701"/>
      <c r="BC349" s="701"/>
    </row>
    <row r="350" spans="1:55" s="702" customFormat="1" ht="35.1" customHeight="1">
      <c r="A350" s="703">
        <v>347</v>
      </c>
      <c r="B350" s="704" t="s">
        <v>2459</v>
      </c>
      <c r="C350" s="705" t="s">
        <v>685</v>
      </c>
      <c r="D350" s="706">
        <f>ROUND(63000/2.92,0)</f>
        <v>21575</v>
      </c>
      <c r="E350" s="706">
        <f>ROUND(63000/2.92,0)</f>
        <v>21575</v>
      </c>
      <c r="F350" s="707" t="s">
        <v>2454</v>
      </c>
      <c r="G350" s="699"/>
      <c r="H350" s="700"/>
      <c r="I350" s="700"/>
      <c r="J350" s="700"/>
      <c r="K350" s="700"/>
      <c r="L350" s="700"/>
      <c r="M350" s="701"/>
      <c r="N350" s="701"/>
      <c r="O350" s="701"/>
      <c r="P350" s="701"/>
      <c r="Q350" s="701"/>
      <c r="R350" s="701"/>
      <c r="S350" s="701"/>
      <c r="T350" s="701"/>
      <c r="U350" s="701"/>
      <c r="V350" s="701"/>
      <c r="W350" s="701"/>
      <c r="X350" s="701"/>
      <c r="Y350" s="701"/>
      <c r="Z350" s="701"/>
      <c r="AA350" s="701"/>
      <c r="AB350" s="701"/>
      <c r="AC350" s="701"/>
      <c r="AD350" s="701"/>
      <c r="AE350" s="701"/>
      <c r="AF350" s="701"/>
      <c r="AG350" s="701"/>
      <c r="AH350" s="701"/>
      <c r="AI350" s="701"/>
      <c r="AJ350" s="701"/>
      <c r="AK350" s="701"/>
      <c r="AL350" s="701"/>
      <c r="AM350" s="701"/>
      <c r="AN350" s="701"/>
      <c r="AO350" s="701"/>
      <c r="AP350" s="701"/>
      <c r="AQ350" s="701"/>
      <c r="AR350" s="701"/>
      <c r="AS350" s="701"/>
      <c r="AT350" s="701"/>
      <c r="AU350" s="701"/>
      <c r="AV350" s="701"/>
      <c r="AW350" s="701"/>
      <c r="AX350" s="701"/>
      <c r="AY350" s="701"/>
      <c r="AZ350" s="701"/>
      <c r="BA350" s="701"/>
      <c r="BB350" s="701"/>
      <c r="BC350" s="701"/>
    </row>
    <row r="351" spans="1:55" s="702" customFormat="1" ht="35.1" customHeight="1">
      <c r="A351" s="703">
        <v>348</v>
      </c>
      <c r="B351" s="704" t="s">
        <v>2460</v>
      </c>
      <c r="C351" s="705" t="s">
        <v>685</v>
      </c>
      <c r="D351" s="706">
        <f>ROUND(126000/2.92,0)</f>
        <v>43151</v>
      </c>
      <c r="E351" s="706">
        <f>ROUND(126000/2.92,0)</f>
        <v>43151</v>
      </c>
      <c r="F351" s="707" t="s">
        <v>2454</v>
      </c>
      <c r="G351" s="699"/>
      <c r="H351" s="700"/>
      <c r="I351" s="700"/>
      <c r="J351" s="700"/>
      <c r="K351" s="700"/>
      <c r="L351" s="700"/>
      <c r="M351" s="701"/>
      <c r="N351" s="701"/>
      <c r="O351" s="701"/>
      <c r="P351" s="701"/>
      <c r="Q351" s="701"/>
      <c r="R351" s="701"/>
      <c r="S351" s="701"/>
      <c r="T351" s="701"/>
      <c r="U351" s="701"/>
      <c r="V351" s="701"/>
      <c r="W351" s="701"/>
      <c r="X351" s="701"/>
      <c r="Y351" s="701"/>
      <c r="Z351" s="701"/>
      <c r="AA351" s="701"/>
      <c r="AB351" s="701"/>
      <c r="AC351" s="701"/>
      <c r="AD351" s="701"/>
      <c r="AE351" s="701"/>
      <c r="AF351" s="701"/>
      <c r="AG351" s="701"/>
      <c r="AH351" s="701"/>
      <c r="AI351" s="701"/>
      <c r="AJ351" s="701"/>
      <c r="AK351" s="701"/>
      <c r="AL351" s="701"/>
      <c r="AM351" s="701"/>
      <c r="AN351" s="701"/>
      <c r="AO351" s="701"/>
      <c r="AP351" s="701"/>
      <c r="AQ351" s="701"/>
      <c r="AR351" s="701"/>
      <c r="AS351" s="701"/>
      <c r="AT351" s="701"/>
      <c r="AU351" s="701"/>
      <c r="AV351" s="701"/>
      <c r="AW351" s="701"/>
      <c r="AX351" s="701"/>
      <c r="AY351" s="701"/>
      <c r="AZ351" s="701"/>
      <c r="BA351" s="701"/>
      <c r="BB351" s="701"/>
      <c r="BC351" s="701"/>
    </row>
    <row r="352" spans="1:55" s="702" customFormat="1" ht="35.1" customHeight="1">
      <c r="A352" s="703">
        <v>349</v>
      </c>
      <c r="B352" s="704" t="s">
        <v>2461</v>
      </c>
      <c r="C352" s="705" t="s">
        <v>685</v>
      </c>
      <c r="D352" s="706">
        <f>ROUND(187500/2.92,0)</f>
        <v>64212</v>
      </c>
      <c r="E352" s="706">
        <f>ROUND(187500/2.92,0)</f>
        <v>64212</v>
      </c>
      <c r="F352" s="707" t="s">
        <v>2454</v>
      </c>
      <c r="G352" s="699"/>
      <c r="H352" s="700"/>
      <c r="I352" s="700"/>
      <c r="J352" s="700"/>
      <c r="K352" s="700"/>
      <c r="L352" s="700"/>
      <c r="M352" s="701"/>
      <c r="N352" s="701"/>
      <c r="O352" s="701"/>
      <c r="P352" s="701"/>
      <c r="Q352" s="701"/>
      <c r="R352" s="701"/>
      <c r="S352" s="701"/>
      <c r="T352" s="701"/>
      <c r="U352" s="701"/>
      <c r="V352" s="701"/>
      <c r="W352" s="701"/>
      <c r="X352" s="701"/>
      <c r="Y352" s="701"/>
      <c r="Z352" s="701"/>
      <c r="AA352" s="701"/>
      <c r="AB352" s="701"/>
      <c r="AC352" s="701"/>
      <c r="AD352" s="701"/>
      <c r="AE352" s="701"/>
      <c r="AF352" s="701"/>
      <c r="AG352" s="701"/>
      <c r="AH352" s="701"/>
      <c r="AI352" s="701"/>
      <c r="AJ352" s="701"/>
      <c r="AK352" s="701"/>
      <c r="AL352" s="701"/>
      <c r="AM352" s="701"/>
      <c r="AN352" s="701"/>
      <c r="AO352" s="701"/>
      <c r="AP352" s="701"/>
      <c r="AQ352" s="701"/>
      <c r="AR352" s="701"/>
      <c r="AS352" s="701"/>
      <c r="AT352" s="701"/>
      <c r="AU352" s="701"/>
      <c r="AV352" s="701"/>
      <c r="AW352" s="701"/>
      <c r="AX352" s="701"/>
      <c r="AY352" s="701"/>
      <c r="AZ352" s="701"/>
      <c r="BA352" s="701"/>
      <c r="BB352" s="701"/>
      <c r="BC352" s="701"/>
    </row>
    <row r="353" spans="1:55" s="702" customFormat="1" ht="35.1" customHeight="1">
      <c r="A353" s="703">
        <v>350</v>
      </c>
      <c r="B353" s="704" t="s">
        <v>2462</v>
      </c>
      <c r="C353" s="705" t="s">
        <v>685</v>
      </c>
      <c r="D353" s="706">
        <f>ROUND(228000/2.92,0)</f>
        <v>78082</v>
      </c>
      <c r="E353" s="706">
        <f>ROUND(228000/2.92,0)</f>
        <v>78082</v>
      </c>
      <c r="F353" s="707" t="s">
        <v>2454</v>
      </c>
      <c r="G353" s="699"/>
      <c r="H353" s="700"/>
      <c r="I353" s="700"/>
      <c r="J353" s="700"/>
      <c r="K353" s="700"/>
      <c r="L353" s="700"/>
      <c r="M353" s="701"/>
      <c r="N353" s="701"/>
      <c r="O353" s="701"/>
      <c r="P353" s="701"/>
      <c r="Q353" s="701"/>
      <c r="R353" s="701"/>
      <c r="S353" s="701"/>
      <c r="T353" s="701"/>
      <c r="U353" s="701"/>
      <c r="V353" s="701"/>
      <c r="W353" s="701"/>
      <c r="X353" s="701"/>
      <c r="Y353" s="701"/>
      <c r="Z353" s="701"/>
      <c r="AA353" s="701"/>
      <c r="AB353" s="701"/>
      <c r="AC353" s="701"/>
      <c r="AD353" s="701"/>
      <c r="AE353" s="701"/>
      <c r="AF353" s="701"/>
      <c r="AG353" s="701"/>
      <c r="AH353" s="701"/>
      <c r="AI353" s="701"/>
      <c r="AJ353" s="701"/>
      <c r="AK353" s="701"/>
      <c r="AL353" s="701"/>
      <c r="AM353" s="701"/>
      <c r="AN353" s="701"/>
      <c r="AO353" s="701"/>
      <c r="AP353" s="701"/>
      <c r="AQ353" s="701"/>
      <c r="AR353" s="701"/>
      <c r="AS353" s="701"/>
      <c r="AT353" s="701"/>
      <c r="AU353" s="701"/>
      <c r="AV353" s="701"/>
      <c r="AW353" s="701"/>
      <c r="AX353" s="701"/>
      <c r="AY353" s="701"/>
      <c r="AZ353" s="701"/>
      <c r="BA353" s="701"/>
      <c r="BB353" s="701"/>
      <c r="BC353" s="701"/>
    </row>
    <row r="354" spans="1:55" s="720" customFormat="1" ht="35.1" customHeight="1">
      <c r="A354" s="703">
        <v>351</v>
      </c>
      <c r="B354" s="704" t="s">
        <v>2463</v>
      </c>
      <c r="C354" s="705" t="s">
        <v>685</v>
      </c>
      <c r="D354" s="706">
        <v>62500</v>
      </c>
      <c r="E354" s="711">
        <f>ROUND(232000/2.92,0)</f>
        <v>79452</v>
      </c>
      <c r="F354" s="707"/>
      <c r="G354" s="712"/>
      <c r="H354" s="700"/>
      <c r="I354" s="700"/>
      <c r="J354" s="700"/>
      <c r="K354" s="700"/>
      <c r="L354" s="700"/>
      <c r="M354" s="713"/>
      <c r="N354" s="713"/>
      <c r="O354" s="713"/>
      <c r="P354" s="713"/>
      <c r="Q354" s="713"/>
      <c r="R354" s="713"/>
      <c r="S354" s="713"/>
      <c r="T354" s="713"/>
      <c r="U354" s="713"/>
      <c r="V354" s="713"/>
      <c r="W354" s="713"/>
      <c r="X354" s="713"/>
      <c r="Y354" s="713"/>
      <c r="Z354" s="713"/>
      <c r="AA354" s="713"/>
      <c r="AB354" s="713"/>
      <c r="AC354" s="713"/>
      <c r="AD354" s="713"/>
      <c r="AE354" s="713"/>
      <c r="AF354" s="713"/>
      <c r="AG354" s="713"/>
      <c r="AH354" s="713"/>
      <c r="AI354" s="713"/>
      <c r="AJ354" s="713"/>
      <c r="AK354" s="713"/>
      <c r="AL354" s="713"/>
      <c r="AM354" s="713"/>
      <c r="AN354" s="713"/>
      <c r="AO354" s="713"/>
      <c r="AP354" s="713"/>
      <c r="AQ354" s="713"/>
      <c r="AR354" s="713"/>
      <c r="AS354" s="713"/>
      <c r="AT354" s="713"/>
      <c r="AU354" s="713"/>
      <c r="AV354" s="713"/>
      <c r="AW354" s="713"/>
      <c r="AX354" s="713"/>
      <c r="AY354" s="713"/>
      <c r="AZ354" s="713"/>
      <c r="BA354" s="713"/>
      <c r="BB354" s="713"/>
      <c r="BC354" s="713"/>
    </row>
    <row r="355" spans="1:55" s="702" customFormat="1" ht="35.1" customHeight="1">
      <c r="A355" s="703">
        <v>352</v>
      </c>
      <c r="B355" s="704" t="s">
        <v>2464</v>
      </c>
      <c r="C355" s="705" t="s">
        <v>685</v>
      </c>
      <c r="D355" s="706">
        <v>9000</v>
      </c>
      <c r="E355" s="706">
        <v>9000</v>
      </c>
      <c r="F355" s="707" t="s">
        <v>2084</v>
      </c>
      <c r="G355" s="699"/>
      <c r="H355" s="700"/>
      <c r="I355" s="700"/>
      <c r="J355" s="700"/>
      <c r="K355" s="700"/>
      <c r="L355" s="700"/>
      <c r="M355" s="701"/>
      <c r="N355" s="701"/>
      <c r="O355" s="701"/>
      <c r="P355" s="701"/>
      <c r="Q355" s="701"/>
      <c r="R355" s="701"/>
      <c r="S355" s="701"/>
      <c r="T355" s="701"/>
      <c r="U355" s="701"/>
      <c r="V355" s="701"/>
      <c r="W355" s="701"/>
      <c r="X355" s="701"/>
      <c r="Y355" s="701"/>
      <c r="Z355" s="701"/>
      <c r="AA355" s="701"/>
      <c r="AB355" s="701"/>
      <c r="AC355" s="701"/>
      <c r="AD355" s="701"/>
      <c r="AE355" s="701"/>
      <c r="AF355" s="701"/>
      <c r="AG355" s="701"/>
      <c r="AH355" s="701"/>
      <c r="AI355" s="701"/>
      <c r="AJ355" s="701"/>
      <c r="AK355" s="701"/>
      <c r="AL355" s="701"/>
      <c r="AM355" s="701"/>
      <c r="AN355" s="701"/>
      <c r="AO355" s="701"/>
      <c r="AP355" s="701"/>
      <c r="AQ355" s="701"/>
      <c r="AR355" s="701"/>
      <c r="AS355" s="701"/>
      <c r="AT355" s="701"/>
      <c r="AU355" s="701"/>
      <c r="AV355" s="701"/>
      <c r="AW355" s="701"/>
      <c r="AX355" s="701"/>
      <c r="AY355" s="701"/>
      <c r="AZ355" s="701"/>
      <c r="BA355" s="701"/>
      <c r="BB355" s="701"/>
      <c r="BC355" s="701"/>
    </row>
    <row r="356" spans="1:55" s="702" customFormat="1" ht="35.1" customHeight="1">
      <c r="A356" s="703">
        <v>353</v>
      </c>
      <c r="B356" s="704" t="s">
        <v>2465</v>
      </c>
      <c r="C356" s="705" t="s">
        <v>685</v>
      </c>
      <c r="D356" s="706">
        <v>13900</v>
      </c>
      <c r="E356" s="706">
        <v>13900</v>
      </c>
      <c r="F356" s="707" t="s">
        <v>2084</v>
      </c>
      <c r="G356" s="699"/>
      <c r="H356" s="700"/>
      <c r="I356" s="700"/>
      <c r="J356" s="700"/>
      <c r="K356" s="700"/>
      <c r="L356" s="700"/>
      <c r="M356" s="701"/>
      <c r="N356" s="701"/>
      <c r="O356" s="701"/>
      <c r="P356" s="701"/>
      <c r="Q356" s="701"/>
      <c r="R356" s="701"/>
      <c r="S356" s="701"/>
      <c r="T356" s="701"/>
      <c r="U356" s="701"/>
      <c r="V356" s="701"/>
      <c r="W356" s="701"/>
      <c r="X356" s="701"/>
      <c r="Y356" s="701"/>
      <c r="Z356" s="701"/>
      <c r="AA356" s="701"/>
      <c r="AB356" s="701"/>
      <c r="AC356" s="701"/>
      <c r="AD356" s="701"/>
      <c r="AE356" s="701"/>
      <c r="AF356" s="701"/>
      <c r="AG356" s="701"/>
      <c r="AH356" s="701"/>
      <c r="AI356" s="701"/>
      <c r="AJ356" s="701"/>
      <c r="AK356" s="701"/>
      <c r="AL356" s="701"/>
      <c r="AM356" s="701"/>
      <c r="AN356" s="701"/>
      <c r="AO356" s="701"/>
      <c r="AP356" s="701"/>
      <c r="AQ356" s="701"/>
      <c r="AR356" s="701"/>
      <c r="AS356" s="701"/>
      <c r="AT356" s="701"/>
      <c r="AU356" s="701"/>
      <c r="AV356" s="701"/>
      <c r="AW356" s="701"/>
      <c r="AX356" s="701"/>
      <c r="AY356" s="701"/>
      <c r="AZ356" s="701"/>
      <c r="BA356" s="701"/>
      <c r="BB356" s="701"/>
      <c r="BC356" s="701"/>
    </row>
    <row r="357" spans="1:55" s="702" customFormat="1" ht="35.1" customHeight="1">
      <c r="A357" s="703">
        <v>354</v>
      </c>
      <c r="B357" s="704" t="s">
        <v>2466</v>
      </c>
      <c r="C357" s="705" t="s">
        <v>685</v>
      </c>
      <c r="D357" s="706">
        <v>13100</v>
      </c>
      <c r="E357" s="709">
        <v>13900</v>
      </c>
      <c r="F357" s="707"/>
      <c r="G357" s="699"/>
      <c r="H357" s="700"/>
      <c r="I357" s="700"/>
      <c r="J357" s="700"/>
      <c r="K357" s="700"/>
      <c r="L357" s="700"/>
      <c r="M357" s="701"/>
      <c r="N357" s="701"/>
      <c r="O357" s="701"/>
      <c r="P357" s="701"/>
      <c r="Q357" s="701"/>
      <c r="R357" s="701"/>
      <c r="S357" s="701"/>
      <c r="T357" s="701"/>
      <c r="U357" s="701"/>
      <c r="V357" s="701"/>
      <c r="W357" s="701"/>
      <c r="X357" s="701"/>
      <c r="Y357" s="701"/>
      <c r="Z357" s="701"/>
      <c r="AA357" s="701"/>
      <c r="AB357" s="701"/>
      <c r="AC357" s="701"/>
      <c r="AD357" s="701"/>
      <c r="AE357" s="701"/>
      <c r="AF357" s="701"/>
      <c r="AG357" s="701"/>
      <c r="AH357" s="701"/>
      <c r="AI357" s="701"/>
      <c r="AJ357" s="701"/>
      <c r="AK357" s="701"/>
      <c r="AL357" s="701"/>
      <c r="AM357" s="701"/>
      <c r="AN357" s="701"/>
      <c r="AO357" s="701"/>
      <c r="AP357" s="701"/>
      <c r="AQ357" s="701"/>
      <c r="AR357" s="701"/>
      <c r="AS357" s="701"/>
      <c r="AT357" s="701"/>
      <c r="AU357" s="701"/>
      <c r="AV357" s="701"/>
      <c r="AW357" s="701"/>
      <c r="AX357" s="701"/>
      <c r="AY357" s="701"/>
      <c r="AZ357" s="701"/>
      <c r="BA357" s="701"/>
      <c r="BB357" s="701"/>
      <c r="BC357" s="701"/>
    </row>
    <row r="358" spans="1:55" s="702" customFormat="1" ht="35.1" customHeight="1">
      <c r="A358" s="703">
        <v>355</v>
      </c>
      <c r="B358" s="704" t="s">
        <v>2467</v>
      </c>
      <c r="C358" s="705" t="s">
        <v>685</v>
      </c>
      <c r="D358" s="706">
        <v>20100</v>
      </c>
      <c r="E358" s="706">
        <v>20100</v>
      </c>
      <c r="F358" s="707" t="s">
        <v>2084</v>
      </c>
      <c r="G358" s="699"/>
      <c r="H358" s="700"/>
      <c r="I358" s="700"/>
      <c r="J358" s="700"/>
      <c r="K358" s="700"/>
      <c r="L358" s="700"/>
      <c r="M358" s="701"/>
      <c r="N358" s="701"/>
      <c r="O358" s="701"/>
      <c r="P358" s="701"/>
      <c r="Q358" s="701"/>
      <c r="R358" s="701"/>
      <c r="S358" s="701"/>
      <c r="T358" s="701"/>
      <c r="U358" s="701"/>
      <c r="V358" s="701"/>
      <c r="W358" s="701"/>
      <c r="X358" s="701"/>
      <c r="Y358" s="701"/>
      <c r="Z358" s="701"/>
      <c r="AA358" s="701"/>
      <c r="AB358" s="701"/>
      <c r="AC358" s="701"/>
      <c r="AD358" s="701"/>
      <c r="AE358" s="701"/>
      <c r="AF358" s="701"/>
      <c r="AG358" s="701"/>
      <c r="AH358" s="701"/>
      <c r="AI358" s="701"/>
      <c r="AJ358" s="701"/>
      <c r="AK358" s="701"/>
      <c r="AL358" s="701"/>
      <c r="AM358" s="701"/>
      <c r="AN358" s="701"/>
      <c r="AO358" s="701"/>
      <c r="AP358" s="701"/>
      <c r="AQ358" s="701"/>
      <c r="AR358" s="701"/>
      <c r="AS358" s="701"/>
      <c r="AT358" s="701"/>
      <c r="AU358" s="701"/>
      <c r="AV358" s="701"/>
      <c r="AW358" s="701"/>
      <c r="AX358" s="701"/>
      <c r="AY358" s="701"/>
      <c r="AZ358" s="701"/>
      <c r="BA358" s="701"/>
      <c r="BB358" s="701"/>
      <c r="BC358" s="701"/>
    </row>
    <row r="359" spans="1:55" s="702" customFormat="1" ht="35.1" customHeight="1">
      <c r="A359" s="703">
        <v>356</v>
      </c>
      <c r="B359" s="704" t="s">
        <v>2468</v>
      </c>
      <c r="C359" s="705" t="s">
        <v>685</v>
      </c>
      <c r="D359" s="706">
        <v>25700</v>
      </c>
      <c r="E359" s="706">
        <v>25700</v>
      </c>
      <c r="F359" s="707" t="s">
        <v>2084</v>
      </c>
      <c r="G359" s="699"/>
      <c r="H359" s="700"/>
      <c r="I359" s="700"/>
      <c r="J359" s="700"/>
      <c r="K359" s="700"/>
      <c r="L359" s="700"/>
      <c r="M359" s="701"/>
      <c r="N359" s="701"/>
      <c r="O359" s="701"/>
      <c r="P359" s="701"/>
      <c r="Q359" s="701"/>
      <c r="R359" s="701"/>
      <c r="S359" s="701"/>
      <c r="T359" s="701"/>
      <c r="U359" s="701"/>
      <c r="V359" s="701"/>
      <c r="W359" s="701"/>
      <c r="X359" s="701"/>
      <c r="Y359" s="701"/>
      <c r="Z359" s="701"/>
      <c r="AA359" s="701"/>
      <c r="AB359" s="701"/>
      <c r="AC359" s="701"/>
      <c r="AD359" s="701"/>
      <c r="AE359" s="701"/>
      <c r="AF359" s="701"/>
      <c r="AG359" s="701"/>
      <c r="AH359" s="701"/>
      <c r="AI359" s="701"/>
      <c r="AJ359" s="701"/>
      <c r="AK359" s="701"/>
      <c r="AL359" s="701"/>
      <c r="AM359" s="701"/>
      <c r="AN359" s="701"/>
      <c r="AO359" s="701"/>
      <c r="AP359" s="701"/>
      <c r="AQ359" s="701"/>
      <c r="AR359" s="701"/>
      <c r="AS359" s="701"/>
      <c r="AT359" s="701"/>
      <c r="AU359" s="701"/>
      <c r="AV359" s="701"/>
      <c r="AW359" s="701"/>
      <c r="AX359" s="701"/>
      <c r="AY359" s="701"/>
      <c r="AZ359" s="701"/>
      <c r="BA359" s="701"/>
      <c r="BB359" s="701"/>
      <c r="BC359" s="701"/>
    </row>
    <row r="360" spans="1:55" s="702" customFormat="1" ht="35.1" customHeight="1">
      <c r="A360" s="703">
        <v>357</v>
      </c>
      <c r="B360" s="704" t="s">
        <v>2469</v>
      </c>
      <c r="C360" s="705" t="s">
        <v>685</v>
      </c>
      <c r="D360" s="706">
        <v>43300</v>
      </c>
      <c r="E360" s="706">
        <v>43300</v>
      </c>
      <c r="F360" s="707" t="s">
        <v>2084</v>
      </c>
      <c r="G360" s="699"/>
      <c r="H360" s="700"/>
      <c r="I360" s="700"/>
      <c r="J360" s="700"/>
      <c r="K360" s="700"/>
      <c r="L360" s="700"/>
      <c r="M360" s="701"/>
      <c r="N360" s="701"/>
      <c r="O360" s="701"/>
      <c r="P360" s="701"/>
      <c r="Q360" s="701"/>
      <c r="R360" s="701"/>
      <c r="S360" s="701"/>
      <c r="T360" s="701"/>
      <c r="U360" s="701"/>
      <c r="V360" s="701"/>
      <c r="W360" s="701"/>
      <c r="X360" s="701"/>
      <c r="Y360" s="701"/>
      <c r="Z360" s="701"/>
      <c r="AA360" s="701"/>
      <c r="AB360" s="701"/>
      <c r="AC360" s="701"/>
      <c r="AD360" s="701"/>
      <c r="AE360" s="701"/>
      <c r="AF360" s="701"/>
      <c r="AG360" s="701"/>
      <c r="AH360" s="701"/>
      <c r="AI360" s="701"/>
      <c r="AJ360" s="701"/>
      <c r="AK360" s="701"/>
      <c r="AL360" s="701"/>
      <c r="AM360" s="701"/>
      <c r="AN360" s="701"/>
      <c r="AO360" s="701"/>
      <c r="AP360" s="701"/>
      <c r="AQ360" s="701"/>
      <c r="AR360" s="701"/>
      <c r="AS360" s="701"/>
      <c r="AT360" s="701"/>
      <c r="AU360" s="701"/>
      <c r="AV360" s="701"/>
      <c r="AW360" s="701"/>
      <c r="AX360" s="701"/>
      <c r="AY360" s="701"/>
      <c r="AZ360" s="701"/>
      <c r="BA360" s="701"/>
      <c r="BB360" s="701"/>
      <c r="BC360" s="701"/>
    </row>
    <row r="361" spans="1:55" s="702" customFormat="1" ht="35.1" customHeight="1">
      <c r="A361" s="703">
        <v>358</v>
      </c>
      <c r="B361" s="704" t="s">
        <v>2470</v>
      </c>
      <c r="C361" s="705" t="s">
        <v>685</v>
      </c>
      <c r="D361" s="706">
        <v>67500</v>
      </c>
      <c r="E361" s="706">
        <v>67500</v>
      </c>
      <c r="F361" s="707" t="s">
        <v>2084</v>
      </c>
      <c r="G361" s="699"/>
      <c r="H361" s="700"/>
      <c r="I361" s="700"/>
      <c r="J361" s="700"/>
      <c r="K361" s="700"/>
      <c r="L361" s="700"/>
      <c r="M361" s="701"/>
      <c r="N361" s="701"/>
      <c r="O361" s="701"/>
      <c r="P361" s="701"/>
      <c r="Q361" s="701"/>
      <c r="R361" s="701"/>
      <c r="S361" s="701"/>
      <c r="T361" s="701"/>
      <c r="U361" s="701"/>
      <c r="V361" s="701"/>
      <c r="W361" s="701"/>
      <c r="X361" s="701"/>
      <c r="Y361" s="701"/>
      <c r="Z361" s="701"/>
      <c r="AA361" s="701"/>
      <c r="AB361" s="701"/>
      <c r="AC361" s="701"/>
      <c r="AD361" s="701"/>
      <c r="AE361" s="701"/>
      <c r="AF361" s="701"/>
      <c r="AG361" s="701"/>
      <c r="AH361" s="701"/>
      <c r="AI361" s="701"/>
      <c r="AJ361" s="701"/>
      <c r="AK361" s="701"/>
      <c r="AL361" s="701"/>
      <c r="AM361" s="701"/>
      <c r="AN361" s="701"/>
      <c r="AO361" s="701"/>
      <c r="AP361" s="701"/>
      <c r="AQ361" s="701"/>
      <c r="AR361" s="701"/>
      <c r="AS361" s="701"/>
      <c r="AT361" s="701"/>
      <c r="AU361" s="701"/>
      <c r="AV361" s="701"/>
      <c r="AW361" s="701"/>
      <c r="AX361" s="701"/>
      <c r="AY361" s="701"/>
      <c r="AZ361" s="701"/>
      <c r="BA361" s="701"/>
      <c r="BB361" s="701"/>
      <c r="BC361" s="701"/>
    </row>
    <row r="362" spans="1:55" s="702" customFormat="1" ht="35.1" customHeight="1">
      <c r="A362" s="703">
        <v>359</v>
      </c>
      <c r="B362" s="704" t="s">
        <v>2471</v>
      </c>
      <c r="C362" s="705" t="s">
        <v>685</v>
      </c>
      <c r="D362" s="706">
        <v>101700</v>
      </c>
      <c r="E362" s="706">
        <v>101700</v>
      </c>
      <c r="F362" s="707" t="s">
        <v>2084</v>
      </c>
      <c r="G362" s="699"/>
      <c r="H362" s="700"/>
      <c r="I362" s="700"/>
      <c r="J362" s="700"/>
      <c r="K362" s="700"/>
      <c r="L362" s="700"/>
      <c r="M362" s="701"/>
      <c r="N362" s="701"/>
      <c r="O362" s="701"/>
      <c r="P362" s="701"/>
      <c r="Q362" s="701"/>
      <c r="R362" s="701"/>
      <c r="S362" s="701"/>
      <c r="T362" s="701"/>
      <c r="U362" s="701"/>
      <c r="V362" s="701"/>
      <c r="W362" s="701"/>
      <c r="X362" s="701"/>
      <c r="Y362" s="701"/>
      <c r="Z362" s="701"/>
      <c r="AA362" s="701"/>
      <c r="AB362" s="701"/>
      <c r="AC362" s="701"/>
      <c r="AD362" s="701"/>
      <c r="AE362" s="701"/>
      <c r="AF362" s="701"/>
      <c r="AG362" s="701"/>
      <c r="AH362" s="701"/>
      <c r="AI362" s="701"/>
      <c r="AJ362" s="701"/>
      <c r="AK362" s="701"/>
      <c r="AL362" s="701"/>
      <c r="AM362" s="701"/>
      <c r="AN362" s="701"/>
      <c r="AO362" s="701"/>
      <c r="AP362" s="701"/>
      <c r="AQ362" s="701"/>
      <c r="AR362" s="701"/>
      <c r="AS362" s="701"/>
      <c r="AT362" s="701"/>
      <c r="AU362" s="701"/>
      <c r="AV362" s="701"/>
      <c r="AW362" s="701"/>
      <c r="AX362" s="701"/>
      <c r="AY362" s="701"/>
      <c r="AZ362" s="701"/>
      <c r="BA362" s="701"/>
      <c r="BB362" s="701"/>
      <c r="BC362" s="701"/>
    </row>
    <row r="363" spans="1:55" s="702" customFormat="1" ht="35.1" customHeight="1">
      <c r="A363" s="703">
        <v>360</v>
      </c>
      <c r="B363" s="704" t="s">
        <v>2472</v>
      </c>
      <c r="C363" s="705" t="s">
        <v>685</v>
      </c>
      <c r="D363" s="706">
        <v>345100</v>
      </c>
      <c r="E363" s="706">
        <v>345100</v>
      </c>
      <c r="F363" s="707" t="s">
        <v>2084</v>
      </c>
      <c r="G363" s="699"/>
      <c r="H363" s="700"/>
      <c r="I363" s="700"/>
      <c r="J363" s="700"/>
      <c r="K363" s="700"/>
      <c r="L363" s="700"/>
      <c r="M363" s="701"/>
      <c r="N363" s="701"/>
      <c r="O363" s="701"/>
      <c r="P363" s="701"/>
      <c r="Q363" s="701"/>
      <c r="R363" s="701"/>
      <c r="S363" s="701"/>
      <c r="T363" s="701"/>
      <c r="U363" s="701"/>
      <c r="V363" s="701"/>
      <c r="W363" s="701"/>
      <c r="X363" s="701"/>
      <c r="Y363" s="701"/>
      <c r="Z363" s="701"/>
      <c r="AA363" s="701"/>
      <c r="AB363" s="701"/>
      <c r="AC363" s="701"/>
      <c r="AD363" s="701"/>
      <c r="AE363" s="701"/>
      <c r="AF363" s="701"/>
      <c r="AG363" s="701"/>
      <c r="AH363" s="701"/>
      <c r="AI363" s="701"/>
      <c r="AJ363" s="701"/>
      <c r="AK363" s="701"/>
      <c r="AL363" s="701"/>
      <c r="AM363" s="701"/>
      <c r="AN363" s="701"/>
      <c r="AO363" s="701"/>
      <c r="AP363" s="701"/>
      <c r="AQ363" s="701"/>
      <c r="AR363" s="701"/>
      <c r="AS363" s="701"/>
      <c r="AT363" s="701"/>
      <c r="AU363" s="701"/>
      <c r="AV363" s="701"/>
      <c r="AW363" s="701"/>
      <c r="AX363" s="701"/>
      <c r="AY363" s="701"/>
      <c r="AZ363" s="701"/>
      <c r="BA363" s="701"/>
      <c r="BB363" s="701"/>
      <c r="BC363" s="701"/>
    </row>
    <row r="364" spans="1:55" s="702" customFormat="1" ht="35.1" customHeight="1">
      <c r="A364" s="703">
        <v>361</v>
      </c>
      <c r="B364" s="704" t="s">
        <v>2473</v>
      </c>
      <c r="C364" s="705" t="s">
        <v>685</v>
      </c>
      <c r="D364" s="706">
        <f>ROUND(355548/(1.1*6),0)</f>
        <v>53871</v>
      </c>
      <c r="E364" s="706">
        <f>ROUND(355548/(1.1*6),0)</f>
        <v>53871</v>
      </c>
      <c r="F364" s="707" t="s">
        <v>2474</v>
      </c>
      <c r="G364" s="699"/>
      <c r="H364" s="700"/>
      <c r="I364" s="700"/>
      <c r="J364" s="700"/>
      <c r="K364" s="700"/>
      <c r="L364" s="700"/>
      <c r="M364" s="701"/>
      <c r="N364" s="701"/>
      <c r="O364" s="701"/>
      <c r="P364" s="701"/>
      <c r="Q364" s="701"/>
      <c r="R364" s="701"/>
      <c r="S364" s="701"/>
      <c r="T364" s="701"/>
      <c r="U364" s="701"/>
      <c r="V364" s="701"/>
      <c r="W364" s="701"/>
      <c r="X364" s="701"/>
      <c r="Y364" s="701"/>
      <c r="Z364" s="701"/>
      <c r="AA364" s="701"/>
      <c r="AB364" s="701"/>
      <c r="AC364" s="701"/>
      <c r="AD364" s="701"/>
      <c r="AE364" s="701"/>
      <c r="AF364" s="701"/>
      <c r="AG364" s="701"/>
      <c r="AH364" s="701"/>
      <c r="AI364" s="701"/>
      <c r="AJ364" s="701"/>
      <c r="AK364" s="701"/>
      <c r="AL364" s="701"/>
      <c r="AM364" s="701"/>
      <c r="AN364" s="701"/>
      <c r="AO364" s="701"/>
      <c r="AP364" s="701"/>
      <c r="AQ364" s="701"/>
      <c r="AR364" s="701"/>
      <c r="AS364" s="701"/>
      <c r="AT364" s="701"/>
      <c r="AU364" s="701"/>
      <c r="AV364" s="701"/>
      <c r="AW364" s="701"/>
      <c r="AX364" s="701"/>
      <c r="AY364" s="701"/>
      <c r="AZ364" s="701"/>
      <c r="BA364" s="701"/>
      <c r="BB364" s="701"/>
      <c r="BC364" s="701"/>
    </row>
    <row r="365" spans="1:55" s="702" customFormat="1" ht="35.1" customHeight="1">
      <c r="A365" s="703">
        <v>362</v>
      </c>
      <c r="B365" s="704" t="s">
        <v>2475</v>
      </c>
      <c r="C365" s="705" t="s">
        <v>685</v>
      </c>
      <c r="D365" s="706">
        <v>125000</v>
      </c>
      <c r="E365" s="706">
        <v>125000</v>
      </c>
      <c r="F365" s="707" t="s">
        <v>2476</v>
      </c>
      <c r="G365" s="699"/>
      <c r="H365" s="700"/>
      <c r="I365" s="700"/>
      <c r="J365" s="700"/>
      <c r="K365" s="700"/>
      <c r="L365" s="700"/>
      <c r="M365" s="701"/>
      <c r="N365" s="701"/>
      <c r="O365" s="701"/>
      <c r="P365" s="701"/>
      <c r="Q365" s="701"/>
      <c r="R365" s="701"/>
      <c r="S365" s="701"/>
      <c r="T365" s="701"/>
      <c r="U365" s="701"/>
      <c r="V365" s="701"/>
      <c r="W365" s="701"/>
      <c r="X365" s="701"/>
      <c r="Y365" s="701"/>
      <c r="Z365" s="701"/>
      <c r="AA365" s="701"/>
      <c r="AB365" s="701"/>
      <c r="AC365" s="701"/>
      <c r="AD365" s="701"/>
      <c r="AE365" s="701"/>
      <c r="AF365" s="701"/>
      <c r="AG365" s="701"/>
      <c r="AH365" s="701"/>
      <c r="AI365" s="701"/>
      <c r="AJ365" s="701"/>
      <c r="AK365" s="701"/>
      <c r="AL365" s="701"/>
      <c r="AM365" s="701"/>
      <c r="AN365" s="701"/>
      <c r="AO365" s="701"/>
      <c r="AP365" s="701"/>
      <c r="AQ365" s="701"/>
      <c r="AR365" s="701"/>
      <c r="AS365" s="701"/>
      <c r="AT365" s="701"/>
      <c r="AU365" s="701"/>
      <c r="AV365" s="701"/>
      <c r="AW365" s="701"/>
      <c r="AX365" s="701"/>
      <c r="AY365" s="701"/>
      <c r="AZ365" s="701"/>
      <c r="BA365" s="701"/>
      <c r="BB365" s="701"/>
      <c r="BC365" s="701"/>
    </row>
    <row r="366" spans="1:55" s="702" customFormat="1" ht="35.1" customHeight="1">
      <c r="A366" s="703">
        <v>363</v>
      </c>
      <c r="B366" s="704" t="s">
        <v>2477</v>
      </c>
      <c r="C366" s="705" t="s">
        <v>685</v>
      </c>
      <c r="D366" s="706">
        <f>ROUND(620428/(1.1*6),0)</f>
        <v>94004</v>
      </c>
      <c r="E366" s="706">
        <f>ROUND(620428/(1.1*6),0)</f>
        <v>94004</v>
      </c>
      <c r="F366" s="707" t="s">
        <v>2474</v>
      </c>
      <c r="G366" s="699"/>
      <c r="H366" s="700"/>
      <c r="I366" s="700"/>
      <c r="J366" s="700"/>
      <c r="K366" s="700"/>
      <c r="L366" s="700"/>
      <c r="M366" s="701"/>
      <c r="N366" s="701"/>
      <c r="O366" s="701"/>
      <c r="P366" s="701"/>
      <c r="Q366" s="701"/>
      <c r="R366" s="701"/>
      <c r="S366" s="701"/>
      <c r="T366" s="701"/>
      <c r="U366" s="701"/>
      <c r="V366" s="701"/>
      <c r="W366" s="701"/>
      <c r="X366" s="701"/>
      <c r="Y366" s="701"/>
      <c r="Z366" s="701"/>
      <c r="AA366" s="701"/>
      <c r="AB366" s="701"/>
      <c r="AC366" s="701"/>
      <c r="AD366" s="701"/>
      <c r="AE366" s="701"/>
      <c r="AF366" s="701"/>
      <c r="AG366" s="701"/>
      <c r="AH366" s="701"/>
      <c r="AI366" s="701"/>
      <c r="AJ366" s="701"/>
      <c r="AK366" s="701"/>
      <c r="AL366" s="701"/>
      <c r="AM366" s="701"/>
      <c r="AN366" s="701"/>
      <c r="AO366" s="701"/>
      <c r="AP366" s="701"/>
      <c r="AQ366" s="701"/>
      <c r="AR366" s="701"/>
      <c r="AS366" s="701"/>
      <c r="AT366" s="701"/>
      <c r="AU366" s="701"/>
      <c r="AV366" s="701"/>
      <c r="AW366" s="701"/>
      <c r="AX366" s="701"/>
      <c r="AY366" s="701"/>
      <c r="AZ366" s="701"/>
      <c r="BA366" s="701"/>
      <c r="BB366" s="701"/>
      <c r="BC366" s="701"/>
    </row>
    <row r="367" spans="1:55" s="702" customFormat="1" ht="35.1" customHeight="1">
      <c r="A367" s="703">
        <v>364</v>
      </c>
      <c r="B367" s="704" t="s">
        <v>2478</v>
      </c>
      <c r="C367" s="705" t="s">
        <v>685</v>
      </c>
      <c r="D367" s="706">
        <v>228000</v>
      </c>
      <c r="E367" s="706">
        <v>228000</v>
      </c>
      <c r="F367" s="707" t="s">
        <v>2476</v>
      </c>
      <c r="G367" s="699"/>
      <c r="H367" s="700"/>
      <c r="I367" s="700"/>
      <c r="J367" s="700"/>
      <c r="K367" s="700"/>
      <c r="L367" s="700"/>
      <c r="M367" s="701"/>
      <c r="N367" s="701"/>
      <c r="O367" s="701"/>
      <c r="P367" s="701"/>
      <c r="Q367" s="701"/>
      <c r="R367" s="701"/>
      <c r="S367" s="701"/>
      <c r="T367" s="701"/>
      <c r="U367" s="701"/>
      <c r="V367" s="701"/>
      <c r="W367" s="701"/>
      <c r="X367" s="701"/>
      <c r="Y367" s="701"/>
      <c r="Z367" s="701"/>
      <c r="AA367" s="701"/>
      <c r="AB367" s="701"/>
      <c r="AC367" s="701"/>
      <c r="AD367" s="701"/>
      <c r="AE367" s="701"/>
      <c r="AF367" s="701"/>
      <c r="AG367" s="701"/>
      <c r="AH367" s="701"/>
      <c r="AI367" s="701"/>
      <c r="AJ367" s="701"/>
      <c r="AK367" s="701"/>
      <c r="AL367" s="701"/>
      <c r="AM367" s="701"/>
      <c r="AN367" s="701"/>
      <c r="AO367" s="701"/>
      <c r="AP367" s="701"/>
      <c r="AQ367" s="701"/>
      <c r="AR367" s="701"/>
      <c r="AS367" s="701"/>
      <c r="AT367" s="701"/>
      <c r="AU367" s="701"/>
      <c r="AV367" s="701"/>
      <c r="AW367" s="701"/>
      <c r="AX367" s="701"/>
      <c r="AY367" s="701"/>
      <c r="AZ367" s="701"/>
      <c r="BA367" s="701"/>
      <c r="BB367" s="701"/>
      <c r="BC367" s="701"/>
    </row>
    <row r="368" spans="1:55" s="702" customFormat="1" ht="35.1" customHeight="1">
      <c r="A368" s="703">
        <v>365</v>
      </c>
      <c r="B368" s="704" t="s">
        <v>2479</v>
      </c>
      <c r="C368" s="705" t="s">
        <v>685</v>
      </c>
      <c r="D368" s="706">
        <f>ROUND(1955000/6,0)</f>
        <v>325833</v>
      </c>
      <c r="E368" s="706">
        <f>ROUND(1955000/6,0)</f>
        <v>325833</v>
      </c>
      <c r="F368" s="707" t="s">
        <v>2476</v>
      </c>
      <c r="G368" s="699"/>
      <c r="H368" s="700"/>
      <c r="I368" s="700"/>
      <c r="J368" s="700"/>
      <c r="K368" s="700"/>
      <c r="L368" s="700"/>
      <c r="M368" s="701"/>
      <c r="N368" s="701"/>
      <c r="O368" s="701"/>
      <c r="P368" s="701"/>
      <c r="Q368" s="701"/>
      <c r="R368" s="701"/>
      <c r="S368" s="701"/>
      <c r="T368" s="701"/>
      <c r="U368" s="701"/>
      <c r="V368" s="701"/>
      <c r="W368" s="701"/>
      <c r="X368" s="701"/>
      <c r="Y368" s="701"/>
      <c r="Z368" s="701"/>
      <c r="AA368" s="701"/>
      <c r="AB368" s="701"/>
      <c r="AC368" s="701"/>
      <c r="AD368" s="701"/>
      <c r="AE368" s="701"/>
      <c r="AF368" s="701"/>
      <c r="AG368" s="701"/>
      <c r="AH368" s="701"/>
      <c r="AI368" s="701"/>
      <c r="AJ368" s="701"/>
      <c r="AK368" s="701"/>
      <c r="AL368" s="701"/>
      <c r="AM368" s="701"/>
      <c r="AN368" s="701"/>
      <c r="AO368" s="701"/>
      <c r="AP368" s="701"/>
      <c r="AQ368" s="701"/>
      <c r="AR368" s="701"/>
      <c r="AS368" s="701"/>
      <c r="AT368" s="701"/>
      <c r="AU368" s="701"/>
      <c r="AV368" s="701"/>
      <c r="AW368" s="701"/>
      <c r="AX368" s="701"/>
      <c r="AY368" s="701"/>
      <c r="AZ368" s="701"/>
      <c r="BA368" s="701"/>
      <c r="BB368" s="701"/>
      <c r="BC368" s="701"/>
    </row>
    <row r="369" spans="1:55" s="702" customFormat="1" ht="35.1" customHeight="1">
      <c r="A369" s="703">
        <v>366</v>
      </c>
      <c r="B369" s="704" t="s">
        <v>2480</v>
      </c>
      <c r="C369" s="705" t="s">
        <v>685</v>
      </c>
      <c r="D369" s="706">
        <f>ROUND((175.68/6)*15700,0)</f>
        <v>459696</v>
      </c>
      <c r="E369" s="706">
        <f>ROUND((175.68/6)*15700,0)</f>
        <v>459696</v>
      </c>
      <c r="F369" s="707" t="s">
        <v>2474</v>
      </c>
      <c r="G369" s="699"/>
      <c r="H369" s="700"/>
      <c r="I369" s="700"/>
      <c r="J369" s="700"/>
      <c r="K369" s="700"/>
      <c r="L369" s="700"/>
      <c r="M369" s="701"/>
      <c r="N369" s="701"/>
      <c r="O369" s="701"/>
      <c r="P369" s="701"/>
      <c r="Q369" s="701"/>
      <c r="R369" s="701"/>
      <c r="S369" s="701"/>
      <c r="T369" s="701"/>
      <c r="U369" s="701"/>
      <c r="V369" s="701"/>
      <c r="W369" s="701"/>
      <c r="X369" s="701"/>
      <c r="Y369" s="701"/>
      <c r="Z369" s="701"/>
      <c r="AA369" s="701"/>
      <c r="AB369" s="701"/>
      <c r="AC369" s="701"/>
      <c r="AD369" s="701"/>
      <c r="AE369" s="701"/>
      <c r="AF369" s="701"/>
      <c r="AG369" s="701"/>
      <c r="AH369" s="701"/>
      <c r="AI369" s="701"/>
      <c r="AJ369" s="701"/>
      <c r="AK369" s="701"/>
      <c r="AL369" s="701"/>
      <c r="AM369" s="701"/>
      <c r="AN369" s="701"/>
      <c r="AO369" s="701"/>
      <c r="AP369" s="701"/>
      <c r="AQ369" s="701"/>
      <c r="AR369" s="701"/>
      <c r="AS369" s="701"/>
      <c r="AT369" s="701"/>
      <c r="AU369" s="701"/>
      <c r="AV369" s="701"/>
      <c r="AW369" s="701"/>
      <c r="AX369" s="701"/>
      <c r="AY369" s="701"/>
      <c r="AZ369" s="701"/>
      <c r="BA369" s="701"/>
      <c r="BB369" s="701"/>
      <c r="BC369" s="701"/>
    </row>
    <row r="370" spans="1:55" s="702" customFormat="1" ht="35.1" customHeight="1">
      <c r="A370" s="703">
        <v>367</v>
      </c>
      <c r="B370" s="704" t="s">
        <v>2481</v>
      </c>
      <c r="C370" s="705" t="s">
        <v>685</v>
      </c>
      <c r="D370" s="706">
        <f>ROUND(80000/1.1,0)</f>
        <v>72727</v>
      </c>
      <c r="E370" s="706">
        <f>ROUND(80000/1.1,0)</f>
        <v>72727</v>
      </c>
      <c r="F370" s="707" t="s">
        <v>2301</v>
      </c>
      <c r="G370" s="699"/>
      <c r="H370" s="700"/>
      <c r="I370" s="700"/>
      <c r="J370" s="700"/>
      <c r="K370" s="700"/>
      <c r="L370" s="700"/>
      <c r="M370" s="701"/>
      <c r="N370" s="701"/>
      <c r="O370" s="701"/>
      <c r="P370" s="701"/>
      <c r="Q370" s="701"/>
      <c r="R370" s="701"/>
      <c r="S370" s="701"/>
      <c r="T370" s="701"/>
      <c r="U370" s="701"/>
      <c r="V370" s="701"/>
      <c r="W370" s="701"/>
      <c r="X370" s="701"/>
      <c r="Y370" s="701"/>
      <c r="Z370" s="701"/>
      <c r="AA370" s="701"/>
      <c r="AB370" s="701"/>
      <c r="AC370" s="701"/>
      <c r="AD370" s="701"/>
      <c r="AE370" s="701"/>
      <c r="AF370" s="701"/>
      <c r="AG370" s="701"/>
      <c r="AH370" s="701"/>
      <c r="AI370" s="701"/>
      <c r="AJ370" s="701"/>
      <c r="AK370" s="701"/>
      <c r="AL370" s="701"/>
      <c r="AM370" s="701"/>
      <c r="AN370" s="701"/>
      <c r="AO370" s="701"/>
      <c r="AP370" s="701"/>
      <c r="AQ370" s="701"/>
      <c r="AR370" s="701"/>
      <c r="AS370" s="701"/>
      <c r="AT370" s="701"/>
      <c r="AU370" s="701"/>
      <c r="AV370" s="701"/>
      <c r="AW370" s="701"/>
      <c r="AX370" s="701"/>
      <c r="AY370" s="701"/>
      <c r="AZ370" s="701"/>
      <c r="BA370" s="701"/>
      <c r="BB370" s="701"/>
      <c r="BC370" s="701"/>
    </row>
    <row r="371" spans="1:55" s="702" customFormat="1" ht="35.1" customHeight="1">
      <c r="A371" s="703">
        <v>368</v>
      </c>
      <c r="B371" s="704" t="s">
        <v>2482</v>
      </c>
      <c r="C371" s="705" t="s">
        <v>685</v>
      </c>
      <c r="D371" s="706">
        <f>ROUND(28800/1.1,0)</f>
        <v>26182</v>
      </c>
      <c r="E371" s="706">
        <f>ROUND(28800/1.1,0)</f>
        <v>26182</v>
      </c>
      <c r="F371" s="707" t="s">
        <v>2301</v>
      </c>
      <c r="G371" s="699"/>
      <c r="H371" s="700"/>
      <c r="I371" s="700"/>
      <c r="J371" s="700"/>
      <c r="K371" s="700"/>
      <c r="L371" s="700"/>
      <c r="M371" s="701"/>
      <c r="N371" s="701"/>
      <c r="O371" s="701"/>
      <c r="P371" s="701"/>
      <c r="Q371" s="701"/>
      <c r="R371" s="701"/>
      <c r="S371" s="701"/>
      <c r="T371" s="701"/>
      <c r="U371" s="701"/>
      <c r="V371" s="701"/>
      <c r="W371" s="701"/>
      <c r="X371" s="701"/>
      <c r="Y371" s="701"/>
      <c r="Z371" s="701"/>
      <c r="AA371" s="701"/>
      <c r="AB371" s="701"/>
      <c r="AC371" s="701"/>
      <c r="AD371" s="701"/>
      <c r="AE371" s="701"/>
      <c r="AF371" s="701"/>
      <c r="AG371" s="701"/>
      <c r="AH371" s="701"/>
      <c r="AI371" s="701"/>
      <c r="AJ371" s="701"/>
      <c r="AK371" s="701"/>
      <c r="AL371" s="701"/>
      <c r="AM371" s="701"/>
      <c r="AN371" s="701"/>
      <c r="AO371" s="701"/>
      <c r="AP371" s="701"/>
      <c r="AQ371" s="701"/>
      <c r="AR371" s="701"/>
      <c r="AS371" s="701"/>
      <c r="AT371" s="701"/>
      <c r="AU371" s="701"/>
      <c r="AV371" s="701"/>
      <c r="AW371" s="701"/>
      <c r="AX371" s="701"/>
      <c r="AY371" s="701"/>
      <c r="AZ371" s="701"/>
      <c r="BA371" s="701"/>
      <c r="BB371" s="701"/>
      <c r="BC371" s="701"/>
    </row>
    <row r="372" spans="1:55" s="702" customFormat="1" ht="35.1" customHeight="1">
      <c r="A372" s="703">
        <v>369</v>
      </c>
      <c r="B372" s="704" t="s">
        <v>2483</v>
      </c>
      <c r="C372" s="705" t="s">
        <v>685</v>
      </c>
      <c r="D372" s="706">
        <f>ROUND(13500/1.1,0)</f>
        <v>12273</v>
      </c>
      <c r="E372" s="706">
        <f>ROUND(13500/1.1,0)</f>
        <v>12273</v>
      </c>
      <c r="F372" s="707" t="s">
        <v>2301</v>
      </c>
      <c r="G372" s="699"/>
      <c r="H372" s="700"/>
      <c r="I372" s="700"/>
      <c r="J372" s="700"/>
      <c r="K372" s="700"/>
      <c r="L372" s="700"/>
      <c r="M372" s="701"/>
      <c r="N372" s="701"/>
      <c r="O372" s="701"/>
      <c r="P372" s="701"/>
      <c r="Q372" s="701"/>
      <c r="R372" s="701"/>
      <c r="S372" s="701"/>
      <c r="T372" s="701"/>
      <c r="U372" s="701"/>
      <c r="V372" s="701"/>
      <c r="W372" s="701"/>
      <c r="X372" s="701"/>
      <c r="Y372" s="701"/>
      <c r="Z372" s="701"/>
      <c r="AA372" s="701"/>
      <c r="AB372" s="701"/>
      <c r="AC372" s="701"/>
      <c r="AD372" s="701"/>
      <c r="AE372" s="701"/>
      <c r="AF372" s="701"/>
      <c r="AG372" s="701"/>
      <c r="AH372" s="701"/>
      <c r="AI372" s="701"/>
      <c r="AJ372" s="701"/>
      <c r="AK372" s="701"/>
      <c r="AL372" s="701"/>
      <c r="AM372" s="701"/>
      <c r="AN372" s="701"/>
      <c r="AO372" s="701"/>
      <c r="AP372" s="701"/>
      <c r="AQ372" s="701"/>
      <c r="AR372" s="701"/>
      <c r="AS372" s="701"/>
      <c r="AT372" s="701"/>
      <c r="AU372" s="701"/>
      <c r="AV372" s="701"/>
      <c r="AW372" s="701"/>
      <c r="AX372" s="701"/>
      <c r="AY372" s="701"/>
      <c r="AZ372" s="701"/>
      <c r="BA372" s="701"/>
      <c r="BB372" s="701"/>
      <c r="BC372" s="701"/>
    </row>
    <row r="373" spans="1:55" s="702" customFormat="1" ht="35.1" customHeight="1">
      <c r="A373" s="703">
        <v>370</v>
      </c>
      <c r="B373" s="704" t="s">
        <v>2484</v>
      </c>
      <c r="C373" s="705" t="s">
        <v>685</v>
      </c>
      <c r="D373" s="706">
        <v>150000</v>
      </c>
      <c r="E373" s="709">
        <f>165500/1.1</f>
        <v>150454.54545454544</v>
      </c>
      <c r="F373" s="707" t="s">
        <v>2301</v>
      </c>
      <c r="G373" s="699"/>
      <c r="H373" s="700"/>
      <c r="I373" s="700"/>
      <c r="J373" s="700"/>
      <c r="K373" s="700"/>
      <c r="L373" s="700"/>
      <c r="M373" s="701"/>
      <c r="N373" s="701"/>
      <c r="O373" s="701"/>
      <c r="P373" s="701"/>
      <c r="Q373" s="701"/>
      <c r="R373" s="701"/>
      <c r="S373" s="701"/>
      <c r="T373" s="701"/>
      <c r="U373" s="701"/>
      <c r="V373" s="701"/>
      <c r="W373" s="701"/>
      <c r="X373" s="701"/>
      <c r="Y373" s="701"/>
      <c r="Z373" s="701"/>
      <c r="AA373" s="701"/>
      <c r="AB373" s="701"/>
      <c r="AC373" s="701"/>
      <c r="AD373" s="701"/>
      <c r="AE373" s="701"/>
      <c r="AF373" s="701"/>
      <c r="AG373" s="701"/>
      <c r="AH373" s="701"/>
      <c r="AI373" s="701"/>
      <c r="AJ373" s="701"/>
      <c r="AK373" s="701"/>
      <c r="AL373" s="701"/>
      <c r="AM373" s="701"/>
      <c r="AN373" s="701"/>
      <c r="AO373" s="701"/>
      <c r="AP373" s="701"/>
      <c r="AQ373" s="701"/>
      <c r="AR373" s="701"/>
      <c r="AS373" s="701"/>
      <c r="AT373" s="701"/>
      <c r="AU373" s="701"/>
      <c r="AV373" s="701"/>
      <c r="AW373" s="701"/>
      <c r="AX373" s="701"/>
      <c r="AY373" s="701"/>
      <c r="AZ373" s="701"/>
      <c r="BA373" s="701"/>
      <c r="BB373" s="701"/>
      <c r="BC373" s="701"/>
    </row>
    <row r="374" spans="1:55" s="702" customFormat="1" ht="35.1" customHeight="1">
      <c r="A374" s="703">
        <v>371</v>
      </c>
      <c r="B374" s="704" t="s">
        <v>2485</v>
      </c>
      <c r="C374" s="705" t="s">
        <v>685</v>
      </c>
      <c r="D374" s="706">
        <v>150000</v>
      </c>
      <c r="E374" s="709">
        <v>150000</v>
      </c>
      <c r="F374" s="707"/>
      <c r="G374" s="699"/>
      <c r="H374" s="700"/>
      <c r="I374" s="700"/>
      <c r="J374" s="700"/>
      <c r="K374" s="700"/>
      <c r="L374" s="700"/>
      <c r="M374" s="701"/>
      <c r="N374" s="701"/>
      <c r="O374" s="701"/>
      <c r="P374" s="701"/>
      <c r="Q374" s="701"/>
      <c r="R374" s="701"/>
      <c r="S374" s="701"/>
      <c r="T374" s="701"/>
      <c r="U374" s="701"/>
      <c r="V374" s="701"/>
      <c r="W374" s="701"/>
      <c r="X374" s="701"/>
      <c r="Y374" s="701"/>
      <c r="Z374" s="701"/>
      <c r="AA374" s="701"/>
      <c r="AB374" s="701"/>
      <c r="AC374" s="701"/>
      <c r="AD374" s="701"/>
      <c r="AE374" s="701"/>
      <c r="AF374" s="701"/>
      <c r="AG374" s="701"/>
      <c r="AH374" s="701"/>
      <c r="AI374" s="701"/>
      <c r="AJ374" s="701"/>
      <c r="AK374" s="701"/>
      <c r="AL374" s="701"/>
      <c r="AM374" s="701"/>
      <c r="AN374" s="701"/>
      <c r="AO374" s="701"/>
      <c r="AP374" s="701"/>
      <c r="AQ374" s="701"/>
      <c r="AR374" s="701"/>
      <c r="AS374" s="701"/>
      <c r="AT374" s="701"/>
      <c r="AU374" s="701"/>
      <c r="AV374" s="701"/>
      <c r="AW374" s="701"/>
      <c r="AX374" s="701"/>
      <c r="AY374" s="701"/>
      <c r="AZ374" s="701"/>
      <c r="BA374" s="701"/>
      <c r="BB374" s="701"/>
      <c r="BC374" s="701"/>
    </row>
    <row r="375" spans="1:55" s="702" customFormat="1" ht="35.1" customHeight="1">
      <c r="A375" s="703">
        <v>372</v>
      </c>
      <c r="B375" s="704" t="s">
        <v>2486</v>
      </c>
      <c r="C375" s="705" t="s">
        <v>655</v>
      </c>
      <c r="D375" s="706">
        <v>320000</v>
      </c>
      <c r="E375" s="706">
        <v>320000</v>
      </c>
      <c r="F375" s="707" t="s">
        <v>2487</v>
      </c>
      <c r="G375" s="699"/>
      <c r="H375" s="700"/>
      <c r="I375" s="700"/>
      <c r="J375" s="700"/>
      <c r="K375" s="700"/>
      <c r="L375" s="700"/>
      <c r="M375" s="701"/>
      <c r="N375" s="701"/>
      <c r="O375" s="701"/>
      <c r="P375" s="701"/>
      <c r="Q375" s="701"/>
      <c r="R375" s="701"/>
      <c r="S375" s="701"/>
      <c r="T375" s="701"/>
      <c r="U375" s="701"/>
      <c r="V375" s="701"/>
      <c r="W375" s="701"/>
      <c r="X375" s="701"/>
      <c r="Y375" s="701"/>
      <c r="Z375" s="701"/>
      <c r="AA375" s="701"/>
      <c r="AB375" s="701"/>
      <c r="AC375" s="701"/>
      <c r="AD375" s="701"/>
      <c r="AE375" s="701"/>
      <c r="AF375" s="701"/>
      <c r="AG375" s="701"/>
      <c r="AH375" s="701"/>
      <c r="AI375" s="701"/>
      <c r="AJ375" s="701"/>
      <c r="AK375" s="701"/>
      <c r="AL375" s="701"/>
      <c r="AM375" s="701"/>
      <c r="AN375" s="701"/>
      <c r="AO375" s="701"/>
      <c r="AP375" s="701"/>
      <c r="AQ375" s="701"/>
      <c r="AR375" s="701"/>
      <c r="AS375" s="701"/>
      <c r="AT375" s="701"/>
      <c r="AU375" s="701"/>
      <c r="AV375" s="701"/>
      <c r="AW375" s="701"/>
      <c r="AX375" s="701"/>
      <c r="AY375" s="701"/>
      <c r="AZ375" s="701"/>
      <c r="BA375" s="701"/>
      <c r="BB375" s="701"/>
      <c r="BC375" s="701"/>
    </row>
    <row r="376" spans="1:55" s="702" customFormat="1" ht="35.1" customHeight="1">
      <c r="A376" s="703">
        <v>373</v>
      </c>
      <c r="B376" s="704" t="s">
        <v>2488</v>
      </c>
      <c r="C376" s="705" t="s">
        <v>655</v>
      </c>
      <c r="D376" s="706">
        <v>650000</v>
      </c>
      <c r="E376" s="706">
        <v>650000</v>
      </c>
      <c r="F376" s="707" t="s">
        <v>2201</v>
      </c>
      <c r="G376" s="699"/>
      <c r="H376" s="700"/>
      <c r="I376" s="700"/>
      <c r="J376" s="700"/>
      <c r="K376" s="700"/>
      <c r="L376" s="700"/>
      <c r="M376" s="701"/>
      <c r="N376" s="701"/>
      <c r="O376" s="701"/>
      <c r="P376" s="701"/>
      <c r="Q376" s="701"/>
      <c r="R376" s="701"/>
      <c r="S376" s="701"/>
      <c r="T376" s="701"/>
      <c r="U376" s="701"/>
      <c r="V376" s="701"/>
      <c r="W376" s="701"/>
      <c r="X376" s="701"/>
      <c r="Y376" s="701"/>
      <c r="Z376" s="701"/>
      <c r="AA376" s="701"/>
      <c r="AB376" s="701"/>
      <c r="AC376" s="701"/>
      <c r="AD376" s="701"/>
      <c r="AE376" s="701"/>
      <c r="AF376" s="701"/>
      <c r="AG376" s="701"/>
      <c r="AH376" s="701"/>
      <c r="AI376" s="701"/>
      <c r="AJ376" s="701"/>
      <c r="AK376" s="701"/>
      <c r="AL376" s="701"/>
      <c r="AM376" s="701"/>
      <c r="AN376" s="701"/>
      <c r="AO376" s="701"/>
      <c r="AP376" s="701"/>
      <c r="AQ376" s="701"/>
      <c r="AR376" s="701"/>
      <c r="AS376" s="701"/>
      <c r="AT376" s="701"/>
      <c r="AU376" s="701"/>
      <c r="AV376" s="701"/>
      <c r="AW376" s="701"/>
      <c r="AX376" s="701"/>
      <c r="AY376" s="701"/>
      <c r="AZ376" s="701"/>
      <c r="BA376" s="701"/>
      <c r="BB376" s="701"/>
      <c r="BC376" s="701"/>
    </row>
    <row r="377" spans="1:55" s="702" customFormat="1" ht="35.1" customHeight="1">
      <c r="A377" s="703">
        <v>374</v>
      </c>
      <c r="B377" s="704" t="s">
        <v>2489</v>
      </c>
      <c r="C377" s="705" t="s">
        <v>655</v>
      </c>
      <c r="D377" s="706">
        <f>ROUND(260000/1.1,0)</f>
        <v>236364</v>
      </c>
      <c r="E377" s="706">
        <f>ROUND(260000/1.1,0)</f>
        <v>236364</v>
      </c>
      <c r="F377" s="707" t="s">
        <v>2490</v>
      </c>
      <c r="G377" s="699"/>
      <c r="H377" s="700"/>
      <c r="I377" s="700"/>
      <c r="J377" s="700"/>
      <c r="K377" s="700"/>
      <c r="L377" s="700"/>
      <c r="M377" s="701"/>
      <c r="N377" s="701"/>
      <c r="O377" s="701"/>
      <c r="P377" s="701"/>
      <c r="Q377" s="701"/>
      <c r="R377" s="701"/>
      <c r="S377" s="701"/>
      <c r="T377" s="701"/>
      <c r="U377" s="701"/>
      <c r="V377" s="701"/>
      <c r="W377" s="701"/>
      <c r="X377" s="701"/>
      <c r="Y377" s="701"/>
      <c r="Z377" s="701"/>
      <c r="AA377" s="701"/>
      <c r="AB377" s="701"/>
      <c r="AC377" s="701"/>
      <c r="AD377" s="701"/>
      <c r="AE377" s="701"/>
      <c r="AF377" s="701"/>
      <c r="AG377" s="701"/>
      <c r="AH377" s="701"/>
      <c r="AI377" s="701"/>
      <c r="AJ377" s="701"/>
      <c r="AK377" s="701"/>
      <c r="AL377" s="701"/>
      <c r="AM377" s="701"/>
      <c r="AN377" s="701"/>
      <c r="AO377" s="701"/>
      <c r="AP377" s="701"/>
      <c r="AQ377" s="701"/>
      <c r="AR377" s="701"/>
      <c r="AS377" s="701"/>
      <c r="AT377" s="701"/>
      <c r="AU377" s="701"/>
      <c r="AV377" s="701"/>
      <c r="AW377" s="701"/>
      <c r="AX377" s="701"/>
      <c r="AY377" s="701"/>
      <c r="AZ377" s="701"/>
      <c r="BA377" s="701"/>
      <c r="BB377" s="701"/>
      <c r="BC377" s="701"/>
    </row>
    <row r="378" spans="1:55" s="702" customFormat="1" ht="35.1" customHeight="1">
      <c r="A378" s="703">
        <v>375</v>
      </c>
      <c r="B378" s="704" t="s">
        <v>2491</v>
      </c>
      <c r="C378" s="705" t="s">
        <v>655</v>
      </c>
      <c r="D378" s="706">
        <v>180000</v>
      </c>
      <c r="E378" s="706">
        <v>180000</v>
      </c>
      <c r="F378" s="707" t="s">
        <v>2201</v>
      </c>
      <c r="G378" s="699"/>
      <c r="H378" s="700"/>
      <c r="I378" s="700"/>
      <c r="J378" s="700"/>
      <c r="K378" s="700"/>
      <c r="L378" s="700"/>
      <c r="M378" s="701"/>
      <c r="N378" s="701"/>
      <c r="O378" s="701"/>
      <c r="P378" s="701"/>
      <c r="Q378" s="701"/>
      <c r="R378" s="701"/>
      <c r="S378" s="701"/>
      <c r="T378" s="701"/>
      <c r="U378" s="701"/>
      <c r="V378" s="701"/>
      <c r="W378" s="701"/>
      <c r="X378" s="701"/>
      <c r="Y378" s="701"/>
      <c r="Z378" s="701"/>
      <c r="AA378" s="701"/>
      <c r="AB378" s="701"/>
      <c r="AC378" s="701"/>
      <c r="AD378" s="701"/>
      <c r="AE378" s="701"/>
      <c r="AF378" s="701"/>
      <c r="AG378" s="701"/>
      <c r="AH378" s="701"/>
      <c r="AI378" s="701"/>
      <c r="AJ378" s="701"/>
      <c r="AK378" s="701"/>
      <c r="AL378" s="701"/>
      <c r="AM378" s="701"/>
      <c r="AN378" s="701"/>
      <c r="AO378" s="701"/>
      <c r="AP378" s="701"/>
      <c r="AQ378" s="701"/>
      <c r="AR378" s="701"/>
      <c r="AS378" s="701"/>
      <c r="AT378" s="701"/>
      <c r="AU378" s="701"/>
      <c r="AV378" s="701"/>
      <c r="AW378" s="701"/>
      <c r="AX378" s="701"/>
      <c r="AY378" s="701"/>
      <c r="AZ378" s="701"/>
      <c r="BA378" s="701"/>
      <c r="BB378" s="701"/>
      <c r="BC378" s="701"/>
    </row>
    <row r="379" spans="1:55" s="702" customFormat="1" ht="35.1" customHeight="1">
      <c r="A379" s="703">
        <v>376</v>
      </c>
      <c r="B379" s="704" t="s">
        <v>2492</v>
      </c>
      <c r="C379" s="705" t="s">
        <v>655</v>
      </c>
      <c r="D379" s="706">
        <v>150000</v>
      </c>
      <c r="E379" s="706">
        <v>150000</v>
      </c>
      <c r="F379" s="707" t="s">
        <v>2201</v>
      </c>
      <c r="G379" s="699"/>
      <c r="H379" s="700"/>
      <c r="I379" s="700"/>
      <c r="J379" s="700"/>
      <c r="K379" s="700"/>
      <c r="L379" s="700"/>
      <c r="M379" s="701"/>
      <c r="N379" s="701"/>
      <c r="O379" s="701"/>
      <c r="P379" s="701"/>
      <c r="Q379" s="701"/>
      <c r="R379" s="701"/>
      <c r="S379" s="701"/>
      <c r="T379" s="701"/>
      <c r="U379" s="701"/>
      <c r="V379" s="701"/>
      <c r="W379" s="701"/>
      <c r="X379" s="701"/>
      <c r="Y379" s="701"/>
      <c r="Z379" s="701"/>
      <c r="AA379" s="701"/>
      <c r="AB379" s="701"/>
      <c r="AC379" s="701"/>
      <c r="AD379" s="701"/>
      <c r="AE379" s="701"/>
      <c r="AF379" s="701"/>
      <c r="AG379" s="701"/>
      <c r="AH379" s="701"/>
      <c r="AI379" s="701"/>
      <c r="AJ379" s="701"/>
      <c r="AK379" s="701"/>
      <c r="AL379" s="701"/>
      <c r="AM379" s="701"/>
      <c r="AN379" s="701"/>
      <c r="AO379" s="701"/>
      <c r="AP379" s="701"/>
      <c r="AQ379" s="701"/>
      <c r="AR379" s="701"/>
      <c r="AS379" s="701"/>
      <c r="AT379" s="701"/>
      <c r="AU379" s="701"/>
      <c r="AV379" s="701"/>
      <c r="AW379" s="701"/>
      <c r="AX379" s="701"/>
      <c r="AY379" s="701"/>
      <c r="AZ379" s="701"/>
      <c r="BA379" s="701"/>
      <c r="BB379" s="701"/>
      <c r="BC379" s="701"/>
    </row>
    <row r="380" spans="1:55" s="702" customFormat="1" ht="35.1" customHeight="1">
      <c r="A380" s="703">
        <v>377</v>
      </c>
      <c r="B380" s="704" t="s">
        <v>2493</v>
      </c>
      <c r="C380" s="705" t="s">
        <v>655</v>
      </c>
      <c r="D380" s="706">
        <v>10000</v>
      </c>
      <c r="E380" s="706">
        <v>10000</v>
      </c>
      <c r="F380" s="707" t="s">
        <v>2201</v>
      </c>
      <c r="G380" s="699"/>
      <c r="H380" s="700"/>
      <c r="I380" s="700"/>
      <c r="J380" s="700"/>
      <c r="K380" s="700"/>
      <c r="L380" s="700"/>
      <c r="M380" s="701"/>
      <c r="N380" s="701"/>
      <c r="O380" s="701"/>
      <c r="P380" s="701"/>
      <c r="Q380" s="701"/>
      <c r="R380" s="701"/>
      <c r="S380" s="701"/>
      <c r="T380" s="701"/>
      <c r="U380" s="701"/>
      <c r="V380" s="701"/>
      <c r="W380" s="701"/>
      <c r="X380" s="701"/>
      <c r="Y380" s="701"/>
      <c r="Z380" s="701"/>
      <c r="AA380" s="701"/>
      <c r="AB380" s="701"/>
      <c r="AC380" s="701"/>
      <c r="AD380" s="701"/>
      <c r="AE380" s="701"/>
      <c r="AF380" s="701"/>
      <c r="AG380" s="701"/>
      <c r="AH380" s="701"/>
      <c r="AI380" s="701"/>
      <c r="AJ380" s="701"/>
      <c r="AK380" s="701"/>
      <c r="AL380" s="701"/>
      <c r="AM380" s="701"/>
      <c r="AN380" s="701"/>
      <c r="AO380" s="701"/>
      <c r="AP380" s="701"/>
      <c r="AQ380" s="701"/>
      <c r="AR380" s="701"/>
      <c r="AS380" s="701"/>
      <c r="AT380" s="701"/>
      <c r="AU380" s="701"/>
      <c r="AV380" s="701"/>
      <c r="AW380" s="701"/>
      <c r="AX380" s="701"/>
      <c r="AY380" s="701"/>
      <c r="AZ380" s="701"/>
      <c r="BA380" s="701"/>
      <c r="BB380" s="701"/>
      <c r="BC380" s="701"/>
    </row>
    <row r="381" spans="1:55" s="702" customFormat="1" ht="45">
      <c r="A381" s="703">
        <v>378</v>
      </c>
      <c r="B381" s="704" t="s">
        <v>2494</v>
      </c>
      <c r="C381" s="705" t="s">
        <v>1745</v>
      </c>
      <c r="D381" s="706">
        <v>53091</v>
      </c>
      <c r="E381" s="706">
        <v>53091</v>
      </c>
      <c r="F381" s="707" t="s">
        <v>2068</v>
      </c>
      <c r="G381" s="699"/>
      <c r="H381" s="700"/>
      <c r="I381" s="700" t="s">
        <v>2061</v>
      </c>
      <c r="J381" s="700"/>
      <c r="K381" s="700"/>
      <c r="L381" s="700"/>
      <c r="M381" s="701"/>
      <c r="N381" s="701"/>
      <c r="O381" s="701"/>
      <c r="P381" s="701"/>
      <c r="Q381" s="701"/>
      <c r="R381" s="701"/>
      <c r="S381" s="701"/>
      <c r="T381" s="701"/>
      <c r="U381" s="701"/>
      <c r="V381" s="701"/>
      <c r="W381" s="701"/>
      <c r="X381" s="701"/>
      <c r="Y381" s="701"/>
      <c r="Z381" s="701"/>
      <c r="AA381" s="701"/>
      <c r="AB381" s="701"/>
      <c r="AC381" s="701"/>
      <c r="AD381" s="701"/>
      <c r="AE381" s="701"/>
      <c r="AF381" s="701"/>
      <c r="AG381" s="701"/>
      <c r="AH381" s="701"/>
      <c r="AI381" s="701"/>
      <c r="AJ381" s="701"/>
      <c r="AK381" s="701"/>
      <c r="AL381" s="701"/>
      <c r="AM381" s="701"/>
      <c r="AN381" s="701"/>
      <c r="AO381" s="701"/>
      <c r="AP381" s="701"/>
      <c r="AQ381" s="701"/>
      <c r="AR381" s="701"/>
      <c r="AS381" s="701"/>
      <c r="AT381" s="701"/>
      <c r="AU381" s="701"/>
      <c r="AV381" s="701"/>
      <c r="AW381" s="701"/>
      <c r="AX381" s="701"/>
      <c r="AY381" s="701"/>
      <c r="AZ381" s="701"/>
      <c r="BA381" s="701"/>
      <c r="BB381" s="701"/>
      <c r="BC381" s="701"/>
    </row>
    <row r="382" spans="1:55" s="702" customFormat="1" ht="45">
      <c r="A382" s="703">
        <v>379</v>
      </c>
      <c r="B382" s="704" t="s">
        <v>2495</v>
      </c>
      <c r="C382" s="705" t="s">
        <v>1745</v>
      </c>
      <c r="D382" s="706">
        <f>ROUND(800000/25,0)</f>
        <v>32000</v>
      </c>
      <c r="E382" s="706">
        <f>ROUND(800000/25,0)</f>
        <v>32000</v>
      </c>
      <c r="F382" s="707" t="s">
        <v>2068</v>
      </c>
      <c r="G382" s="699"/>
      <c r="H382" s="700"/>
      <c r="I382" s="700" t="s">
        <v>2061</v>
      </c>
      <c r="J382" s="700"/>
      <c r="K382" s="700"/>
      <c r="L382" s="700"/>
      <c r="M382" s="701"/>
      <c r="N382" s="701"/>
      <c r="O382" s="701"/>
      <c r="P382" s="701"/>
      <c r="Q382" s="701"/>
      <c r="R382" s="701"/>
      <c r="S382" s="701"/>
      <c r="T382" s="701"/>
      <c r="U382" s="701"/>
      <c r="V382" s="701"/>
      <c r="W382" s="701"/>
      <c r="X382" s="701"/>
      <c r="Y382" s="701"/>
      <c r="Z382" s="701"/>
      <c r="AA382" s="701"/>
      <c r="AB382" s="701"/>
      <c r="AC382" s="701"/>
      <c r="AD382" s="701"/>
      <c r="AE382" s="701"/>
      <c r="AF382" s="701"/>
      <c r="AG382" s="701"/>
      <c r="AH382" s="701"/>
      <c r="AI382" s="701"/>
      <c r="AJ382" s="701"/>
      <c r="AK382" s="701"/>
      <c r="AL382" s="701"/>
      <c r="AM382" s="701"/>
      <c r="AN382" s="701"/>
      <c r="AO382" s="701"/>
      <c r="AP382" s="701"/>
      <c r="AQ382" s="701"/>
      <c r="AR382" s="701"/>
      <c r="AS382" s="701"/>
      <c r="AT382" s="701"/>
      <c r="AU382" s="701"/>
      <c r="AV382" s="701"/>
      <c r="AW382" s="701"/>
      <c r="AX382" s="701"/>
      <c r="AY382" s="701"/>
      <c r="AZ382" s="701"/>
      <c r="BA382" s="701"/>
      <c r="BB382" s="701"/>
      <c r="BC382" s="701"/>
    </row>
    <row r="383" spans="1:55" s="702" customFormat="1" ht="45">
      <c r="A383" s="703">
        <v>380</v>
      </c>
      <c r="B383" s="704" t="s">
        <v>2496</v>
      </c>
      <c r="C383" s="705" t="s">
        <v>1730</v>
      </c>
      <c r="D383" s="706">
        <v>22909</v>
      </c>
      <c r="E383" s="706">
        <v>22909</v>
      </c>
      <c r="F383" s="707" t="s">
        <v>2068</v>
      </c>
      <c r="G383" s="699"/>
      <c r="H383" s="700"/>
      <c r="I383" s="700" t="s">
        <v>2061</v>
      </c>
      <c r="J383" s="700"/>
      <c r="K383" s="700"/>
      <c r="L383" s="700"/>
      <c r="M383" s="701"/>
      <c r="N383" s="701"/>
      <c r="O383" s="701"/>
      <c r="P383" s="701"/>
      <c r="Q383" s="701"/>
      <c r="R383" s="701"/>
      <c r="S383" s="701"/>
      <c r="T383" s="701"/>
      <c r="U383" s="701"/>
      <c r="V383" s="701"/>
      <c r="W383" s="701"/>
      <c r="X383" s="701"/>
      <c r="Y383" s="701"/>
      <c r="Z383" s="701"/>
      <c r="AA383" s="701"/>
      <c r="AB383" s="701"/>
      <c r="AC383" s="701"/>
      <c r="AD383" s="701"/>
      <c r="AE383" s="701"/>
      <c r="AF383" s="701"/>
      <c r="AG383" s="701"/>
      <c r="AH383" s="701"/>
      <c r="AI383" s="701"/>
      <c r="AJ383" s="701"/>
      <c r="AK383" s="701"/>
      <c r="AL383" s="701"/>
      <c r="AM383" s="701"/>
      <c r="AN383" s="701"/>
      <c r="AO383" s="701"/>
      <c r="AP383" s="701"/>
      <c r="AQ383" s="701"/>
      <c r="AR383" s="701"/>
      <c r="AS383" s="701"/>
      <c r="AT383" s="701"/>
      <c r="AU383" s="701"/>
      <c r="AV383" s="701"/>
      <c r="AW383" s="701"/>
      <c r="AX383" s="701"/>
      <c r="AY383" s="701"/>
      <c r="AZ383" s="701"/>
      <c r="BA383" s="701"/>
      <c r="BB383" s="701"/>
      <c r="BC383" s="701"/>
    </row>
    <row r="384" spans="1:55" s="702" customFormat="1" ht="45">
      <c r="A384" s="703">
        <v>381</v>
      </c>
      <c r="B384" s="704" t="s">
        <v>2497</v>
      </c>
      <c r="C384" s="705" t="s">
        <v>1730</v>
      </c>
      <c r="D384" s="706">
        <v>55051</v>
      </c>
      <c r="E384" s="706">
        <v>55051</v>
      </c>
      <c r="F384" s="707" t="s">
        <v>2068</v>
      </c>
      <c r="G384" s="699"/>
      <c r="H384" s="700"/>
      <c r="I384" s="700" t="s">
        <v>2061</v>
      </c>
      <c r="J384" s="700"/>
      <c r="K384" s="700"/>
      <c r="L384" s="700"/>
      <c r="M384" s="701"/>
      <c r="N384" s="701"/>
      <c r="O384" s="701"/>
      <c r="P384" s="701"/>
      <c r="Q384" s="701"/>
      <c r="R384" s="701"/>
      <c r="S384" s="701"/>
      <c r="T384" s="701"/>
      <c r="U384" s="701"/>
      <c r="V384" s="701"/>
      <c r="W384" s="701"/>
      <c r="X384" s="701"/>
      <c r="Y384" s="701"/>
      <c r="Z384" s="701"/>
      <c r="AA384" s="701"/>
      <c r="AB384" s="701"/>
      <c r="AC384" s="701"/>
      <c r="AD384" s="701"/>
      <c r="AE384" s="701"/>
      <c r="AF384" s="701"/>
      <c r="AG384" s="701"/>
      <c r="AH384" s="701"/>
      <c r="AI384" s="701"/>
      <c r="AJ384" s="701"/>
      <c r="AK384" s="701"/>
      <c r="AL384" s="701"/>
      <c r="AM384" s="701"/>
      <c r="AN384" s="701"/>
      <c r="AO384" s="701"/>
      <c r="AP384" s="701"/>
      <c r="AQ384" s="701"/>
      <c r="AR384" s="701"/>
      <c r="AS384" s="701"/>
      <c r="AT384" s="701"/>
      <c r="AU384" s="701"/>
      <c r="AV384" s="701"/>
      <c r="AW384" s="701"/>
      <c r="AX384" s="701"/>
      <c r="AY384" s="701"/>
      <c r="AZ384" s="701"/>
      <c r="BA384" s="701"/>
      <c r="BB384" s="701"/>
      <c r="BC384" s="701"/>
    </row>
    <row r="385" spans="1:55" s="702" customFormat="1" ht="35.1" customHeight="1">
      <c r="A385" s="703">
        <v>382</v>
      </c>
      <c r="B385" s="704" t="s">
        <v>2498</v>
      </c>
      <c r="C385" s="705" t="s">
        <v>1730</v>
      </c>
      <c r="D385" s="706">
        <v>600000</v>
      </c>
      <c r="E385" s="706">
        <v>600000</v>
      </c>
      <c r="F385" s="707"/>
      <c r="G385" s="699"/>
      <c r="H385" s="700"/>
      <c r="I385" s="700" t="s">
        <v>2499</v>
      </c>
      <c r="J385" s="700"/>
      <c r="K385" s="700"/>
      <c r="L385" s="700"/>
      <c r="M385" s="701"/>
      <c r="N385" s="701"/>
      <c r="O385" s="701"/>
      <c r="P385" s="701"/>
      <c r="Q385" s="701"/>
      <c r="R385" s="701"/>
      <c r="S385" s="701"/>
      <c r="T385" s="701"/>
      <c r="U385" s="701"/>
      <c r="V385" s="701"/>
      <c r="W385" s="701"/>
      <c r="X385" s="701"/>
      <c r="Y385" s="701"/>
      <c r="Z385" s="701"/>
      <c r="AA385" s="701"/>
      <c r="AB385" s="701"/>
      <c r="AC385" s="701"/>
      <c r="AD385" s="701"/>
      <c r="AE385" s="701"/>
      <c r="AF385" s="701"/>
      <c r="AG385" s="701"/>
      <c r="AH385" s="701"/>
      <c r="AI385" s="701"/>
      <c r="AJ385" s="701"/>
      <c r="AK385" s="701"/>
      <c r="AL385" s="701"/>
      <c r="AM385" s="701"/>
      <c r="AN385" s="701"/>
      <c r="AO385" s="701"/>
      <c r="AP385" s="701"/>
      <c r="AQ385" s="701"/>
      <c r="AR385" s="701"/>
      <c r="AS385" s="701"/>
      <c r="AT385" s="701"/>
      <c r="AU385" s="701"/>
      <c r="AV385" s="701"/>
      <c r="AW385" s="701"/>
      <c r="AX385" s="701"/>
      <c r="AY385" s="701"/>
      <c r="AZ385" s="701"/>
      <c r="BA385" s="701"/>
      <c r="BB385" s="701"/>
      <c r="BC385" s="701"/>
    </row>
    <row r="386" spans="1:55" s="702" customFormat="1" ht="35.1" customHeight="1">
      <c r="A386" s="703">
        <v>383</v>
      </c>
      <c r="B386" s="704" t="s">
        <v>2500</v>
      </c>
      <c r="C386" s="705" t="s">
        <v>1730</v>
      </c>
      <c r="D386" s="706">
        <v>318182</v>
      </c>
      <c r="E386" s="706">
        <v>318182</v>
      </c>
      <c r="F386" s="707"/>
      <c r="G386" s="699"/>
      <c r="H386" s="700"/>
      <c r="I386" s="700" t="s">
        <v>2499</v>
      </c>
      <c r="J386" s="700"/>
      <c r="K386" s="700"/>
      <c r="L386" s="700"/>
      <c r="M386" s="701"/>
      <c r="N386" s="701"/>
      <c r="O386" s="701"/>
      <c r="P386" s="701"/>
      <c r="Q386" s="701"/>
      <c r="R386" s="701"/>
      <c r="S386" s="701"/>
      <c r="T386" s="701"/>
      <c r="U386" s="701"/>
      <c r="V386" s="701"/>
      <c r="W386" s="701"/>
      <c r="X386" s="701"/>
      <c r="Y386" s="701"/>
      <c r="Z386" s="701"/>
      <c r="AA386" s="701"/>
      <c r="AB386" s="701"/>
      <c r="AC386" s="701"/>
      <c r="AD386" s="701"/>
      <c r="AE386" s="701"/>
      <c r="AF386" s="701"/>
      <c r="AG386" s="701"/>
      <c r="AH386" s="701"/>
      <c r="AI386" s="701"/>
      <c r="AJ386" s="701"/>
      <c r="AK386" s="701"/>
      <c r="AL386" s="701"/>
      <c r="AM386" s="701"/>
      <c r="AN386" s="701"/>
      <c r="AO386" s="701"/>
      <c r="AP386" s="701"/>
      <c r="AQ386" s="701"/>
      <c r="AR386" s="701"/>
      <c r="AS386" s="701"/>
      <c r="AT386" s="701"/>
      <c r="AU386" s="701"/>
      <c r="AV386" s="701"/>
      <c r="AW386" s="701"/>
      <c r="AX386" s="701"/>
      <c r="AY386" s="701"/>
      <c r="AZ386" s="701"/>
      <c r="BA386" s="701"/>
      <c r="BB386" s="701"/>
      <c r="BC386" s="701"/>
    </row>
    <row r="387" spans="1:55" s="720" customFormat="1" ht="35.1" customHeight="1">
      <c r="A387" s="703">
        <v>384</v>
      </c>
      <c r="B387" s="704" t="s">
        <v>2501</v>
      </c>
      <c r="C387" s="705" t="s">
        <v>1745</v>
      </c>
      <c r="D387" s="706">
        <v>95000</v>
      </c>
      <c r="E387" s="711">
        <v>100000</v>
      </c>
      <c r="F387" s="707" t="s">
        <v>2502</v>
      </c>
      <c r="G387" s="712"/>
      <c r="H387" s="700"/>
      <c r="I387" s="700"/>
      <c r="J387" s="700"/>
      <c r="K387" s="700"/>
      <c r="L387" s="700"/>
      <c r="M387" s="713"/>
      <c r="N387" s="713"/>
      <c r="O387" s="713"/>
      <c r="P387" s="713"/>
      <c r="Q387" s="713"/>
      <c r="R387" s="713"/>
      <c r="S387" s="713"/>
      <c r="T387" s="713"/>
      <c r="U387" s="713"/>
      <c r="V387" s="713"/>
      <c r="W387" s="713"/>
      <c r="X387" s="713"/>
      <c r="Y387" s="713"/>
      <c r="Z387" s="713"/>
      <c r="AA387" s="713"/>
      <c r="AB387" s="713"/>
      <c r="AC387" s="713"/>
      <c r="AD387" s="713"/>
      <c r="AE387" s="713"/>
      <c r="AF387" s="713"/>
      <c r="AG387" s="713"/>
      <c r="AH387" s="713"/>
      <c r="AI387" s="713"/>
      <c r="AJ387" s="713"/>
      <c r="AK387" s="713"/>
      <c r="AL387" s="713"/>
      <c r="AM387" s="713"/>
      <c r="AN387" s="713"/>
      <c r="AO387" s="713"/>
      <c r="AP387" s="713"/>
      <c r="AQ387" s="713"/>
      <c r="AR387" s="713"/>
      <c r="AS387" s="713"/>
      <c r="AT387" s="713"/>
      <c r="AU387" s="713"/>
      <c r="AV387" s="713"/>
      <c r="AW387" s="713"/>
      <c r="AX387" s="713"/>
      <c r="AY387" s="713"/>
      <c r="AZ387" s="713"/>
      <c r="BA387" s="713"/>
      <c r="BB387" s="713"/>
      <c r="BC387" s="713"/>
    </row>
    <row r="388" spans="1:55" s="702" customFormat="1" ht="35.1" customHeight="1">
      <c r="A388" s="703">
        <v>385</v>
      </c>
      <c r="B388" s="704" t="s">
        <v>2503</v>
      </c>
      <c r="C388" s="705" t="s">
        <v>1900</v>
      </c>
      <c r="D388" s="706">
        <v>500000</v>
      </c>
      <c r="E388" s="706">
        <v>500000</v>
      </c>
      <c r="F388" s="707" t="s">
        <v>2504</v>
      </c>
      <c r="G388" s="699"/>
      <c r="H388" s="700"/>
      <c r="I388" s="700"/>
      <c r="J388" s="700"/>
      <c r="K388" s="700"/>
      <c r="L388" s="700"/>
      <c r="M388" s="701"/>
      <c r="N388" s="701"/>
      <c r="O388" s="701"/>
      <c r="P388" s="701"/>
      <c r="Q388" s="701"/>
      <c r="R388" s="701"/>
      <c r="S388" s="701"/>
      <c r="T388" s="701"/>
      <c r="U388" s="701"/>
      <c r="V388" s="701"/>
      <c r="W388" s="701"/>
      <c r="X388" s="701"/>
      <c r="Y388" s="701"/>
      <c r="Z388" s="701"/>
      <c r="AA388" s="701"/>
      <c r="AB388" s="701"/>
      <c r="AC388" s="701"/>
      <c r="AD388" s="701"/>
      <c r="AE388" s="701"/>
      <c r="AF388" s="701"/>
      <c r="AG388" s="701"/>
      <c r="AH388" s="701"/>
      <c r="AI388" s="701"/>
      <c r="AJ388" s="701"/>
      <c r="AK388" s="701"/>
      <c r="AL388" s="701"/>
      <c r="AM388" s="701"/>
      <c r="AN388" s="701"/>
      <c r="AO388" s="701"/>
      <c r="AP388" s="701"/>
      <c r="AQ388" s="701"/>
      <c r="AR388" s="701"/>
      <c r="AS388" s="701"/>
      <c r="AT388" s="701"/>
      <c r="AU388" s="701"/>
      <c r="AV388" s="701"/>
      <c r="AW388" s="701"/>
      <c r="AX388" s="701"/>
      <c r="AY388" s="701"/>
      <c r="AZ388" s="701"/>
      <c r="BA388" s="701"/>
      <c r="BB388" s="701"/>
      <c r="BC388" s="701"/>
    </row>
    <row r="389" spans="1:55" s="702" customFormat="1" ht="35.1" customHeight="1">
      <c r="A389" s="703">
        <v>386</v>
      </c>
      <c r="B389" s="704" t="s">
        <v>2505</v>
      </c>
      <c r="C389" s="705" t="s">
        <v>655</v>
      </c>
      <c r="D389" s="706">
        <v>670000</v>
      </c>
      <c r="E389" s="706">
        <v>670000</v>
      </c>
      <c r="F389" s="707" t="s">
        <v>2506</v>
      </c>
      <c r="G389" s="699"/>
      <c r="H389" s="700"/>
      <c r="I389" s="700"/>
      <c r="J389" s="700"/>
      <c r="K389" s="700"/>
      <c r="L389" s="700"/>
      <c r="M389" s="701"/>
      <c r="N389" s="701"/>
      <c r="O389" s="701"/>
      <c r="P389" s="701"/>
      <c r="Q389" s="701"/>
      <c r="R389" s="701"/>
      <c r="S389" s="701"/>
      <c r="T389" s="701"/>
      <c r="U389" s="701"/>
      <c r="V389" s="701"/>
      <c r="W389" s="701"/>
      <c r="X389" s="701"/>
      <c r="Y389" s="701"/>
      <c r="Z389" s="701"/>
      <c r="AA389" s="701"/>
      <c r="AB389" s="701"/>
      <c r="AC389" s="701"/>
      <c r="AD389" s="701"/>
      <c r="AE389" s="701"/>
      <c r="AF389" s="701"/>
      <c r="AG389" s="701"/>
      <c r="AH389" s="701"/>
      <c r="AI389" s="701"/>
      <c r="AJ389" s="701"/>
      <c r="AK389" s="701"/>
      <c r="AL389" s="701"/>
      <c r="AM389" s="701"/>
      <c r="AN389" s="701"/>
      <c r="AO389" s="701"/>
      <c r="AP389" s="701"/>
      <c r="AQ389" s="701"/>
      <c r="AR389" s="701"/>
      <c r="AS389" s="701"/>
      <c r="AT389" s="701"/>
      <c r="AU389" s="701"/>
      <c r="AV389" s="701"/>
      <c r="AW389" s="701"/>
      <c r="AX389" s="701"/>
      <c r="AY389" s="701"/>
      <c r="AZ389" s="701"/>
      <c r="BA389" s="701"/>
      <c r="BB389" s="701"/>
      <c r="BC389" s="701"/>
    </row>
    <row r="390" spans="1:55" s="702" customFormat="1" ht="35.1" customHeight="1">
      <c r="A390" s="703">
        <v>387</v>
      </c>
      <c r="B390" s="704" t="s">
        <v>2507</v>
      </c>
      <c r="C390" s="705" t="s">
        <v>655</v>
      </c>
      <c r="D390" s="706">
        <v>730000</v>
      </c>
      <c r="E390" s="706">
        <v>730000</v>
      </c>
      <c r="F390" s="707" t="s">
        <v>2508</v>
      </c>
      <c r="G390" s="699"/>
      <c r="H390" s="700"/>
      <c r="I390" s="700" t="s">
        <v>2509</v>
      </c>
      <c r="J390" s="700"/>
      <c r="K390" s="700"/>
      <c r="L390" s="700"/>
      <c r="M390" s="701"/>
      <c r="N390" s="701"/>
      <c r="O390" s="701"/>
      <c r="P390" s="701"/>
      <c r="Q390" s="701"/>
      <c r="R390" s="701"/>
      <c r="S390" s="701"/>
      <c r="T390" s="701"/>
      <c r="U390" s="701"/>
      <c r="V390" s="701"/>
      <c r="W390" s="701"/>
      <c r="X390" s="701"/>
      <c r="Y390" s="701"/>
      <c r="Z390" s="701"/>
      <c r="AA390" s="701"/>
      <c r="AB390" s="701"/>
      <c r="AC390" s="701"/>
      <c r="AD390" s="701"/>
      <c r="AE390" s="701"/>
      <c r="AF390" s="701"/>
      <c r="AG390" s="701"/>
      <c r="AH390" s="701"/>
      <c r="AI390" s="701"/>
      <c r="AJ390" s="701"/>
      <c r="AK390" s="701"/>
      <c r="AL390" s="701"/>
      <c r="AM390" s="701"/>
      <c r="AN390" s="701"/>
      <c r="AO390" s="701"/>
      <c r="AP390" s="701"/>
      <c r="AQ390" s="701"/>
      <c r="AR390" s="701"/>
      <c r="AS390" s="701"/>
      <c r="AT390" s="701"/>
      <c r="AU390" s="701"/>
      <c r="AV390" s="701"/>
      <c r="AW390" s="701"/>
      <c r="AX390" s="701"/>
      <c r="AY390" s="701"/>
      <c r="AZ390" s="701"/>
      <c r="BA390" s="701"/>
      <c r="BB390" s="701"/>
      <c r="BC390" s="701"/>
    </row>
    <row r="391" spans="1:55" s="702" customFormat="1" ht="35.1" customHeight="1">
      <c r="A391" s="703">
        <v>388</v>
      </c>
      <c r="B391" s="704" t="s">
        <v>2510</v>
      </c>
      <c r="C391" s="705" t="s">
        <v>655</v>
      </c>
      <c r="D391" s="706">
        <v>1200000</v>
      </c>
      <c r="E391" s="706">
        <v>1200000</v>
      </c>
      <c r="F391" s="707" t="s">
        <v>2506</v>
      </c>
      <c r="G391" s="699"/>
      <c r="H391" s="700"/>
      <c r="I391" s="700"/>
      <c r="J391" s="700"/>
      <c r="K391" s="700"/>
      <c r="L391" s="700"/>
      <c r="M391" s="701"/>
      <c r="N391" s="701"/>
      <c r="O391" s="701"/>
      <c r="P391" s="701"/>
      <c r="Q391" s="701"/>
      <c r="R391" s="701"/>
      <c r="S391" s="701"/>
      <c r="T391" s="701"/>
      <c r="U391" s="701"/>
      <c r="V391" s="701"/>
      <c r="W391" s="701"/>
      <c r="X391" s="701"/>
      <c r="Y391" s="701"/>
      <c r="Z391" s="701"/>
      <c r="AA391" s="701"/>
      <c r="AB391" s="701"/>
      <c r="AC391" s="701"/>
      <c r="AD391" s="701"/>
      <c r="AE391" s="701"/>
      <c r="AF391" s="701"/>
      <c r="AG391" s="701"/>
      <c r="AH391" s="701"/>
      <c r="AI391" s="701"/>
      <c r="AJ391" s="701"/>
      <c r="AK391" s="701"/>
      <c r="AL391" s="701"/>
      <c r="AM391" s="701"/>
      <c r="AN391" s="701"/>
      <c r="AO391" s="701"/>
      <c r="AP391" s="701"/>
      <c r="AQ391" s="701"/>
      <c r="AR391" s="701"/>
      <c r="AS391" s="701"/>
      <c r="AT391" s="701"/>
      <c r="AU391" s="701"/>
      <c r="AV391" s="701"/>
      <c r="AW391" s="701"/>
      <c r="AX391" s="701"/>
      <c r="AY391" s="701"/>
      <c r="AZ391" s="701"/>
      <c r="BA391" s="701"/>
      <c r="BB391" s="701"/>
      <c r="BC391" s="701"/>
    </row>
    <row r="392" spans="1:55" s="702" customFormat="1" ht="35.1" customHeight="1">
      <c r="A392" s="703">
        <v>389</v>
      </c>
      <c r="B392" s="704" t="s">
        <v>2511</v>
      </c>
      <c r="C392" s="705" t="s">
        <v>655</v>
      </c>
      <c r="D392" s="706">
        <v>1280000</v>
      </c>
      <c r="E392" s="706">
        <v>1280000</v>
      </c>
      <c r="F392" s="707" t="s">
        <v>2508</v>
      </c>
      <c r="G392" s="699"/>
      <c r="H392" s="700"/>
      <c r="I392" s="700"/>
      <c r="J392" s="700"/>
      <c r="K392" s="700"/>
      <c r="L392" s="700"/>
      <c r="M392" s="701"/>
      <c r="N392" s="701"/>
      <c r="O392" s="701"/>
      <c r="P392" s="701"/>
      <c r="Q392" s="701"/>
      <c r="R392" s="701"/>
      <c r="S392" s="701"/>
      <c r="T392" s="701"/>
      <c r="U392" s="701"/>
      <c r="V392" s="701"/>
      <c r="W392" s="701"/>
      <c r="X392" s="701"/>
      <c r="Y392" s="701"/>
      <c r="Z392" s="701"/>
      <c r="AA392" s="701"/>
      <c r="AB392" s="701"/>
      <c r="AC392" s="701"/>
      <c r="AD392" s="701"/>
      <c r="AE392" s="701"/>
      <c r="AF392" s="701"/>
      <c r="AG392" s="701"/>
      <c r="AH392" s="701"/>
      <c r="AI392" s="701"/>
      <c r="AJ392" s="701"/>
      <c r="AK392" s="701"/>
      <c r="AL392" s="701"/>
      <c r="AM392" s="701"/>
      <c r="AN392" s="701"/>
      <c r="AO392" s="701"/>
      <c r="AP392" s="701"/>
      <c r="AQ392" s="701"/>
      <c r="AR392" s="701"/>
      <c r="AS392" s="701"/>
      <c r="AT392" s="701"/>
      <c r="AU392" s="701"/>
      <c r="AV392" s="701"/>
      <c r="AW392" s="701"/>
      <c r="AX392" s="701"/>
      <c r="AY392" s="701"/>
      <c r="AZ392" s="701"/>
      <c r="BA392" s="701"/>
      <c r="BB392" s="701"/>
      <c r="BC392" s="701"/>
    </row>
    <row r="393" spans="1:55" s="702" customFormat="1" ht="35.1" customHeight="1">
      <c r="A393" s="703">
        <v>390</v>
      </c>
      <c r="B393" s="704" t="s">
        <v>2512</v>
      </c>
      <c r="C393" s="705" t="s">
        <v>655</v>
      </c>
      <c r="D393" s="706">
        <v>620000</v>
      </c>
      <c r="E393" s="706">
        <v>620000</v>
      </c>
      <c r="F393" s="707" t="s">
        <v>2508</v>
      </c>
      <c r="G393" s="699"/>
      <c r="H393" s="700"/>
      <c r="I393" s="700"/>
      <c r="J393" s="700"/>
      <c r="K393" s="700"/>
      <c r="L393" s="700"/>
      <c r="M393" s="701"/>
      <c r="N393" s="701"/>
      <c r="O393" s="701"/>
      <c r="P393" s="701"/>
      <c r="Q393" s="701"/>
      <c r="R393" s="701"/>
      <c r="S393" s="701"/>
      <c r="T393" s="701"/>
      <c r="U393" s="701"/>
      <c r="V393" s="701"/>
      <c r="W393" s="701"/>
      <c r="X393" s="701"/>
      <c r="Y393" s="701"/>
      <c r="Z393" s="701"/>
      <c r="AA393" s="701"/>
      <c r="AB393" s="701"/>
      <c r="AC393" s="701"/>
      <c r="AD393" s="701"/>
      <c r="AE393" s="701"/>
      <c r="AF393" s="701"/>
      <c r="AG393" s="701"/>
      <c r="AH393" s="701"/>
      <c r="AI393" s="701"/>
      <c r="AJ393" s="701"/>
      <c r="AK393" s="701"/>
      <c r="AL393" s="701"/>
      <c r="AM393" s="701"/>
      <c r="AN393" s="701"/>
      <c r="AO393" s="701"/>
      <c r="AP393" s="701"/>
      <c r="AQ393" s="701"/>
      <c r="AR393" s="701"/>
      <c r="AS393" s="701"/>
      <c r="AT393" s="701"/>
      <c r="AU393" s="701"/>
      <c r="AV393" s="701"/>
      <c r="AW393" s="701"/>
      <c r="AX393" s="701"/>
      <c r="AY393" s="701"/>
      <c r="AZ393" s="701"/>
      <c r="BA393" s="701"/>
      <c r="BB393" s="701"/>
      <c r="BC393" s="701"/>
    </row>
    <row r="394" spans="1:55" s="702" customFormat="1" ht="35.1" customHeight="1">
      <c r="A394" s="703">
        <v>391</v>
      </c>
      <c r="B394" s="704" t="s">
        <v>1746</v>
      </c>
      <c r="C394" s="705" t="s">
        <v>1730</v>
      </c>
      <c r="D394" s="706">
        <v>25000</v>
      </c>
      <c r="E394" s="706">
        <v>25000</v>
      </c>
      <c r="F394" s="707" t="s">
        <v>2201</v>
      </c>
      <c r="G394" s="699"/>
      <c r="H394" s="700"/>
      <c r="I394" s="700"/>
      <c r="J394" s="700"/>
      <c r="K394" s="700"/>
      <c r="L394" s="700"/>
      <c r="M394" s="701"/>
      <c r="N394" s="701"/>
      <c r="O394" s="701"/>
      <c r="P394" s="701"/>
      <c r="Q394" s="701"/>
      <c r="R394" s="701"/>
      <c r="S394" s="701"/>
      <c r="T394" s="701"/>
      <c r="U394" s="701"/>
      <c r="V394" s="701"/>
      <c r="W394" s="701"/>
      <c r="X394" s="701"/>
      <c r="Y394" s="701"/>
      <c r="Z394" s="701"/>
      <c r="AA394" s="701"/>
      <c r="AB394" s="701"/>
      <c r="AC394" s="701"/>
      <c r="AD394" s="701"/>
      <c r="AE394" s="701"/>
      <c r="AF394" s="701"/>
      <c r="AG394" s="701"/>
      <c r="AH394" s="701"/>
      <c r="AI394" s="701"/>
      <c r="AJ394" s="701"/>
      <c r="AK394" s="701"/>
      <c r="AL394" s="701"/>
      <c r="AM394" s="701"/>
      <c r="AN394" s="701"/>
      <c r="AO394" s="701"/>
      <c r="AP394" s="701"/>
      <c r="AQ394" s="701"/>
      <c r="AR394" s="701"/>
      <c r="AS394" s="701"/>
      <c r="AT394" s="701"/>
      <c r="AU394" s="701"/>
      <c r="AV394" s="701"/>
      <c r="AW394" s="701"/>
      <c r="AX394" s="701"/>
      <c r="AY394" s="701"/>
      <c r="AZ394" s="701"/>
      <c r="BA394" s="701"/>
      <c r="BB394" s="701"/>
      <c r="BC394" s="701"/>
    </row>
    <row r="395" spans="1:55" s="702" customFormat="1" ht="35.1" customHeight="1">
      <c r="A395" s="703">
        <v>392</v>
      </c>
      <c r="B395" s="704" t="s">
        <v>2513</v>
      </c>
      <c r="C395" s="705" t="s">
        <v>1730</v>
      </c>
      <c r="D395" s="706">
        <f>750000/20</f>
        <v>37500</v>
      </c>
      <c r="E395" s="706">
        <v>300000</v>
      </c>
      <c r="F395" s="707" t="s">
        <v>2201</v>
      </c>
      <c r="G395" s="699" t="s">
        <v>2514</v>
      </c>
      <c r="H395" s="700"/>
      <c r="I395" s="700"/>
      <c r="J395" s="700"/>
      <c r="K395" s="700"/>
      <c r="L395" s="700"/>
      <c r="M395" s="701"/>
      <c r="N395" s="701"/>
      <c r="O395" s="701"/>
      <c r="P395" s="701"/>
      <c r="Q395" s="701"/>
      <c r="R395" s="701"/>
      <c r="S395" s="701"/>
      <c r="T395" s="701"/>
      <c r="U395" s="701"/>
      <c r="V395" s="701"/>
      <c r="W395" s="701"/>
      <c r="X395" s="701"/>
      <c r="Y395" s="701"/>
      <c r="Z395" s="701"/>
      <c r="AA395" s="701"/>
      <c r="AB395" s="701"/>
      <c r="AC395" s="701"/>
      <c r="AD395" s="701"/>
      <c r="AE395" s="701"/>
      <c r="AF395" s="701"/>
      <c r="AG395" s="701"/>
      <c r="AH395" s="701"/>
      <c r="AI395" s="701"/>
      <c r="AJ395" s="701"/>
      <c r="AK395" s="701"/>
      <c r="AL395" s="701"/>
      <c r="AM395" s="701"/>
      <c r="AN395" s="701"/>
      <c r="AO395" s="701"/>
      <c r="AP395" s="701"/>
      <c r="AQ395" s="701"/>
      <c r="AR395" s="701"/>
      <c r="AS395" s="701"/>
      <c r="AT395" s="701"/>
      <c r="AU395" s="701"/>
      <c r="AV395" s="701"/>
      <c r="AW395" s="701"/>
      <c r="AX395" s="701"/>
      <c r="AY395" s="701"/>
      <c r="AZ395" s="701"/>
      <c r="BA395" s="701"/>
      <c r="BB395" s="701"/>
      <c r="BC395" s="701"/>
    </row>
    <row r="396" spans="1:55" s="702" customFormat="1" ht="35.1" customHeight="1">
      <c r="A396" s="703">
        <v>393</v>
      </c>
      <c r="B396" s="704" t="s">
        <v>2515</v>
      </c>
      <c r="C396" s="705" t="s">
        <v>655</v>
      </c>
      <c r="D396" s="706">
        <f>ROUND(400000/1.1,0)</f>
        <v>363636</v>
      </c>
      <c r="E396" s="709">
        <f>ROUND(604000/1.1,0)</f>
        <v>549091</v>
      </c>
      <c r="F396" s="707" t="s">
        <v>2246</v>
      </c>
      <c r="G396" s="699"/>
      <c r="H396" s="700"/>
      <c r="I396" s="700"/>
      <c r="J396" s="700"/>
      <c r="K396" s="700"/>
      <c r="L396" s="700"/>
      <c r="M396" s="701"/>
      <c r="N396" s="701"/>
      <c r="O396" s="701"/>
      <c r="P396" s="701"/>
      <c r="Q396" s="701"/>
      <c r="R396" s="701"/>
      <c r="S396" s="701"/>
      <c r="T396" s="701"/>
      <c r="U396" s="701"/>
      <c r="V396" s="701"/>
      <c r="W396" s="701"/>
      <c r="X396" s="701"/>
      <c r="Y396" s="701"/>
      <c r="Z396" s="701"/>
      <c r="AA396" s="701"/>
      <c r="AB396" s="701"/>
      <c r="AC396" s="701"/>
      <c r="AD396" s="701"/>
      <c r="AE396" s="701"/>
      <c r="AF396" s="701"/>
      <c r="AG396" s="701"/>
      <c r="AH396" s="701"/>
      <c r="AI396" s="701"/>
      <c r="AJ396" s="701"/>
      <c r="AK396" s="701"/>
      <c r="AL396" s="701"/>
      <c r="AM396" s="701"/>
      <c r="AN396" s="701"/>
      <c r="AO396" s="701"/>
      <c r="AP396" s="701"/>
      <c r="AQ396" s="701"/>
      <c r="AR396" s="701"/>
      <c r="AS396" s="701"/>
      <c r="AT396" s="701"/>
      <c r="AU396" s="701"/>
      <c r="AV396" s="701"/>
      <c r="AW396" s="701"/>
      <c r="AX396" s="701"/>
      <c r="AY396" s="701"/>
      <c r="AZ396" s="701"/>
      <c r="BA396" s="701"/>
      <c r="BB396" s="701"/>
      <c r="BC396" s="701"/>
    </row>
    <row r="397" spans="1:55" s="702" customFormat="1" ht="35.1" customHeight="1">
      <c r="A397" s="703">
        <v>394</v>
      </c>
      <c r="B397" s="704" t="s">
        <v>2516</v>
      </c>
      <c r="C397" s="705" t="s">
        <v>655</v>
      </c>
      <c r="D397" s="706">
        <f>ROUND(400000/1.1,0)</f>
        <v>363636</v>
      </c>
      <c r="E397" s="709">
        <f>ROUND(604000/1.1,0)</f>
        <v>549091</v>
      </c>
      <c r="F397" s="707" t="s">
        <v>2246</v>
      </c>
      <c r="G397" s="699"/>
      <c r="H397" s="700"/>
      <c r="I397" s="700"/>
      <c r="J397" s="700"/>
      <c r="K397" s="700"/>
      <c r="L397" s="700"/>
      <c r="M397" s="701"/>
      <c r="N397" s="701"/>
      <c r="O397" s="701"/>
      <c r="P397" s="701"/>
      <c r="Q397" s="701"/>
      <c r="R397" s="701"/>
      <c r="S397" s="701"/>
      <c r="T397" s="701"/>
      <c r="U397" s="701"/>
      <c r="V397" s="701"/>
      <c r="W397" s="701"/>
      <c r="X397" s="701"/>
      <c r="Y397" s="701"/>
      <c r="Z397" s="701"/>
      <c r="AA397" s="701"/>
      <c r="AB397" s="701"/>
      <c r="AC397" s="701"/>
      <c r="AD397" s="701"/>
      <c r="AE397" s="701"/>
      <c r="AF397" s="701"/>
      <c r="AG397" s="701"/>
      <c r="AH397" s="701"/>
      <c r="AI397" s="701"/>
      <c r="AJ397" s="701"/>
      <c r="AK397" s="701"/>
      <c r="AL397" s="701"/>
      <c r="AM397" s="701"/>
      <c r="AN397" s="701"/>
      <c r="AO397" s="701"/>
      <c r="AP397" s="701"/>
      <c r="AQ397" s="701"/>
      <c r="AR397" s="701"/>
      <c r="AS397" s="701"/>
      <c r="AT397" s="701"/>
      <c r="AU397" s="701"/>
      <c r="AV397" s="701"/>
      <c r="AW397" s="701"/>
      <c r="AX397" s="701"/>
      <c r="AY397" s="701"/>
      <c r="AZ397" s="701"/>
      <c r="BA397" s="701"/>
      <c r="BB397" s="701"/>
      <c r="BC397" s="701"/>
    </row>
    <row r="398" spans="1:55" s="702" customFormat="1" ht="35.1" customHeight="1">
      <c r="A398" s="703">
        <v>395</v>
      </c>
      <c r="B398" s="704" t="s">
        <v>2517</v>
      </c>
      <c r="C398" s="705" t="s">
        <v>655</v>
      </c>
      <c r="D398" s="706">
        <f>ROUND(428000/1.1,0)</f>
        <v>389091</v>
      </c>
      <c r="E398" s="709">
        <f>ROUND(647000/1.1,0)</f>
        <v>588182</v>
      </c>
      <c r="F398" s="707" t="s">
        <v>2246</v>
      </c>
      <c r="G398" s="699"/>
      <c r="H398" s="700"/>
      <c r="I398" s="700"/>
      <c r="J398" s="700"/>
      <c r="K398" s="700"/>
      <c r="L398" s="700"/>
      <c r="M398" s="701"/>
      <c r="N398" s="701"/>
      <c r="O398" s="701"/>
      <c r="P398" s="701"/>
      <c r="Q398" s="701"/>
      <c r="R398" s="701"/>
      <c r="S398" s="701"/>
      <c r="T398" s="701"/>
      <c r="U398" s="701"/>
      <c r="V398" s="701"/>
      <c r="W398" s="701"/>
      <c r="X398" s="701"/>
      <c r="Y398" s="701"/>
      <c r="Z398" s="701"/>
      <c r="AA398" s="701"/>
      <c r="AB398" s="701"/>
      <c r="AC398" s="701"/>
      <c r="AD398" s="701"/>
      <c r="AE398" s="701"/>
      <c r="AF398" s="701"/>
      <c r="AG398" s="701"/>
      <c r="AH398" s="701"/>
      <c r="AI398" s="701"/>
      <c r="AJ398" s="701"/>
      <c r="AK398" s="701"/>
      <c r="AL398" s="701"/>
      <c r="AM398" s="701"/>
      <c r="AN398" s="701"/>
      <c r="AO398" s="701"/>
      <c r="AP398" s="701"/>
      <c r="AQ398" s="701"/>
      <c r="AR398" s="701"/>
      <c r="AS398" s="701"/>
      <c r="AT398" s="701"/>
      <c r="AU398" s="701"/>
      <c r="AV398" s="701"/>
      <c r="AW398" s="701"/>
      <c r="AX398" s="701"/>
      <c r="AY398" s="701"/>
      <c r="AZ398" s="701"/>
      <c r="BA398" s="701"/>
      <c r="BB398" s="701"/>
      <c r="BC398" s="701"/>
    </row>
    <row r="399" spans="1:55" s="702" customFormat="1" ht="35.1" customHeight="1">
      <c r="A399" s="703">
        <v>396</v>
      </c>
      <c r="B399" s="704" t="s">
        <v>2518</v>
      </c>
      <c r="C399" s="705" t="s">
        <v>655</v>
      </c>
      <c r="D399" s="706">
        <f>ROUND(647000/1.1,0)</f>
        <v>588182</v>
      </c>
      <c r="E399" s="709">
        <f>ROUND(647000/1.1,0)</f>
        <v>588182</v>
      </c>
      <c r="F399" s="707" t="s">
        <v>2246</v>
      </c>
      <c r="G399" s="699"/>
      <c r="H399" s="700"/>
      <c r="I399" s="700"/>
      <c r="J399" s="700"/>
      <c r="K399" s="700"/>
      <c r="L399" s="700"/>
      <c r="M399" s="701"/>
      <c r="N399" s="701"/>
      <c r="O399" s="701"/>
      <c r="P399" s="701"/>
      <c r="Q399" s="701"/>
      <c r="R399" s="701"/>
      <c r="S399" s="701"/>
      <c r="T399" s="701"/>
      <c r="U399" s="701"/>
      <c r="V399" s="701"/>
      <c r="W399" s="701"/>
      <c r="X399" s="701"/>
      <c r="Y399" s="701"/>
      <c r="Z399" s="701"/>
      <c r="AA399" s="701"/>
      <c r="AB399" s="701"/>
      <c r="AC399" s="701"/>
      <c r="AD399" s="701"/>
      <c r="AE399" s="701"/>
      <c r="AF399" s="701"/>
      <c r="AG399" s="701"/>
      <c r="AH399" s="701"/>
      <c r="AI399" s="701"/>
      <c r="AJ399" s="701"/>
      <c r="AK399" s="701"/>
      <c r="AL399" s="701"/>
      <c r="AM399" s="701"/>
      <c r="AN399" s="701"/>
      <c r="AO399" s="701"/>
      <c r="AP399" s="701"/>
      <c r="AQ399" s="701"/>
      <c r="AR399" s="701"/>
      <c r="AS399" s="701"/>
      <c r="AT399" s="701"/>
      <c r="AU399" s="701"/>
      <c r="AV399" s="701"/>
      <c r="AW399" s="701"/>
      <c r="AX399" s="701"/>
      <c r="AY399" s="701"/>
      <c r="AZ399" s="701"/>
      <c r="BA399" s="701"/>
      <c r="BB399" s="701"/>
      <c r="BC399" s="701"/>
    </row>
    <row r="400" spans="1:55" s="702" customFormat="1" ht="35.1" customHeight="1">
      <c r="A400" s="703">
        <v>397</v>
      </c>
      <c r="B400" s="704" t="s">
        <v>2519</v>
      </c>
      <c r="C400" s="705" t="s">
        <v>685</v>
      </c>
      <c r="D400" s="706">
        <v>5000</v>
      </c>
      <c r="E400" s="706">
        <v>5000</v>
      </c>
      <c r="F400" s="707" t="s">
        <v>2201</v>
      </c>
      <c r="G400" s="699"/>
      <c r="H400" s="700"/>
      <c r="I400" s="700" t="s">
        <v>2061</v>
      </c>
      <c r="J400" s="700"/>
      <c r="K400" s="700"/>
      <c r="L400" s="700"/>
      <c r="M400" s="701"/>
      <c r="N400" s="701"/>
      <c r="O400" s="701"/>
      <c r="P400" s="701"/>
      <c r="Q400" s="701"/>
      <c r="R400" s="701"/>
      <c r="S400" s="701"/>
      <c r="T400" s="701"/>
      <c r="U400" s="701"/>
      <c r="V400" s="701"/>
      <c r="W400" s="701"/>
      <c r="X400" s="701"/>
      <c r="Y400" s="701"/>
      <c r="Z400" s="701"/>
      <c r="AA400" s="701"/>
      <c r="AB400" s="701"/>
      <c r="AC400" s="701"/>
      <c r="AD400" s="701"/>
      <c r="AE400" s="701"/>
      <c r="AF400" s="701"/>
      <c r="AG400" s="701"/>
      <c r="AH400" s="701"/>
      <c r="AI400" s="701"/>
      <c r="AJ400" s="701"/>
      <c r="AK400" s="701"/>
      <c r="AL400" s="701"/>
      <c r="AM400" s="701"/>
      <c r="AN400" s="701"/>
      <c r="AO400" s="701"/>
      <c r="AP400" s="701"/>
      <c r="AQ400" s="701"/>
      <c r="AR400" s="701"/>
      <c r="AS400" s="701"/>
      <c r="AT400" s="701"/>
      <c r="AU400" s="701"/>
      <c r="AV400" s="701"/>
      <c r="AW400" s="701"/>
      <c r="AX400" s="701"/>
      <c r="AY400" s="701"/>
      <c r="AZ400" s="701"/>
      <c r="BA400" s="701"/>
      <c r="BB400" s="701"/>
      <c r="BC400" s="701"/>
    </row>
    <row r="401" spans="1:55" s="702" customFormat="1" ht="35.1" customHeight="1">
      <c r="A401" s="703">
        <v>398</v>
      </c>
      <c r="B401" s="704" t="s">
        <v>2520</v>
      </c>
      <c r="C401" s="705" t="s">
        <v>677</v>
      </c>
      <c r="D401" s="706">
        <v>350000</v>
      </c>
      <c r="E401" s="706">
        <v>350000</v>
      </c>
      <c r="F401" s="707" t="s">
        <v>2521</v>
      </c>
      <c r="G401" s="699"/>
      <c r="H401" s="700"/>
      <c r="I401" s="700" t="s">
        <v>2061</v>
      </c>
      <c r="J401" s="700"/>
      <c r="K401" s="700"/>
      <c r="L401" s="700"/>
      <c r="M401" s="701"/>
      <c r="N401" s="701"/>
      <c r="O401" s="701"/>
      <c r="P401" s="701"/>
      <c r="Q401" s="701"/>
      <c r="R401" s="701"/>
      <c r="S401" s="701"/>
      <c r="T401" s="701"/>
      <c r="U401" s="701"/>
      <c r="V401" s="701"/>
      <c r="W401" s="701"/>
      <c r="X401" s="701"/>
      <c r="Y401" s="701"/>
      <c r="Z401" s="701"/>
      <c r="AA401" s="701"/>
      <c r="AB401" s="701"/>
      <c r="AC401" s="701"/>
      <c r="AD401" s="701"/>
      <c r="AE401" s="701"/>
      <c r="AF401" s="701"/>
      <c r="AG401" s="701"/>
      <c r="AH401" s="701"/>
      <c r="AI401" s="701"/>
      <c r="AJ401" s="701"/>
      <c r="AK401" s="701"/>
      <c r="AL401" s="701"/>
      <c r="AM401" s="701"/>
      <c r="AN401" s="701"/>
      <c r="AO401" s="701"/>
      <c r="AP401" s="701"/>
      <c r="AQ401" s="701"/>
      <c r="AR401" s="701"/>
      <c r="AS401" s="701"/>
      <c r="AT401" s="701"/>
      <c r="AU401" s="701"/>
      <c r="AV401" s="701"/>
      <c r="AW401" s="701"/>
      <c r="AX401" s="701"/>
      <c r="AY401" s="701"/>
      <c r="AZ401" s="701"/>
      <c r="BA401" s="701"/>
      <c r="BB401" s="701"/>
      <c r="BC401" s="701"/>
    </row>
    <row r="402" spans="1:55" s="702" customFormat="1" ht="35.1" customHeight="1">
      <c r="A402" s="703">
        <v>399</v>
      </c>
      <c r="B402" s="704" t="s">
        <v>2522</v>
      </c>
      <c r="C402" s="705" t="s">
        <v>1730</v>
      </c>
      <c r="D402" s="706">
        <v>138000</v>
      </c>
      <c r="E402" s="706">
        <v>138000</v>
      </c>
      <c r="F402" s="707" t="s">
        <v>2523</v>
      </c>
      <c r="G402" s="699"/>
      <c r="H402" s="700"/>
      <c r="I402" s="700" t="s">
        <v>2061</v>
      </c>
      <c r="J402" s="700"/>
      <c r="K402" s="700"/>
      <c r="L402" s="700"/>
      <c r="M402" s="701"/>
      <c r="N402" s="701"/>
      <c r="O402" s="701"/>
      <c r="P402" s="701"/>
      <c r="Q402" s="701"/>
      <c r="R402" s="701"/>
      <c r="S402" s="701"/>
      <c r="T402" s="701"/>
      <c r="U402" s="701"/>
      <c r="V402" s="701"/>
      <c r="W402" s="701"/>
      <c r="X402" s="701"/>
      <c r="Y402" s="701"/>
      <c r="Z402" s="701"/>
      <c r="AA402" s="701"/>
      <c r="AB402" s="701"/>
      <c r="AC402" s="701"/>
      <c r="AD402" s="701"/>
      <c r="AE402" s="701"/>
      <c r="AF402" s="701"/>
      <c r="AG402" s="701"/>
      <c r="AH402" s="701"/>
      <c r="AI402" s="701"/>
      <c r="AJ402" s="701"/>
      <c r="AK402" s="701"/>
      <c r="AL402" s="701"/>
      <c r="AM402" s="701"/>
      <c r="AN402" s="701"/>
      <c r="AO402" s="701"/>
      <c r="AP402" s="701"/>
      <c r="AQ402" s="701"/>
      <c r="AR402" s="701"/>
      <c r="AS402" s="701"/>
      <c r="AT402" s="701"/>
      <c r="AU402" s="701"/>
      <c r="AV402" s="701"/>
      <c r="AW402" s="701"/>
      <c r="AX402" s="701"/>
      <c r="AY402" s="701"/>
      <c r="AZ402" s="701"/>
      <c r="BA402" s="701"/>
      <c r="BB402" s="701"/>
      <c r="BC402" s="701"/>
    </row>
    <row r="403" spans="1:55" s="702" customFormat="1" ht="35.1" customHeight="1">
      <c r="A403" s="703">
        <v>400</v>
      </c>
      <c r="B403" s="704" t="s">
        <v>1839</v>
      </c>
      <c r="C403" s="705" t="s">
        <v>1745</v>
      </c>
      <c r="D403" s="706">
        <f>ROUND(98600/1.1,0)</f>
        <v>89636</v>
      </c>
      <c r="E403" s="706">
        <f>ROUND(98600/1.1,0)</f>
        <v>89636</v>
      </c>
      <c r="F403" s="707" t="s">
        <v>2524</v>
      </c>
      <c r="G403" s="699"/>
      <c r="H403" s="700"/>
      <c r="I403" s="700" t="s">
        <v>2061</v>
      </c>
      <c r="J403" s="700"/>
      <c r="K403" s="700"/>
      <c r="L403" s="700"/>
      <c r="M403" s="701"/>
      <c r="N403" s="701"/>
      <c r="O403" s="701"/>
      <c r="P403" s="701"/>
      <c r="Q403" s="701"/>
      <c r="R403" s="701"/>
      <c r="S403" s="701"/>
      <c r="T403" s="701"/>
      <c r="U403" s="701"/>
      <c r="V403" s="701"/>
      <c r="W403" s="701"/>
      <c r="X403" s="701"/>
      <c r="Y403" s="701"/>
      <c r="Z403" s="701"/>
      <c r="AA403" s="701"/>
      <c r="AB403" s="701"/>
      <c r="AC403" s="701"/>
      <c r="AD403" s="701"/>
      <c r="AE403" s="701"/>
      <c r="AF403" s="701"/>
      <c r="AG403" s="701"/>
      <c r="AH403" s="701"/>
      <c r="AI403" s="701"/>
      <c r="AJ403" s="701"/>
      <c r="AK403" s="701"/>
      <c r="AL403" s="701"/>
      <c r="AM403" s="701"/>
      <c r="AN403" s="701"/>
      <c r="AO403" s="701"/>
      <c r="AP403" s="701"/>
      <c r="AQ403" s="701"/>
      <c r="AR403" s="701"/>
      <c r="AS403" s="701"/>
      <c r="AT403" s="701"/>
      <c r="AU403" s="701"/>
      <c r="AV403" s="701"/>
      <c r="AW403" s="701"/>
      <c r="AX403" s="701"/>
      <c r="AY403" s="701"/>
      <c r="AZ403" s="701"/>
      <c r="BA403" s="701"/>
      <c r="BB403" s="701"/>
      <c r="BC403" s="701"/>
    </row>
    <row r="404" spans="1:55" s="702" customFormat="1" ht="35.1" customHeight="1">
      <c r="A404" s="703">
        <v>401</v>
      </c>
      <c r="B404" s="704" t="s">
        <v>1841</v>
      </c>
      <c r="C404" s="705" t="s">
        <v>1745</v>
      </c>
      <c r="D404" s="706">
        <f>ROUND(157400/1.1,0)</f>
        <v>143091</v>
      </c>
      <c r="E404" s="706">
        <f>ROUND(157400/1.1,0)</f>
        <v>143091</v>
      </c>
      <c r="F404" s="707" t="s">
        <v>2524</v>
      </c>
      <c r="G404" s="699"/>
      <c r="H404" s="700"/>
      <c r="I404" s="700" t="s">
        <v>2061</v>
      </c>
      <c r="J404" s="700"/>
      <c r="K404" s="700"/>
      <c r="L404" s="700"/>
      <c r="M404" s="701"/>
      <c r="N404" s="701"/>
      <c r="O404" s="701"/>
      <c r="P404" s="701"/>
      <c r="Q404" s="701"/>
      <c r="R404" s="701"/>
      <c r="S404" s="701"/>
      <c r="T404" s="701"/>
      <c r="U404" s="701"/>
      <c r="V404" s="701"/>
      <c r="W404" s="701"/>
      <c r="X404" s="701"/>
      <c r="Y404" s="701"/>
      <c r="Z404" s="701"/>
      <c r="AA404" s="701"/>
      <c r="AB404" s="701"/>
      <c r="AC404" s="701"/>
      <c r="AD404" s="701"/>
      <c r="AE404" s="701"/>
      <c r="AF404" s="701"/>
      <c r="AG404" s="701"/>
      <c r="AH404" s="701"/>
      <c r="AI404" s="701"/>
      <c r="AJ404" s="701"/>
      <c r="AK404" s="701"/>
      <c r="AL404" s="701"/>
      <c r="AM404" s="701"/>
      <c r="AN404" s="701"/>
      <c r="AO404" s="701"/>
      <c r="AP404" s="701"/>
      <c r="AQ404" s="701"/>
      <c r="AR404" s="701"/>
      <c r="AS404" s="701"/>
      <c r="AT404" s="701"/>
      <c r="AU404" s="701"/>
      <c r="AV404" s="701"/>
      <c r="AW404" s="701"/>
      <c r="AX404" s="701"/>
      <c r="AY404" s="701"/>
      <c r="AZ404" s="701"/>
      <c r="BA404" s="701"/>
      <c r="BB404" s="701"/>
      <c r="BC404" s="701"/>
    </row>
    <row r="405" spans="1:55" s="702" customFormat="1" ht="35.1" customHeight="1">
      <c r="A405" s="703">
        <v>402</v>
      </c>
      <c r="B405" s="704" t="s">
        <v>2525</v>
      </c>
      <c r="C405" s="705" t="s">
        <v>1730</v>
      </c>
      <c r="D405" s="706">
        <v>138000</v>
      </c>
      <c r="E405" s="706">
        <v>138000</v>
      </c>
      <c r="F405" s="707" t="s">
        <v>2523</v>
      </c>
      <c r="G405" s="699"/>
      <c r="H405" s="700"/>
      <c r="I405" s="700" t="s">
        <v>2061</v>
      </c>
      <c r="J405" s="700"/>
      <c r="K405" s="700"/>
      <c r="L405" s="700"/>
      <c r="M405" s="701"/>
      <c r="N405" s="701"/>
      <c r="O405" s="701"/>
      <c r="P405" s="701"/>
      <c r="Q405" s="701"/>
      <c r="R405" s="701"/>
      <c r="S405" s="701"/>
      <c r="T405" s="701"/>
      <c r="U405" s="701"/>
      <c r="V405" s="701"/>
      <c r="W405" s="701"/>
      <c r="X405" s="701"/>
      <c r="Y405" s="701"/>
      <c r="Z405" s="701"/>
      <c r="AA405" s="701"/>
      <c r="AB405" s="701"/>
      <c r="AC405" s="701"/>
      <c r="AD405" s="701"/>
      <c r="AE405" s="701"/>
      <c r="AF405" s="701"/>
      <c r="AG405" s="701"/>
      <c r="AH405" s="701"/>
      <c r="AI405" s="701"/>
      <c r="AJ405" s="701"/>
      <c r="AK405" s="701"/>
      <c r="AL405" s="701"/>
      <c r="AM405" s="701"/>
      <c r="AN405" s="701"/>
      <c r="AO405" s="701"/>
      <c r="AP405" s="701"/>
      <c r="AQ405" s="701"/>
      <c r="AR405" s="701"/>
      <c r="AS405" s="701"/>
      <c r="AT405" s="701"/>
      <c r="AU405" s="701"/>
      <c r="AV405" s="701"/>
      <c r="AW405" s="701"/>
      <c r="AX405" s="701"/>
      <c r="AY405" s="701"/>
      <c r="AZ405" s="701"/>
      <c r="BA405" s="701"/>
      <c r="BB405" s="701"/>
      <c r="BC405" s="701"/>
    </row>
    <row r="406" spans="1:55" s="702" customFormat="1" ht="35.1" customHeight="1">
      <c r="A406" s="703">
        <v>403</v>
      </c>
      <c r="B406" s="704" t="s">
        <v>1844</v>
      </c>
      <c r="C406" s="705" t="s">
        <v>1745</v>
      </c>
      <c r="D406" s="706">
        <f>ROUND(115110/1.1,0)</f>
        <v>104645</v>
      </c>
      <c r="E406" s="706">
        <f>ROUND(115110/1.1,0)</f>
        <v>104645</v>
      </c>
      <c r="F406" s="707" t="s">
        <v>2524</v>
      </c>
      <c r="G406" s="699"/>
      <c r="H406" s="700"/>
      <c r="I406" s="700" t="s">
        <v>2061</v>
      </c>
      <c r="J406" s="700"/>
      <c r="K406" s="700"/>
      <c r="L406" s="700"/>
      <c r="M406" s="701"/>
      <c r="N406" s="701"/>
      <c r="O406" s="701"/>
      <c r="P406" s="701"/>
      <c r="Q406" s="701"/>
      <c r="R406" s="701"/>
      <c r="S406" s="701"/>
      <c r="T406" s="701"/>
      <c r="U406" s="701"/>
      <c r="V406" s="701"/>
      <c r="W406" s="701"/>
      <c r="X406" s="701"/>
      <c r="Y406" s="701"/>
      <c r="Z406" s="701"/>
      <c r="AA406" s="701"/>
      <c r="AB406" s="701"/>
      <c r="AC406" s="701"/>
      <c r="AD406" s="701"/>
      <c r="AE406" s="701"/>
      <c r="AF406" s="701"/>
      <c r="AG406" s="701"/>
      <c r="AH406" s="701"/>
      <c r="AI406" s="701"/>
      <c r="AJ406" s="701"/>
      <c r="AK406" s="701"/>
      <c r="AL406" s="701"/>
      <c r="AM406" s="701"/>
      <c r="AN406" s="701"/>
      <c r="AO406" s="701"/>
      <c r="AP406" s="701"/>
      <c r="AQ406" s="701"/>
      <c r="AR406" s="701"/>
      <c r="AS406" s="701"/>
      <c r="AT406" s="701"/>
      <c r="AU406" s="701"/>
      <c r="AV406" s="701"/>
      <c r="AW406" s="701"/>
      <c r="AX406" s="701"/>
      <c r="AY406" s="701"/>
      <c r="AZ406" s="701"/>
      <c r="BA406" s="701"/>
      <c r="BB406" s="701"/>
      <c r="BC406" s="701"/>
    </row>
    <row r="407" spans="1:55" s="702" customFormat="1" ht="35.1" customHeight="1">
      <c r="A407" s="703">
        <v>404</v>
      </c>
      <c r="B407" s="704" t="s">
        <v>1846</v>
      </c>
      <c r="C407" s="705" t="s">
        <v>1745</v>
      </c>
      <c r="D407" s="706">
        <f>ROUND(269200/1.1,0)</f>
        <v>244727</v>
      </c>
      <c r="E407" s="709">
        <f>ROUND(282800/1.1,0)</f>
        <v>257091</v>
      </c>
      <c r="F407" s="707" t="s">
        <v>2524</v>
      </c>
      <c r="G407" s="699"/>
      <c r="H407" s="700"/>
      <c r="I407" s="700" t="s">
        <v>2061</v>
      </c>
      <c r="J407" s="700"/>
      <c r="K407" s="700"/>
      <c r="L407" s="700"/>
      <c r="M407" s="701"/>
      <c r="N407" s="701"/>
      <c r="O407" s="701"/>
      <c r="P407" s="701"/>
      <c r="Q407" s="701"/>
      <c r="R407" s="701"/>
      <c r="S407" s="701"/>
      <c r="T407" s="701"/>
      <c r="U407" s="701"/>
      <c r="V407" s="701"/>
      <c r="W407" s="701"/>
      <c r="X407" s="701"/>
      <c r="Y407" s="701"/>
      <c r="Z407" s="701"/>
      <c r="AA407" s="701"/>
      <c r="AB407" s="701"/>
      <c r="AC407" s="701"/>
      <c r="AD407" s="701"/>
      <c r="AE407" s="701"/>
      <c r="AF407" s="701"/>
      <c r="AG407" s="701"/>
      <c r="AH407" s="701"/>
      <c r="AI407" s="701"/>
      <c r="AJ407" s="701"/>
      <c r="AK407" s="701"/>
      <c r="AL407" s="701"/>
      <c r="AM407" s="701"/>
      <c r="AN407" s="701"/>
      <c r="AO407" s="701"/>
      <c r="AP407" s="701"/>
      <c r="AQ407" s="701"/>
      <c r="AR407" s="701"/>
      <c r="AS407" s="701"/>
      <c r="AT407" s="701"/>
      <c r="AU407" s="701"/>
      <c r="AV407" s="701"/>
      <c r="AW407" s="701"/>
      <c r="AX407" s="701"/>
      <c r="AY407" s="701"/>
      <c r="AZ407" s="701"/>
      <c r="BA407" s="701"/>
      <c r="BB407" s="701"/>
      <c r="BC407" s="701"/>
    </row>
    <row r="408" spans="1:55" s="702" customFormat="1" ht="35.1" customHeight="1">
      <c r="A408" s="703">
        <v>405</v>
      </c>
      <c r="B408" s="704" t="s">
        <v>2526</v>
      </c>
      <c r="C408" s="705" t="s">
        <v>1745</v>
      </c>
      <c r="D408" s="706">
        <v>399800</v>
      </c>
      <c r="E408" s="709">
        <v>399800</v>
      </c>
      <c r="F408" s="707" t="s">
        <v>2524</v>
      </c>
      <c r="G408" s="699"/>
      <c r="H408" s="700"/>
      <c r="I408" s="700"/>
      <c r="J408" s="700"/>
      <c r="K408" s="700"/>
      <c r="L408" s="700"/>
      <c r="M408" s="701"/>
      <c r="N408" s="701"/>
      <c r="O408" s="701"/>
      <c r="P408" s="701"/>
      <c r="Q408" s="701"/>
      <c r="R408" s="701"/>
      <c r="S408" s="701"/>
      <c r="T408" s="701"/>
      <c r="U408" s="701"/>
      <c r="V408" s="701"/>
      <c r="W408" s="701"/>
      <c r="X408" s="701"/>
      <c r="Y408" s="701"/>
      <c r="Z408" s="701"/>
      <c r="AA408" s="701"/>
      <c r="AB408" s="701"/>
      <c r="AC408" s="701"/>
      <c r="AD408" s="701"/>
      <c r="AE408" s="701"/>
      <c r="AF408" s="701"/>
      <c r="AG408" s="701"/>
      <c r="AH408" s="701"/>
      <c r="AI408" s="701"/>
      <c r="AJ408" s="701"/>
      <c r="AK408" s="701"/>
      <c r="AL408" s="701"/>
      <c r="AM408" s="701"/>
      <c r="AN408" s="701"/>
      <c r="AO408" s="701"/>
      <c r="AP408" s="701"/>
      <c r="AQ408" s="701"/>
      <c r="AR408" s="701"/>
      <c r="AS408" s="701"/>
      <c r="AT408" s="701"/>
      <c r="AU408" s="701"/>
      <c r="AV408" s="701"/>
      <c r="AW408" s="701"/>
      <c r="AX408" s="701"/>
      <c r="AY408" s="701"/>
      <c r="AZ408" s="701"/>
      <c r="BA408" s="701"/>
      <c r="BB408" s="701"/>
      <c r="BC408" s="701"/>
    </row>
    <row r="409" spans="1:55" s="702" customFormat="1" ht="45">
      <c r="A409" s="703">
        <v>406</v>
      </c>
      <c r="B409" s="704" t="s">
        <v>2527</v>
      </c>
      <c r="C409" s="705" t="s">
        <v>677</v>
      </c>
      <c r="D409" s="706">
        <v>1200000</v>
      </c>
      <c r="E409" s="706">
        <v>1200000</v>
      </c>
      <c r="F409" s="707" t="s">
        <v>2068</v>
      </c>
      <c r="G409" s="699"/>
      <c r="H409" s="700"/>
      <c r="I409" s="700" t="s">
        <v>2061</v>
      </c>
      <c r="J409" s="700"/>
      <c r="K409" s="700"/>
      <c r="L409" s="700"/>
      <c r="M409" s="701"/>
      <c r="N409" s="701"/>
      <c r="O409" s="701"/>
      <c r="P409" s="701"/>
      <c r="Q409" s="701"/>
      <c r="R409" s="701"/>
      <c r="S409" s="701"/>
      <c r="T409" s="701"/>
      <c r="U409" s="701"/>
      <c r="V409" s="701"/>
      <c r="W409" s="701"/>
      <c r="X409" s="701"/>
      <c r="Y409" s="701"/>
      <c r="Z409" s="701"/>
      <c r="AA409" s="701"/>
      <c r="AB409" s="701"/>
      <c r="AC409" s="701"/>
      <c r="AD409" s="701"/>
      <c r="AE409" s="701"/>
      <c r="AF409" s="701"/>
      <c r="AG409" s="701"/>
      <c r="AH409" s="701"/>
      <c r="AI409" s="701"/>
      <c r="AJ409" s="701"/>
      <c r="AK409" s="701"/>
      <c r="AL409" s="701"/>
      <c r="AM409" s="701"/>
      <c r="AN409" s="701"/>
      <c r="AO409" s="701"/>
      <c r="AP409" s="701"/>
      <c r="AQ409" s="701"/>
      <c r="AR409" s="701"/>
      <c r="AS409" s="701"/>
      <c r="AT409" s="701"/>
      <c r="AU409" s="701"/>
      <c r="AV409" s="701"/>
      <c r="AW409" s="701"/>
      <c r="AX409" s="701"/>
      <c r="AY409" s="701"/>
      <c r="AZ409" s="701"/>
      <c r="BA409" s="701"/>
      <c r="BB409" s="701"/>
      <c r="BC409" s="701"/>
    </row>
    <row r="410" spans="1:55" s="702" customFormat="1" ht="35.1" customHeight="1">
      <c r="A410" s="703">
        <v>407</v>
      </c>
      <c r="B410" s="704" t="s">
        <v>2528</v>
      </c>
      <c r="C410" s="705" t="s">
        <v>624</v>
      </c>
      <c r="D410" s="706">
        <f>ROUND(300000/1.1,0)</f>
        <v>272727</v>
      </c>
      <c r="E410" s="706">
        <f>ROUND(300000/1.1,0)</f>
        <v>272727</v>
      </c>
      <c r="F410" s="707" t="s">
        <v>2529</v>
      </c>
      <c r="G410" s="699"/>
      <c r="H410" s="700"/>
      <c r="I410" s="700" t="s">
        <v>2061</v>
      </c>
      <c r="J410" s="700"/>
      <c r="K410" s="700"/>
      <c r="L410" s="700"/>
      <c r="M410" s="701"/>
      <c r="N410" s="701"/>
      <c r="O410" s="701"/>
      <c r="P410" s="701"/>
      <c r="Q410" s="701"/>
      <c r="R410" s="701"/>
      <c r="S410" s="701"/>
      <c r="T410" s="701"/>
      <c r="U410" s="701"/>
      <c r="V410" s="701"/>
      <c r="W410" s="701"/>
      <c r="X410" s="701"/>
      <c r="Y410" s="701"/>
      <c r="Z410" s="701"/>
      <c r="AA410" s="701"/>
      <c r="AB410" s="701"/>
      <c r="AC410" s="701"/>
      <c r="AD410" s="701"/>
      <c r="AE410" s="701"/>
      <c r="AF410" s="701"/>
      <c r="AG410" s="701"/>
      <c r="AH410" s="701"/>
      <c r="AI410" s="701"/>
      <c r="AJ410" s="701"/>
      <c r="AK410" s="701"/>
      <c r="AL410" s="701"/>
      <c r="AM410" s="701"/>
      <c r="AN410" s="701"/>
      <c r="AO410" s="701"/>
      <c r="AP410" s="701"/>
      <c r="AQ410" s="701"/>
      <c r="AR410" s="701"/>
      <c r="AS410" s="701"/>
      <c r="AT410" s="701"/>
      <c r="AU410" s="701"/>
      <c r="AV410" s="701"/>
      <c r="AW410" s="701"/>
      <c r="AX410" s="701"/>
      <c r="AY410" s="701"/>
      <c r="AZ410" s="701"/>
      <c r="BA410" s="701"/>
      <c r="BB410" s="701"/>
      <c r="BC410" s="701"/>
    </row>
    <row r="411" spans="1:55" s="702" customFormat="1" ht="45">
      <c r="A411" s="703">
        <v>408</v>
      </c>
      <c r="B411" s="704" t="s">
        <v>2530</v>
      </c>
      <c r="C411" s="705" t="s">
        <v>677</v>
      </c>
      <c r="D411" s="706">
        <v>165000</v>
      </c>
      <c r="E411" s="709">
        <v>215000</v>
      </c>
      <c r="F411" s="707" t="s">
        <v>2228</v>
      </c>
      <c r="G411" s="699"/>
      <c r="H411" s="700" t="s">
        <v>2531</v>
      </c>
      <c r="I411" s="700" t="s">
        <v>2061</v>
      </c>
      <c r="J411" s="700"/>
      <c r="K411" s="700"/>
      <c r="L411" s="700"/>
      <c r="M411" s="701"/>
      <c r="N411" s="701"/>
      <c r="O411" s="701"/>
      <c r="P411" s="701"/>
      <c r="Q411" s="701"/>
      <c r="R411" s="701"/>
      <c r="S411" s="701"/>
      <c r="T411" s="701"/>
      <c r="U411" s="701"/>
      <c r="V411" s="701"/>
      <c r="W411" s="701"/>
      <c r="X411" s="701"/>
      <c r="Y411" s="701"/>
      <c r="Z411" s="701"/>
      <c r="AA411" s="701"/>
      <c r="AB411" s="701"/>
      <c r="AC411" s="701"/>
      <c r="AD411" s="701"/>
      <c r="AE411" s="701"/>
      <c r="AF411" s="701"/>
      <c r="AG411" s="701"/>
      <c r="AH411" s="701"/>
      <c r="AI411" s="701"/>
      <c r="AJ411" s="701"/>
      <c r="AK411" s="701"/>
      <c r="AL411" s="701"/>
      <c r="AM411" s="701"/>
      <c r="AN411" s="701"/>
      <c r="AO411" s="701"/>
      <c r="AP411" s="701"/>
      <c r="AQ411" s="701"/>
      <c r="AR411" s="701"/>
      <c r="AS411" s="701"/>
      <c r="AT411" s="701"/>
      <c r="AU411" s="701"/>
      <c r="AV411" s="701"/>
      <c r="AW411" s="701"/>
      <c r="AX411" s="701"/>
      <c r="AY411" s="701"/>
      <c r="AZ411" s="701"/>
      <c r="BA411" s="701"/>
      <c r="BB411" s="701"/>
      <c r="BC411" s="701"/>
    </row>
    <row r="412" spans="1:55" s="702" customFormat="1" ht="35.1" customHeight="1">
      <c r="A412" s="703">
        <v>409</v>
      </c>
      <c r="B412" s="704" t="s">
        <v>2532</v>
      </c>
      <c r="C412" s="705" t="s">
        <v>677</v>
      </c>
      <c r="D412" s="706">
        <v>215000</v>
      </c>
      <c r="E412" s="709">
        <v>285000</v>
      </c>
      <c r="F412" s="707"/>
      <c r="G412" s="699"/>
      <c r="H412" s="700" t="s">
        <v>2531</v>
      </c>
      <c r="I412" s="700" t="s">
        <v>2509</v>
      </c>
      <c r="J412" s="700"/>
      <c r="K412" s="700"/>
      <c r="L412" s="700"/>
      <c r="M412" s="701"/>
      <c r="N412" s="701"/>
      <c r="O412" s="701"/>
      <c r="P412" s="701"/>
      <c r="Q412" s="701"/>
      <c r="R412" s="701"/>
      <c r="S412" s="701"/>
      <c r="T412" s="701"/>
      <c r="U412" s="701"/>
      <c r="V412" s="701"/>
      <c r="W412" s="701"/>
      <c r="X412" s="701"/>
      <c r="Y412" s="701"/>
      <c r="Z412" s="701"/>
      <c r="AA412" s="701"/>
      <c r="AB412" s="701"/>
      <c r="AC412" s="701"/>
      <c r="AD412" s="701"/>
      <c r="AE412" s="701"/>
      <c r="AF412" s="701"/>
      <c r="AG412" s="701"/>
      <c r="AH412" s="701"/>
      <c r="AI412" s="701"/>
      <c r="AJ412" s="701"/>
      <c r="AK412" s="701"/>
      <c r="AL412" s="701"/>
      <c r="AM412" s="701"/>
      <c r="AN412" s="701"/>
      <c r="AO412" s="701"/>
      <c r="AP412" s="701"/>
      <c r="AQ412" s="701"/>
      <c r="AR412" s="701"/>
      <c r="AS412" s="701"/>
      <c r="AT412" s="701"/>
      <c r="AU412" s="701"/>
      <c r="AV412" s="701"/>
      <c r="AW412" s="701"/>
      <c r="AX412" s="701"/>
      <c r="AY412" s="701"/>
      <c r="AZ412" s="701"/>
      <c r="BA412" s="701"/>
      <c r="BB412" s="701"/>
      <c r="BC412" s="701"/>
    </row>
    <row r="413" spans="1:55" s="702" customFormat="1" ht="35.1" customHeight="1">
      <c r="A413" s="703">
        <v>410</v>
      </c>
      <c r="B413" s="704" t="s">
        <v>2533</v>
      </c>
      <c r="C413" s="705" t="s">
        <v>677</v>
      </c>
      <c r="D413" s="706">
        <v>165000</v>
      </c>
      <c r="E413" s="706">
        <v>165000</v>
      </c>
      <c r="F413" s="707"/>
      <c r="G413" s="699"/>
      <c r="H413" s="700"/>
      <c r="I413" s="700" t="s">
        <v>2509</v>
      </c>
      <c r="J413" s="700"/>
      <c r="K413" s="700"/>
      <c r="L413" s="700"/>
      <c r="M413" s="701"/>
      <c r="N413" s="701"/>
      <c r="O413" s="701"/>
      <c r="P413" s="701"/>
      <c r="Q413" s="701"/>
      <c r="R413" s="701"/>
      <c r="S413" s="701"/>
      <c r="T413" s="701"/>
      <c r="U413" s="701"/>
      <c r="V413" s="701"/>
      <c r="W413" s="701"/>
      <c r="X413" s="701"/>
      <c r="Y413" s="701"/>
      <c r="Z413" s="701"/>
      <c r="AA413" s="701"/>
      <c r="AB413" s="701"/>
      <c r="AC413" s="701"/>
      <c r="AD413" s="701"/>
      <c r="AE413" s="701"/>
      <c r="AF413" s="701"/>
      <c r="AG413" s="701"/>
      <c r="AH413" s="701"/>
      <c r="AI413" s="701"/>
      <c r="AJ413" s="701"/>
      <c r="AK413" s="701"/>
      <c r="AL413" s="701"/>
      <c r="AM413" s="701"/>
      <c r="AN413" s="701"/>
      <c r="AO413" s="701"/>
      <c r="AP413" s="701"/>
      <c r="AQ413" s="701"/>
      <c r="AR413" s="701"/>
      <c r="AS413" s="701"/>
      <c r="AT413" s="701"/>
      <c r="AU413" s="701"/>
      <c r="AV413" s="701"/>
      <c r="AW413" s="701"/>
      <c r="AX413" s="701"/>
      <c r="AY413" s="701"/>
      <c r="AZ413" s="701"/>
      <c r="BA413" s="701"/>
      <c r="BB413" s="701"/>
      <c r="BC413" s="701"/>
    </row>
    <row r="414" spans="1:55" s="702" customFormat="1" ht="45">
      <c r="A414" s="703">
        <v>411</v>
      </c>
      <c r="B414" s="704" t="s">
        <v>2534</v>
      </c>
      <c r="C414" s="705" t="s">
        <v>677</v>
      </c>
      <c r="D414" s="706">
        <v>130000</v>
      </c>
      <c r="E414" s="706">
        <v>130000</v>
      </c>
      <c r="F414" s="707" t="s">
        <v>2228</v>
      </c>
      <c r="G414" s="699"/>
      <c r="H414" s="700"/>
      <c r="I414" s="700" t="s">
        <v>2061</v>
      </c>
      <c r="J414" s="700"/>
      <c r="K414" s="700"/>
      <c r="L414" s="700"/>
      <c r="M414" s="701"/>
      <c r="N414" s="701"/>
      <c r="O414" s="701"/>
      <c r="P414" s="701"/>
      <c r="Q414" s="701"/>
      <c r="R414" s="701"/>
      <c r="S414" s="701"/>
      <c r="T414" s="701"/>
      <c r="U414" s="701"/>
      <c r="V414" s="701"/>
      <c r="W414" s="701"/>
      <c r="X414" s="701"/>
      <c r="Y414" s="701"/>
      <c r="Z414" s="701"/>
      <c r="AA414" s="701"/>
      <c r="AB414" s="701"/>
      <c r="AC414" s="701"/>
      <c r="AD414" s="701"/>
      <c r="AE414" s="701"/>
      <c r="AF414" s="701"/>
      <c r="AG414" s="701"/>
      <c r="AH414" s="701"/>
      <c r="AI414" s="701"/>
      <c r="AJ414" s="701"/>
      <c r="AK414" s="701"/>
      <c r="AL414" s="701"/>
      <c r="AM414" s="701"/>
      <c r="AN414" s="701"/>
      <c r="AO414" s="701"/>
      <c r="AP414" s="701"/>
      <c r="AQ414" s="701"/>
      <c r="AR414" s="701"/>
      <c r="AS414" s="701"/>
      <c r="AT414" s="701"/>
      <c r="AU414" s="701"/>
      <c r="AV414" s="701"/>
      <c r="AW414" s="701"/>
      <c r="AX414" s="701"/>
      <c r="AY414" s="701"/>
      <c r="AZ414" s="701"/>
      <c r="BA414" s="701"/>
      <c r="BB414" s="701"/>
      <c r="BC414" s="701"/>
    </row>
    <row r="415" spans="1:55" s="702" customFormat="1" ht="45">
      <c r="A415" s="703">
        <v>412</v>
      </c>
      <c r="B415" s="704" t="s">
        <v>2535</v>
      </c>
      <c r="C415" s="705" t="s">
        <v>677</v>
      </c>
      <c r="D415" s="706">
        <v>800000</v>
      </c>
      <c r="E415" s="706">
        <v>800000</v>
      </c>
      <c r="F415" s="707" t="s">
        <v>2228</v>
      </c>
      <c r="G415" s="699"/>
      <c r="H415" s="700"/>
      <c r="I415" s="700" t="s">
        <v>2061</v>
      </c>
      <c r="J415" s="700"/>
      <c r="K415" s="700"/>
      <c r="L415" s="700"/>
      <c r="M415" s="701"/>
      <c r="N415" s="701"/>
      <c r="O415" s="701"/>
      <c r="P415" s="701"/>
      <c r="Q415" s="701"/>
      <c r="R415" s="701"/>
      <c r="S415" s="701"/>
      <c r="T415" s="701"/>
      <c r="U415" s="701"/>
      <c r="V415" s="701"/>
      <c r="W415" s="701"/>
      <c r="X415" s="701"/>
      <c r="Y415" s="701"/>
      <c r="Z415" s="701"/>
      <c r="AA415" s="701"/>
      <c r="AB415" s="701"/>
      <c r="AC415" s="701"/>
      <c r="AD415" s="701"/>
      <c r="AE415" s="701"/>
      <c r="AF415" s="701"/>
      <c r="AG415" s="701"/>
      <c r="AH415" s="701"/>
      <c r="AI415" s="701"/>
      <c r="AJ415" s="701"/>
      <c r="AK415" s="701"/>
      <c r="AL415" s="701"/>
      <c r="AM415" s="701"/>
      <c r="AN415" s="701"/>
      <c r="AO415" s="701"/>
      <c r="AP415" s="701"/>
      <c r="AQ415" s="701"/>
      <c r="AR415" s="701"/>
      <c r="AS415" s="701"/>
      <c r="AT415" s="701"/>
      <c r="AU415" s="701"/>
      <c r="AV415" s="701"/>
      <c r="AW415" s="701"/>
      <c r="AX415" s="701"/>
      <c r="AY415" s="701"/>
      <c r="AZ415" s="701"/>
      <c r="BA415" s="701"/>
      <c r="BB415" s="701"/>
      <c r="BC415" s="701"/>
    </row>
    <row r="416" spans="1:55" s="702" customFormat="1" ht="45">
      <c r="A416" s="703">
        <v>413</v>
      </c>
      <c r="B416" s="704" t="s">
        <v>2536</v>
      </c>
      <c r="C416" s="705" t="s">
        <v>677</v>
      </c>
      <c r="D416" s="708">
        <v>120000</v>
      </c>
      <c r="E416" s="708">
        <v>120000</v>
      </c>
      <c r="F416" s="707" t="s">
        <v>2228</v>
      </c>
      <c r="G416" s="699"/>
      <c r="H416" s="700"/>
      <c r="I416" s="700" t="s">
        <v>2061</v>
      </c>
      <c r="J416" s="700"/>
      <c r="K416" s="700"/>
      <c r="L416" s="700"/>
      <c r="M416" s="701"/>
      <c r="N416" s="701"/>
      <c r="O416" s="701"/>
      <c r="P416" s="701"/>
      <c r="Q416" s="701"/>
      <c r="R416" s="701"/>
      <c r="S416" s="701"/>
      <c r="T416" s="701"/>
      <c r="U416" s="701"/>
      <c r="V416" s="701"/>
      <c r="W416" s="701"/>
      <c r="X416" s="701"/>
      <c r="Y416" s="701"/>
      <c r="Z416" s="701"/>
      <c r="AA416" s="701"/>
      <c r="AB416" s="701"/>
      <c r="AC416" s="701"/>
      <c r="AD416" s="701"/>
      <c r="AE416" s="701"/>
      <c r="AF416" s="701"/>
      <c r="AG416" s="701"/>
      <c r="AH416" s="701"/>
      <c r="AI416" s="701"/>
      <c r="AJ416" s="701"/>
      <c r="AK416" s="701"/>
      <c r="AL416" s="701"/>
      <c r="AM416" s="701"/>
      <c r="AN416" s="701"/>
      <c r="AO416" s="701"/>
      <c r="AP416" s="701"/>
      <c r="AQ416" s="701"/>
      <c r="AR416" s="701"/>
      <c r="AS416" s="701"/>
      <c r="AT416" s="701"/>
      <c r="AU416" s="701"/>
      <c r="AV416" s="701"/>
      <c r="AW416" s="701"/>
      <c r="AX416" s="701"/>
      <c r="AY416" s="701"/>
      <c r="AZ416" s="701"/>
      <c r="BA416" s="701"/>
      <c r="BB416" s="701"/>
      <c r="BC416" s="701"/>
    </row>
    <row r="417" spans="1:55" s="702" customFormat="1" ht="45">
      <c r="A417" s="703">
        <v>414</v>
      </c>
      <c r="B417" s="704" t="s">
        <v>2537</v>
      </c>
      <c r="C417" s="705" t="s">
        <v>677</v>
      </c>
      <c r="D417" s="708">
        <v>140000</v>
      </c>
      <c r="E417" s="708">
        <v>140000</v>
      </c>
      <c r="F417" s="707" t="s">
        <v>2228</v>
      </c>
      <c r="G417" s="699"/>
      <c r="H417" s="700"/>
      <c r="I417" s="700" t="s">
        <v>2061</v>
      </c>
      <c r="J417" s="700"/>
      <c r="K417" s="700"/>
      <c r="L417" s="700"/>
      <c r="M417" s="701"/>
      <c r="N417" s="701"/>
      <c r="O417" s="701"/>
      <c r="P417" s="701"/>
      <c r="Q417" s="701"/>
      <c r="R417" s="701"/>
      <c r="S417" s="701"/>
      <c r="T417" s="701"/>
      <c r="U417" s="701"/>
      <c r="V417" s="701"/>
      <c r="W417" s="701"/>
      <c r="X417" s="701"/>
      <c r="Y417" s="701"/>
      <c r="Z417" s="701"/>
      <c r="AA417" s="701"/>
      <c r="AB417" s="701"/>
      <c r="AC417" s="701"/>
      <c r="AD417" s="701"/>
      <c r="AE417" s="701"/>
      <c r="AF417" s="701"/>
      <c r="AG417" s="701"/>
      <c r="AH417" s="701"/>
      <c r="AI417" s="701"/>
      <c r="AJ417" s="701"/>
      <c r="AK417" s="701"/>
      <c r="AL417" s="701"/>
      <c r="AM417" s="701"/>
      <c r="AN417" s="701"/>
      <c r="AO417" s="701"/>
      <c r="AP417" s="701"/>
      <c r="AQ417" s="701"/>
      <c r="AR417" s="701"/>
      <c r="AS417" s="701"/>
      <c r="AT417" s="701"/>
      <c r="AU417" s="701"/>
      <c r="AV417" s="701"/>
      <c r="AW417" s="701"/>
      <c r="AX417" s="701"/>
      <c r="AY417" s="701"/>
      <c r="AZ417" s="701"/>
      <c r="BA417" s="701"/>
      <c r="BB417" s="701"/>
      <c r="BC417" s="701"/>
    </row>
    <row r="418" spans="1:55" s="702" customFormat="1" ht="45">
      <c r="A418" s="703">
        <v>415</v>
      </c>
      <c r="B418" s="704" t="s">
        <v>2538</v>
      </c>
      <c r="C418" s="705" t="s">
        <v>685</v>
      </c>
      <c r="D418" s="706">
        <v>250000</v>
      </c>
      <c r="E418" s="706">
        <v>250000</v>
      </c>
      <c r="F418" s="707" t="s">
        <v>2539</v>
      </c>
      <c r="G418" s="699"/>
      <c r="H418" s="700"/>
      <c r="I418" s="700" t="s">
        <v>2061</v>
      </c>
      <c r="J418" s="700"/>
      <c r="K418" s="700"/>
      <c r="L418" s="700"/>
      <c r="M418" s="701"/>
      <c r="N418" s="701"/>
      <c r="O418" s="701"/>
      <c r="P418" s="701"/>
      <c r="Q418" s="701"/>
      <c r="R418" s="701"/>
      <c r="S418" s="701"/>
      <c r="T418" s="701"/>
      <c r="U418" s="701"/>
      <c r="V418" s="701"/>
      <c r="W418" s="701"/>
      <c r="X418" s="701"/>
      <c r="Y418" s="701"/>
      <c r="Z418" s="701"/>
      <c r="AA418" s="701"/>
      <c r="AB418" s="701"/>
      <c r="AC418" s="701"/>
      <c r="AD418" s="701"/>
      <c r="AE418" s="701"/>
      <c r="AF418" s="701"/>
      <c r="AG418" s="701"/>
      <c r="AH418" s="701"/>
      <c r="AI418" s="701"/>
      <c r="AJ418" s="701"/>
      <c r="AK418" s="701"/>
      <c r="AL418" s="701"/>
      <c r="AM418" s="701"/>
      <c r="AN418" s="701"/>
      <c r="AO418" s="701"/>
      <c r="AP418" s="701"/>
      <c r="AQ418" s="701"/>
      <c r="AR418" s="701"/>
      <c r="AS418" s="701"/>
      <c r="AT418" s="701"/>
      <c r="AU418" s="701"/>
      <c r="AV418" s="701"/>
      <c r="AW418" s="701"/>
      <c r="AX418" s="701"/>
      <c r="AY418" s="701"/>
      <c r="AZ418" s="701"/>
      <c r="BA418" s="701"/>
      <c r="BB418" s="701"/>
      <c r="BC418" s="701"/>
    </row>
    <row r="419" spans="1:55" s="702" customFormat="1" ht="35.1" customHeight="1">
      <c r="A419" s="703">
        <v>416</v>
      </c>
      <c r="B419" s="721" t="s">
        <v>2540</v>
      </c>
      <c r="C419" s="705" t="s">
        <v>685</v>
      </c>
      <c r="D419" s="706">
        <v>550000</v>
      </c>
      <c r="E419" s="709">
        <v>600000</v>
      </c>
      <c r="F419" s="707"/>
      <c r="G419" s="699"/>
      <c r="H419" s="700"/>
      <c r="I419" s="700" t="s">
        <v>2509</v>
      </c>
      <c r="J419" s="700"/>
      <c r="K419" s="700"/>
      <c r="L419" s="700"/>
      <c r="M419" s="701"/>
      <c r="N419" s="701"/>
      <c r="O419" s="701"/>
      <c r="P419" s="701"/>
      <c r="Q419" s="701"/>
      <c r="R419" s="701"/>
      <c r="S419" s="701"/>
      <c r="T419" s="701"/>
      <c r="U419" s="701"/>
      <c r="V419" s="701"/>
      <c r="W419" s="701"/>
      <c r="X419" s="701"/>
      <c r="Y419" s="701"/>
      <c r="Z419" s="701"/>
      <c r="AA419" s="701"/>
      <c r="AB419" s="701"/>
      <c r="AC419" s="701"/>
      <c r="AD419" s="701"/>
      <c r="AE419" s="701"/>
      <c r="AF419" s="701"/>
      <c r="AG419" s="701"/>
      <c r="AH419" s="701"/>
      <c r="AI419" s="701"/>
      <c r="AJ419" s="701"/>
      <c r="AK419" s="701"/>
      <c r="AL419" s="701"/>
      <c r="AM419" s="701"/>
      <c r="AN419" s="701"/>
      <c r="AO419" s="701"/>
      <c r="AP419" s="701"/>
      <c r="AQ419" s="701"/>
      <c r="AR419" s="701"/>
      <c r="AS419" s="701"/>
      <c r="AT419" s="701"/>
      <c r="AU419" s="701"/>
      <c r="AV419" s="701"/>
      <c r="AW419" s="701"/>
      <c r="AX419" s="701"/>
      <c r="AY419" s="701"/>
      <c r="AZ419" s="701"/>
      <c r="BA419" s="701"/>
      <c r="BB419" s="701"/>
      <c r="BC419" s="701"/>
    </row>
    <row r="420" spans="1:55" s="702" customFormat="1" ht="45">
      <c r="A420" s="703">
        <v>417</v>
      </c>
      <c r="B420" s="704" t="s">
        <v>2541</v>
      </c>
      <c r="C420" s="705" t="s">
        <v>655</v>
      </c>
      <c r="D420" s="706">
        <v>125000</v>
      </c>
      <c r="E420" s="706">
        <v>125000</v>
      </c>
      <c r="F420" s="707" t="s">
        <v>2193</v>
      </c>
      <c r="G420" s="699"/>
      <c r="H420" s="700"/>
      <c r="I420" s="700" t="s">
        <v>2061</v>
      </c>
      <c r="J420" s="700"/>
      <c r="K420" s="700"/>
      <c r="L420" s="700"/>
      <c r="M420" s="701"/>
      <c r="N420" s="701"/>
      <c r="O420" s="701"/>
      <c r="P420" s="701"/>
      <c r="Q420" s="701"/>
      <c r="R420" s="701"/>
      <c r="S420" s="701"/>
      <c r="T420" s="701"/>
      <c r="U420" s="701"/>
      <c r="V420" s="701"/>
      <c r="W420" s="701"/>
      <c r="X420" s="701"/>
      <c r="Y420" s="701"/>
      <c r="Z420" s="701"/>
      <c r="AA420" s="701"/>
      <c r="AB420" s="701"/>
      <c r="AC420" s="701"/>
      <c r="AD420" s="701"/>
      <c r="AE420" s="701"/>
      <c r="AF420" s="701"/>
      <c r="AG420" s="701"/>
      <c r="AH420" s="701"/>
      <c r="AI420" s="701"/>
      <c r="AJ420" s="701"/>
      <c r="AK420" s="701"/>
      <c r="AL420" s="701"/>
      <c r="AM420" s="701"/>
      <c r="AN420" s="701"/>
      <c r="AO420" s="701"/>
      <c r="AP420" s="701"/>
      <c r="AQ420" s="701"/>
      <c r="AR420" s="701"/>
      <c r="AS420" s="701"/>
      <c r="AT420" s="701"/>
      <c r="AU420" s="701"/>
      <c r="AV420" s="701"/>
      <c r="AW420" s="701"/>
      <c r="AX420" s="701"/>
      <c r="AY420" s="701"/>
      <c r="AZ420" s="701"/>
      <c r="BA420" s="701"/>
      <c r="BB420" s="701"/>
      <c r="BC420" s="701"/>
    </row>
    <row r="421" spans="1:55" s="702" customFormat="1" ht="45">
      <c r="A421" s="703">
        <v>418</v>
      </c>
      <c r="B421" s="704" t="s">
        <v>2542</v>
      </c>
      <c r="C421" s="705" t="s">
        <v>655</v>
      </c>
      <c r="D421" s="706">
        <v>165000</v>
      </c>
      <c r="E421" s="706">
        <v>165000</v>
      </c>
      <c r="F421" s="707" t="s">
        <v>2193</v>
      </c>
      <c r="G421" s="699"/>
      <c r="H421" s="700"/>
      <c r="I421" s="700" t="s">
        <v>2061</v>
      </c>
      <c r="J421" s="700"/>
      <c r="K421" s="700"/>
      <c r="L421" s="700"/>
      <c r="M421" s="701"/>
      <c r="N421" s="701"/>
      <c r="O421" s="701"/>
      <c r="P421" s="701"/>
      <c r="Q421" s="701"/>
      <c r="R421" s="701"/>
      <c r="S421" s="701"/>
      <c r="T421" s="701"/>
      <c r="U421" s="701"/>
      <c r="V421" s="701"/>
      <c r="W421" s="701"/>
      <c r="X421" s="701"/>
      <c r="Y421" s="701"/>
      <c r="Z421" s="701"/>
      <c r="AA421" s="701"/>
      <c r="AB421" s="701"/>
      <c r="AC421" s="701"/>
      <c r="AD421" s="701"/>
      <c r="AE421" s="701"/>
      <c r="AF421" s="701"/>
      <c r="AG421" s="701"/>
      <c r="AH421" s="701"/>
      <c r="AI421" s="701"/>
      <c r="AJ421" s="701"/>
      <c r="AK421" s="701"/>
      <c r="AL421" s="701"/>
      <c r="AM421" s="701"/>
      <c r="AN421" s="701"/>
      <c r="AO421" s="701"/>
      <c r="AP421" s="701"/>
      <c r="AQ421" s="701"/>
      <c r="AR421" s="701"/>
      <c r="AS421" s="701"/>
      <c r="AT421" s="701"/>
      <c r="AU421" s="701"/>
      <c r="AV421" s="701"/>
      <c r="AW421" s="701"/>
      <c r="AX421" s="701"/>
      <c r="AY421" s="701"/>
      <c r="AZ421" s="701"/>
      <c r="BA421" s="701"/>
      <c r="BB421" s="701"/>
      <c r="BC421" s="701"/>
    </row>
    <row r="422" spans="1:55" s="702" customFormat="1" ht="45">
      <c r="A422" s="703">
        <v>419</v>
      </c>
      <c r="B422" s="704" t="s">
        <v>2543</v>
      </c>
      <c r="C422" s="705" t="s">
        <v>655</v>
      </c>
      <c r="D422" s="706">
        <v>135000</v>
      </c>
      <c r="E422" s="706">
        <v>135000</v>
      </c>
      <c r="F422" s="707" t="s">
        <v>2193</v>
      </c>
      <c r="G422" s="699"/>
      <c r="H422" s="700"/>
      <c r="I422" s="700" t="s">
        <v>2061</v>
      </c>
      <c r="J422" s="700"/>
      <c r="K422" s="700"/>
      <c r="L422" s="700"/>
      <c r="M422" s="701"/>
      <c r="N422" s="701"/>
      <c r="O422" s="701"/>
      <c r="P422" s="701"/>
      <c r="Q422" s="701"/>
      <c r="R422" s="701"/>
      <c r="S422" s="701"/>
      <c r="T422" s="701"/>
      <c r="U422" s="701"/>
      <c r="V422" s="701"/>
      <c r="W422" s="701"/>
      <c r="X422" s="701"/>
      <c r="Y422" s="701"/>
      <c r="Z422" s="701"/>
      <c r="AA422" s="701"/>
      <c r="AB422" s="701"/>
      <c r="AC422" s="701"/>
      <c r="AD422" s="701"/>
      <c r="AE422" s="701"/>
      <c r="AF422" s="701"/>
      <c r="AG422" s="701"/>
      <c r="AH422" s="701"/>
      <c r="AI422" s="701"/>
      <c r="AJ422" s="701"/>
      <c r="AK422" s="701"/>
      <c r="AL422" s="701"/>
      <c r="AM422" s="701"/>
      <c r="AN422" s="701"/>
      <c r="AO422" s="701"/>
      <c r="AP422" s="701"/>
      <c r="AQ422" s="701"/>
      <c r="AR422" s="701"/>
      <c r="AS422" s="701"/>
      <c r="AT422" s="701"/>
      <c r="AU422" s="701"/>
      <c r="AV422" s="701"/>
      <c r="AW422" s="701"/>
      <c r="AX422" s="701"/>
      <c r="AY422" s="701"/>
      <c r="AZ422" s="701"/>
      <c r="BA422" s="701"/>
      <c r="BB422" s="701"/>
      <c r="BC422" s="701"/>
    </row>
    <row r="423" spans="1:55" s="702" customFormat="1" ht="45">
      <c r="A423" s="703">
        <v>420</v>
      </c>
      <c r="B423" s="704" t="s">
        <v>2544</v>
      </c>
      <c r="C423" s="705" t="s">
        <v>655</v>
      </c>
      <c r="D423" s="706">
        <v>198000</v>
      </c>
      <c r="E423" s="706">
        <v>198000</v>
      </c>
      <c r="F423" s="707" t="s">
        <v>2193</v>
      </c>
      <c r="G423" s="699"/>
      <c r="H423" s="700"/>
      <c r="I423" s="700" t="s">
        <v>2061</v>
      </c>
      <c r="J423" s="700"/>
      <c r="K423" s="700"/>
      <c r="L423" s="700"/>
      <c r="M423" s="701"/>
      <c r="N423" s="701"/>
      <c r="O423" s="701"/>
      <c r="P423" s="701"/>
      <c r="Q423" s="701"/>
      <c r="R423" s="701"/>
      <c r="S423" s="701"/>
      <c r="T423" s="701"/>
      <c r="U423" s="701"/>
      <c r="V423" s="701"/>
      <c r="W423" s="701"/>
      <c r="X423" s="701"/>
      <c r="Y423" s="701"/>
      <c r="Z423" s="701"/>
      <c r="AA423" s="701"/>
      <c r="AB423" s="701"/>
      <c r="AC423" s="701"/>
      <c r="AD423" s="701"/>
      <c r="AE423" s="701"/>
      <c r="AF423" s="701"/>
      <c r="AG423" s="701"/>
      <c r="AH423" s="701"/>
      <c r="AI423" s="701"/>
      <c r="AJ423" s="701"/>
      <c r="AK423" s="701"/>
      <c r="AL423" s="701"/>
      <c r="AM423" s="701"/>
      <c r="AN423" s="701"/>
      <c r="AO423" s="701"/>
      <c r="AP423" s="701"/>
      <c r="AQ423" s="701"/>
      <c r="AR423" s="701"/>
      <c r="AS423" s="701"/>
      <c r="AT423" s="701"/>
      <c r="AU423" s="701"/>
      <c r="AV423" s="701"/>
      <c r="AW423" s="701"/>
      <c r="AX423" s="701"/>
      <c r="AY423" s="701"/>
      <c r="AZ423" s="701"/>
      <c r="BA423" s="701"/>
      <c r="BB423" s="701"/>
      <c r="BC423" s="701"/>
    </row>
    <row r="424" spans="1:55" s="702" customFormat="1" ht="45">
      <c r="A424" s="703">
        <v>421</v>
      </c>
      <c r="B424" s="704" t="s">
        <v>2545</v>
      </c>
      <c r="C424" s="705" t="s">
        <v>655</v>
      </c>
      <c r="D424" s="706">
        <v>147000</v>
      </c>
      <c r="E424" s="706">
        <v>147000</v>
      </c>
      <c r="F424" s="707" t="s">
        <v>2193</v>
      </c>
      <c r="G424" s="699"/>
      <c r="H424" s="700"/>
      <c r="I424" s="700" t="s">
        <v>2061</v>
      </c>
      <c r="J424" s="700"/>
      <c r="K424" s="700"/>
      <c r="L424" s="700"/>
      <c r="M424" s="701"/>
      <c r="N424" s="701"/>
      <c r="O424" s="701"/>
      <c r="P424" s="701"/>
      <c r="Q424" s="701"/>
      <c r="R424" s="701"/>
      <c r="S424" s="701"/>
      <c r="T424" s="701"/>
      <c r="U424" s="701"/>
      <c r="V424" s="701"/>
      <c r="W424" s="701"/>
      <c r="X424" s="701"/>
      <c r="Y424" s="701"/>
      <c r="Z424" s="701"/>
      <c r="AA424" s="701"/>
      <c r="AB424" s="701"/>
      <c r="AC424" s="701"/>
      <c r="AD424" s="701"/>
      <c r="AE424" s="701"/>
      <c r="AF424" s="701"/>
      <c r="AG424" s="701"/>
      <c r="AH424" s="701"/>
      <c r="AI424" s="701"/>
      <c r="AJ424" s="701"/>
      <c r="AK424" s="701"/>
      <c r="AL424" s="701"/>
      <c r="AM424" s="701"/>
      <c r="AN424" s="701"/>
      <c r="AO424" s="701"/>
      <c r="AP424" s="701"/>
      <c r="AQ424" s="701"/>
      <c r="AR424" s="701"/>
      <c r="AS424" s="701"/>
      <c r="AT424" s="701"/>
      <c r="AU424" s="701"/>
      <c r="AV424" s="701"/>
      <c r="AW424" s="701"/>
      <c r="AX424" s="701"/>
      <c r="AY424" s="701"/>
      <c r="AZ424" s="701"/>
      <c r="BA424" s="701"/>
      <c r="BB424" s="701"/>
      <c r="BC424" s="701"/>
    </row>
    <row r="425" spans="1:55" s="702" customFormat="1" ht="35.1" customHeight="1">
      <c r="A425" s="703">
        <v>422</v>
      </c>
      <c r="B425" s="704" t="s">
        <v>2546</v>
      </c>
      <c r="C425" s="705" t="s">
        <v>655</v>
      </c>
      <c r="D425" s="706">
        <v>20500</v>
      </c>
      <c r="E425" s="706">
        <v>20500</v>
      </c>
      <c r="F425" s="707" t="s">
        <v>2191</v>
      </c>
      <c r="G425" s="699"/>
      <c r="H425" s="700"/>
      <c r="I425" s="700"/>
      <c r="J425" s="700"/>
      <c r="K425" s="700"/>
      <c r="L425" s="700"/>
      <c r="M425" s="701"/>
      <c r="N425" s="701"/>
      <c r="O425" s="701"/>
      <c r="P425" s="701"/>
      <c r="Q425" s="701"/>
      <c r="R425" s="701"/>
      <c r="S425" s="701"/>
      <c r="T425" s="701"/>
      <c r="U425" s="701"/>
      <c r="V425" s="701"/>
      <c r="W425" s="701"/>
      <c r="X425" s="701"/>
      <c r="Y425" s="701"/>
      <c r="Z425" s="701"/>
      <c r="AA425" s="701"/>
      <c r="AB425" s="701"/>
      <c r="AC425" s="701"/>
      <c r="AD425" s="701"/>
      <c r="AE425" s="701"/>
      <c r="AF425" s="701"/>
      <c r="AG425" s="701"/>
      <c r="AH425" s="701"/>
      <c r="AI425" s="701"/>
      <c r="AJ425" s="701"/>
      <c r="AK425" s="701"/>
      <c r="AL425" s="701"/>
      <c r="AM425" s="701"/>
      <c r="AN425" s="701"/>
      <c r="AO425" s="701"/>
      <c r="AP425" s="701"/>
      <c r="AQ425" s="701"/>
      <c r="AR425" s="701"/>
      <c r="AS425" s="701"/>
      <c r="AT425" s="701"/>
      <c r="AU425" s="701"/>
      <c r="AV425" s="701"/>
      <c r="AW425" s="701"/>
      <c r="AX425" s="701"/>
      <c r="AY425" s="701"/>
      <c r="AZ425" s="701"/>
      <c r="BA425" s="701"/>
      <c r="BB425" s="701"/>
      <c r="BC425" s="701"/>
    </row>
    <row r="426" spans="1:55" s="702" customFormat="1" ht="35.1" customHeight="1">
      <c r="A426" s="703">
        <v>423</v>
      </c>
      <c r="B426" s="704" t="s">
        <v>2547</v>
      </c>
      <c r="C426" s="705" t="s">
        <v>655</v>
      </c>
      <c r="D426" s="706">
        <v>4000</v>
      </c>
      <c r="E426" s="706">
        <v>4000</v>
      </c>
      <c r="F426" s="707" t="s">
        <v>2084</v>
      </c>
      <c r="G426" s="699"/>
      <c r="H426" s="700"/>
      <c r="I426" s="700"/>
      <c r="J426" s="700"/>
      <c r="K426" s="700"/>
      <c r="L426" s="700"/>
      <c r="M426" s="701"/>
      <c r="N426" s="701"/>
      <c r="O426" s="701"/>
      <c r="P426" s="701"/>
      <c r="Q426" s="701"/>
      <c r="R426" s="701"/>
      <c r="S426" s="701"/>
      <c r="T426" s="701"/>
      <c r="U426" s="701"/>
      <c r="V426" s="701"/>
      <c r="W426" s="701"/>
      <c r="X426" s="701"/>
      <c r="Y426" s="701"/>
      <c r="Z426" s="701"/>
      <c r="AA426" s="701"/>
      <c r="AB426" s="701"/>
      <c r="AC426" s="701"/>
      <c r="AD426" s="701"/>
      <c r="AE426" s="701"/>
      <c r="AF426" s="701"/>
      <c r="AG426" s="701"/>
      <c r="AH426" s="701"/>
      <c r="AI426" s="701"/>
      <c r="AJ426" s="701"/>
      <c r="AK426" s="701"/>
      <c r="AL426" s="701"/>
      <c r="AM426" s="701"/>
      <c r="AN426" s="701"/>
      <c r="AO426" s="701"/>
      <c r="AP426" s="701"/>
      <c r="AQ426" s="701"/>
      <c r="AR426" s="701"/>
      <c r="AS426" s="701"/>
      <c r="AT426" s="701"/>
      <c r="AU426" s="701"/>
      <c r="AV426" s="701"/>
      <c r="AW426" s="701"/>
      <c r="AX426" s="701"/>
      <c r="AY426" s="701"/>
      <c r="AZ426" s="701"/>
      <c r="BA426" s="701"/>
      <c r="BB426" s="701"/>
      <c r="BC426" s="701"/>
    </row>
    <row r="427" spans="1:55" s="702" customFormat="1" ht="35.1" customHeight="1">
      <c r="A427" s="703">
        <v>424</v>
      </c>
      <c r="B427" s="704" t="s">
        <v>2548</v>
      </c>
      <c r="C427" s="705" t="s">
        <v>655</v>
      </c>
      <c r="D427" s="706">
        <v>6400</v>
      </c>
      <c r="E427" s="706">
        <v>6400</v>
      </c>
      <c r="F427" s="707" t="s">
        <v>2084</v>
      </c>
      <c r="G427" s="699"/>
      <c r="H427" s="700"/>
      <c r="I427" s="700"/>
      <c r="J427" s="700"/>
      <c r="K427" s="700"/>
      <c r="L427" s="700"/>
      <c r="M427" s="701"/>
      <c r="N427" s="701"/>
      <c r="O427" s="701"/>
      <c r="P427" s="701"/>
      <c r="Q427" s="701"/>
      <c r="R427" s="701"/>
      <c r="S427" s="701"/>
      <c r="T427" s="701"/>
      <c r="U427" s="701"/>
      <c r="V427" s="701"/>
      <c r="W427" s="701"/>
      <c r="X427" s="701"/>
      <c r="Y427" s="701"/>
      <c r="Z427" s="701"/>
      <c r="AA427" s="701"/>
      <c r="AB427" s="701"/>
      <c r="AC427" s="701"/>
      <c r="AD427" s="701"/>
      <c r="AE427" s="701"/>
      <c r="AF427" s="701"/>
      <c r="AG427" s="701"/>
      <c r="AH427" s="701"/>
      <c r="AI427" s="701"/>
      <c r="AJ427" s="701"/>
      <c r="AK427" s="701"/>
      <c r="AL427" s="701"/>
      <c r="AM427" s="701"/>
      <c r="AN427" s="701"/>
      <c r="AO427" s="701"/>
      <c r="AP427" s="701"/>
      <c r="AQ427" s="701"/>
      <c r="AR427" s="701"/>
      <c r="AS427" s="701"/>
      <c r="AT427" s="701"/>
      <c r="AU427" s="701"/>
      <c r="AV427" s="701"/>
      <c r="AW427" s="701"/>
      <c r="AX427" s="701"/>
      <c r="AY427" s="701"/>
      <c r="AZ427" s="701"/>
      <c r="BA427" s="701"/>
      <c r="BB427" s="701"/>
      <c r="BC427" s="701"/>
    </row>
    <row r="428" spans="1:55" s="702" customFormat="1" ht="35.1" customHeight="1">
      <c r="A428" s="703">
        <v>425</v>
      </c>
      <c r="B428" s="704" t="s">
        <v>2549</v>
      </c>
      <c r="C428" s="705" t="s">
        <v>655</v>
      </c>
      <c r="D428" s="706">
        <v>14600</v>
      </c>
      <c r="E428" s="706">
        <v>14600</v>
      </c>
      <c r="F428" s="707" t="s">
        <v>2084</v>
      </c>
      <c r="G428" s="699"/>
      <c r="H428" s="700"/>
      <c r="I428" s="700"/>
      <c r="J428" s="700"/>
      <c r="K428" s="700"/>
      <c r="L428" s="700"/>
      <c r="M428" s="701"/>
      <c r="N428" s="701"/>
      <c r="O428" s="701"/>
      <c r="P428" s="701"/>
      <c r="Q428" s="701"/>
      <c r="R428" s="701"/>
      <c r="S428" s="701"/>
      <c r="T428" s="701"/>
      <c r="U428" s="701"/>
      <c r="V428" s="701"/>
      <c r="W428" s="701"/>
      <c r="X428" s="701"/>
      <c r="Y428" s="701"/>
      <c r="Z428" s="701"/>
      <c r="AA428" s="701"/>
      <c r="AB428" s="701"/>
      <c r="AC428" s="701"/>
      <c r="AD428" s="701"/>
      <c r="AE428" s="701"/>
      <c r="AF428" s="701"/>
      <c r="AG428" s="701"/>
      <c r="AH428" s="701"/>
      <c r="AI428" s="701"/>
      <c r="AJ428" s="701"/>
      <c r="AK428" s="701"/>
      <c r="AL428" s="701"/>
      <c r="AM428" s="701"/>
      <c r="AN428" s="701"/>
      <c r="AO428" s="701"/>
      <c r="AP428" s="701"/>
      <c r="AQ428" s="701"/>
      <c r="AR428" s="701"/>
      <c r="AS428" s="701"/>
      <c r="AT428" s="701"/>
      <c r="AU428" s="701"/>
      <c r="AV428" s="701"/>
      <c r="AW428" s="701"/>
      <c r="AX428" s="701"/>
      <c r="AY428" s="701"/>
      <c r="AZ428" s="701"/>
      <c r="BA428" s="701"/>
      <c r="BB428" s="701"/>
      <c r="BC428" s="701"/>
    </row>
    <row r="429" spans="1:55" s="702" customFormat="1" ht="35.1" customHeight="1">
      <c r="A429" s="703">
        <v>426</v>
      </c>
      <c r="B429" s="704" t="s">
        <v>2550</v>
      </c>
      <c r="C429" s="705" t="s">
        <v>655</v>
      </c>
      <c r="D429" s="706">
        <v>42500</v>
      </c>
      <c r="E429" s="706">
        <v>42500</v>
      </c>
      <c r="F429" s="707" t="s">
        <v>2084</v>
      </c>
      <c r="G429" s="699"/>
      <c r="H429" s="700"/>
      <c r="I429" s="700"/>
      <c r="J429" s="700"/>
      <c r="K429" s="700"/>
      <c r="L429" s="700"/>
      <c r="M429" s="701"/>
      <c r="N429" s="701"/>
      <c r="O429" s="701"/>
      <c r="P429" s="701"/>
      <c r="Q429" s="701"/>
      <c r="R429" s="701"/>
      <c r="S429" s="701"/>
      <c r="T429" s="701"/>
      <c r="U429" s="701"/>
      <c r="V429" s="701"/>
      <c r="W429" s="701"/>
      <c r="X429" s="701"/>
      <c r="Y429" s="701"/>
      <c r="Z429" s="701"/>
      <c r="AA429" s="701"/>
      <c r="AB429" s="701"/>
      <c r="AC429" s="701"/>
      <c r="AD429" s="701"/>
      <c r="AE429" s="701"/>
      <c r="AF429" s="701"/>
      <c r="AG429" s="701"/>
      <c r="AH429" s="701"/>
      <c r="AI429" s="701"/>
      <c r="AJ429" s="701"/>
      <c r="AK429" s="701"/>
      <c r="AL429" s="701"/>
      <c r="AM429" s="701"/>
      <c r="AN429" s="701"/>
      <c r="AO429" s="701"/>
      <c r="AP429" s="701"/>
      <c r="AQ429" s="701"/>
      <c r="AR429" s="701"/>
      <c r="AS429" s="701"/>
      <c r="AT429" s="701"/>
      <c r="AU429" s="701"/>
      <c r="AV429" s="701"/>
      <c r="AW429" s="701"/>
      <c r="AX429" s="701"/>
      <c r="AY429" s="701"/>
      <c r="AZ429" s="701"/>
      <c r="BA429" s="701"/>
      <c r="BB429" s="701"/>
      <c r="BC429" s="701"/>
    </row>
    <row r="430" spans="1:55" s="702" customFormat="1" ht="35.1" customHeight="1">
      <c r="A430" s="703">
        <v>427</v>
      </c>
      <c r="B430" s="704" t="s">
        <v>2551</v>
      </c>
      <c r="C430" s="705" t="s">
        <v>655</v>
      </c>
      <c r="D430" s="706">
        <v>76100</v>
      </c>
      <c r="E430" s="706">
        <v>76100</v>
      </c>
      <c r="F430" s="707" t="s">
        <v>2084</v>
      </c>
      <c r="G430" s="699"/>
      <c r="H430" s="700"/>
      <c r="I430" s="700"/>
      <c r="J430" s="700"/>
      <c r="K430" s="700"/>
      <c r="L430" s="700"/>
      <c r="M430" s="701"/>
      <c r="N430" s="701"/>
      <c r="O430" s="701"/>
      <c r="P430" s="701"/>
      <c r="Q430" s="701"/>
      <c r="R430" s="701"/>
      <c r="S430" s="701"/>
      <c r="T430" s="701"/>
      <c r="U430" s="701"/>
      <c r="V430" s="701"/>
      <c r="W430" s="701"/>
      <c r="X430" s="701"/>
      <c r="Y430" s="701"/>
      <c r="Z430" s="701"/>
      <c r="AA430" s="701"/>
      <c r="AB430" s="701"/>
      <c r="AC430" s="701"/>
      <c r="AD430" s="701"/>
      <c r="AE430" s="701"/>
      <c r="AF430" s="701"/>
      <c r="AG430" s="701"/>
      <c r="AH430" s="701"/>
      <c r="AI430" s="701"/>
      <c r="AJ430" s="701"/>
      <c r="AK430" s="701"/>
      <c r="AL430" s="701"/>
      <c r="AM430" s="701"/>
      <c r="AN430" s="701"/>
      <c r="AO430" s="701"/>
      <c r="AP430" s="701"/>
      <c r="AQ430" s="701"/>
      <c r="AR430" s="701"/>
      <c r="AS430" s="701"/>
      <c r="AT430" s="701"/>
      <c r="AU430" s="701"/>
      <c r="AV430" s="701"/>
      <c r="AW430" s="701"/>
      <c r="AX430" s="701"/>
      <c r="AY430" s="701"/>
      <c r="AZ430" s="701"/>
      <c r="BA430" s="701"/>
      <c r="BB430" s="701"/>
      <c r="BC430" s="701"/>
    </row>
    <row r="431" spans="1:55" s="702" customFormat="1" ht="35.1" customHeight="1">
      <c r="A431" s="703">
        <v>428</v>
      </c>
      <c r="B431" s="704" t="s">
        <v>2552</v>
      </c>
      <c r="C431" s="705" t="s">
        <v>655</v>
      </c>
      <c r="D431" s="706">
        <v>4800</v>
      </c>
      <c r="E431" s="706">
        <v>4800</v>
      </c>
      <c r="F431" s="707" t="s">
        <v>2084</v>
      </c>
      <c r="G431" s="699"/>
      <c r="H431" s="700"/>
      <c r="I431" s="700"/>
      <c r="J431" s="700"/>
      <c r="K431" s="700"/>
      <c r="L431" s="700"/>
      <c r="M431" s="701"/>
      <c r="N431" s="701"/>
      <c r="O431" s="701"/>
      <c r="P431" s="701"/>
      <c r="Q431" s="701"/>
      <c r="R431" s="701"/>
      <c r="S431" s="701"/>
      <c r="T431" s="701"/>
      <c r="U431" s="701"/>
      <c r="V431" s="701"/>
      <c r="W431" s="701"/>
      <c r="X431" s="701"/>
      <c r="Y431" s="701"/>
      <c r="Z431" s="701"/>
      <c r="AA431" s="701"/>
      <c r="AB431" s="701"/>
      <c r="AC431" s="701"/>
      <c r="AD431" s="701"/>
      <c r="AE431" s="701"/>
      <c r="AF431" s="701"/>
      <c r="AG431" s="701"/>
      <c r="AH431" s="701"/>
      <c r="AI431" s="701"/>
      <c r="AJ431" s="701"/>
      <c r="AK431" s="701"/>
      <c r="AL431" s="701"/>
      <c r="AM431" s="701"/>
      <c r="AN431" s="701"/>
      <c r="AO431" s="701"/>
      <c r="AP431" s="701"/>
      <c r="AQ431" s="701"/>
      <c r="AR431" s="701"/>
      <c r="AS431" s="701"/>
      <c r="AT431" s="701"/>
      <c r="AU431" s="701"/>
      <c r="AV431" s="701"/>
      <c r="AW431" s="701"/>
      <c r="AX431" s="701"/>
      <c r="AY431" s="701"/>
      <c r="AZ431" s="701"/>
      <c r="BA431" s="701"/>
      <c r="BB431" s="701"/>
      <c r="BC431" s="701"/>
    </row>
    <row r="432" spans="1:55" s="702" customFormat="1" ht="35.1" customHeight="1">
      <c r="A432" s="703">
        <v>429</v>
      </c>
      <c r="B432" s="704" t="s">
        <v>2553</v>
      </c>
      <c r="C432" s="705" t="s">
        <v>655</v>
      </c>
      <c r="D432" s="706">
        <v>6800</v>
      </c>
      <c r="E432" s="706">
        <v>6800</v>
      </c>
      <c r="F432" s="707" t="s">
        <v>2084</v>
      </c>
      <c r="G432" s="699"/>
      <c r="H432" s="700"/>
      <c r="I432" s="700"/>
      <c r="J432" s="700"/>
      <c r="K432" s="700"/>
      <c r="L432" s="700"/>
      <c r="M432" s="701"/>
      <c r="N432" s="701"/>
      <c r="O432" s="701"/>
      <c r="P432" s="701"/>
      <c r="Q432" s="701"/>
      <c r="R432" s="701"/>
      <c r="S432" s="701"/>
      <c r="T432" s="701"/>
      <c r="U432" s="701"/>
      <c r="V432" s="701"/>
      <c r="W432" s="701"/>
      <c r="X432" s="701"/>
      <c r="Y432" s="701"/>
      <c r="Z432" s="701"/>
      <c r="AA432" s="701"/>
      <c r="AB432" s="701"/>
      <c r="AC432" s="701"/>
      <c r="AD432" s="701"/>
      <c r="AE432" s="701"/>
      <c r="AF432" s="701"/>
      <c r="AG432" s="701"/>
      <c r="AH432" s="701"/>
      <c r="AI432" s="701"/>
      <c r="AJ432" s="701"/>
      <c r="AK432" s="701"/>
      <c r="AL432" s="701"/>
      <c r="AM432" s="701"/>
      <c r="AN432" s="701"/>
      <c r="AO432" s="701"/>
      <c r="AP432" s="701"/>
      <c r="AQ432" s="701"/>
      <c r="AR432" s="701"/>
      <c r="AS432" s="701"/>
      <c r="AT432" s="701"/>
      <c r="AU432" s="701"/>
      <c r="AV432" s="701"/>
      <c r="AW432" s="701"/>
      <c r="AX432" s="701"/>
      <c r="AY432" s="701"/>
      <c r="AZ432" s="701"/>
      <c r="BA432" s="701"/>
      <c r="BB432" s="701"/>
      <c r="BC432" s="701"/>
    </row>
    <row r="433" spans="1:55" s="702" customFormat="1" ht="35.1" customHeight="1">
      <c r="A433" s="703">
        <v>430</v>
      </c>
      <c r="B433" s="704" t="s">
        <v>2554</v>
      </c>
      <c r="C433" s="705" t="s">
        <v>655</v>
      </c>
      <c r="D433" s="706">
        <v>8600</v>
      </c>
      <c r="E433" s="706">
        <v>8600</v>
      </c>
      <c r="F433" s="707" t="s">
        <v>2084</v>
      </c>
      <c r="G433" s="699"/>
      <c r="H433" s="700"/>
      <c r="I433" s="700"/>
      <c r="J433" s="700"/>
      <c r="K433" s="700"/>
      <c r="L433" s="700"/>
      <c r="M433" s="701"/>
      <c r="N433" s="701"/>
      <c r="O433" s="701"/>
      <c r="P433" s="701"/>
      <c r="Q433" s="701"/>
      <c r="R433" s="701"/>
      <c r="S433" s="701"/>
      <c r="T433" s="701"/>
      <c r="U433" s="701"/>
      <c r="V433" s="701"/>
      <c r="W433" s="701"/>
      <c r="X433" s="701"/>
      <c r="Y433" s="701"/>
      <c r="Z433" s="701"/>
      <c r="AA433" s="701"/>
      <c r="AB433" s="701"/>
      <c r="AC433" s="701"/>
      <c r="AD433" s="701"/>
      <c r="AE433" s="701"/>
      <c r="AF433" s="701"/>
      <c r="AG433" s="701"/>
      <c r="AH433" s="701"/>
      <c r="AI433" s="701"/>
      <c r="AJ433" s="701"/>
      <c r="AK433" s="701"/>
      <c r="AL433" s="701"/>
      <c r="AM433" s="701"/>
      <c r="AN433" s="701"/>
      <c r="AO433" s="701"/>
      <c r="AP433" s="701"/>
      <c r="AQ433" s="701"/>
      <c r="AR433" s="701"/>
      <c r="AS433" s="701"/>
      <c r="AT433" s="701"/>
      <c r="AU433" s="701"/>
      <c r="AV433" s="701"/>
      <c r="AW433" s="701"/>
      <c r="AX433" s="701"/>
      <c r="AY433" s="701"/>
      <c r="AZ433" s="701"/>
      <c r="BA433" s="701"/>
      <c r="BB433" s="701"/>
      <c r="BC433" s="701"/>
    </row>
    <row r="434" spans="1:55" s="702" customFormat="1" ht="35.1" customHeight="1">
      <c r="A434" s="703">
        <v>431</v>
      </c>
      <c r="B434" s="704" t="s">
        <v>2555</v>
      </c>
      <c r="C434" s="705" t="s">
        <v>655</v>
      </c>
      <c r="D434" s="706">
        <v>27000</v>
      </c>
      <c r="E434" s="706">
        <v>27000</v>
      </c>
      <c r="F434" s="707" t="s">
        <v>2084</v>
      </c>
      <c r="G434" s="699"/>
      <c r="H434" s="700"/>
      <c r="I434" s="700"/>
      <c r="J434" s="700"/>
      <c r="K434" s="700"/>
      <c r="L434" s="700"/>
      <c r="M434" s="701"/>
      <c r="N434" s="701"/>
      <c r="O434" s="701"/>
      <c r="P434" s="701"/>
      <c r="Q434" s="701"/>
      <c r="R434" s="701"/>
      <c r="S434" s="701"/>
      <c r="T434" s="701"/>
      <c r="U434" s="701"/>
      <c r="V434" s="701"/>
      <c r="W434" s="701"/>
      <c r="X434" s="701"/>
      <c r="Y434" s="701"/>
      <c r="Z434" s="701"/>
      <c r="AA434" s="701"/>
      <c r="AB434" s="701"/>
      <c r="AC434" s="701"/>
      <c r="AD434" s="701"/>
      <c r="AE434" s="701"/>
      <c r="AF434" s="701"/>
      <c r="AG434" s="701"/>
      <c r="AH434" s="701"/>
      <c r="AI434" s="701"/>
      <c r="AJ434" s="701"/>
      <c r="AK434" s="701"/>
      <c r="AL434" s="701"/>
      <c r="AM434" s="701"/>
      <c r="AN434" s="701"/>
      <c r="AO434" s="701"/>
      <c r="AP434" s="701"/>
      <c r="AQ434" s="701"/>
      <c r="AR434" s="701"/>
      <c r="AS434" s="701"/>
      <c r="AT434" s="701"/>
      <c r="AU434" s="701"/>
      <c r="AV434" s="701"/>
      <c r="AW434" s="701"/>
      <c r="AX434" s="701"/>
      <c r="AY434" s="701"/>
      <c r="AZ434" s="701"/>
      <c r="BA434" s="701"/>
      <c r="BB434" s="701"/>
      <c r="BC434" s="701"/>
    </row>
    <row r="435" spans="1:55" s="702" customFormat="1" ht="45">
      <c r="A435" s="703">
        <v>432</v>
      </c>
      <c r="B435" s="704" t="s">
        <v>2556</v>
      </c>
      <c r="C435" s="705" t="s">
        <v>685</v>
      </c>
      <c r="D435" s="706">
        <v>91000</v>
      </c>
      <c r="E435" s="706">
        <v>91000</v>
      </c>
      <c r="F435" s="707" t="s">
        <v>2193</v>
      </c>
      <c r="G435" s="699"/>
      <c r="H435" s="700"/>
      <c r="I435" s="700" t="s">
        <v>2061</v>
      </c>
      <c r="J435" s="700"/>
      <c r="K435" s="700"/>
      <c r="L435" s="700"/>
      <c r="M435" s="701"/>
      <c r="N435" s="701"/>
      <c r="O435" s="701"/>
      <c r="P435" s="701"/>
      <c r="Q435" s="701"/>
      <c r="R435" s="701"/>
      <c r="S435" s="701"/>
      <c r="T435" s="701"/>
      <c r="U435" s="701"/>
      <c r="V435" s="701"/>
      <c r="W435" s="701"/>
      <c r="X435" s="701"/>
      <c r="Y435" s="701"/>
      <c r="Z435" s="701"/>
      <c r="AA435" s="701"/>
      <c r="AB435" s="701"/>
      <c r="AC435" s="701"/>
      <c r="AD435" s="701"/>
      <c r="AE435" s="701"/>
      <c r="AF435" s="701"/>
      <c r="AG435" s="701"/>
      <c r="AH435" s="701"/>
      <c r="AI435" s="701"/>
      <c r="AJ435" s="701"/>
      <c r="AK435" s="701"/>
      <c r="AL435" s="701"/>
      <c r="AM435" s="701"/>
      <c r="AN435" s="701"/>
      <c r="AO435" s="701"/>
      <c r="AP435" s="701"/>
      <c r="AQ435" s="701"/>
      <c r="AR435" s="701"/>
      <c r="AS435" s="701"/>
      <c r="AT435" s="701"/>
      <c r="AU435" s="701"/>
      <c r="AV435" s="701"/>
      <c r="AW435" s="701"/>
      <c r="AX435" s="701"/>
      <c r="AY435" s="701"/>
      <c r="AZ435" s="701"/>
      <c r="BA435" s="701"/>
      <c r="BB435" s="701"/>
      <c r="BC435" s="701"/>
    </row>
    <row r="436" spans="1:55" s="702" customFormat="1" ht="45">
      <c r="A436" s="703">
        <v>433</v>
      </c>
      <c r="B436" s="704" t="s">
        <v>2557</v>
      </c>
      <c r="C436" s="705" t="s">
        <v>685</v>
      </c>
      <c r="D436" s="706">
        <v>110000</v>
      </c>
      <c r="E436" s="706">
        <v>110000</v>
      </c>
      <c r="F436" s="707" t="s">
        <v>2193</v>
      </c>
      <c r="G436" s="699"/>
      <c r="H436" s="700"/>
      <c r="I436" s="700" t="s">
        <v>2061</v>
      </c>
      <c r="J436" s="700"/>
      <c r="K436" s="700"/>
      <c r="L436" s="700"/>
      <c r="M436" s="701"/>
      <c r="N436" s="701"/>
      <c r="O436" s="701"/>
      <c r="P436" s="701"/>
      <c r="Q436" s="701"/>
      <c r="R436" s="701"/>
      <c r="S436" s="701"/>
      <c r="T436" s="701"/>
      <c r="U436" s="701"/>
      <c r="V436" s="701"/>
      <c r="W436" s="701"/>
      <c r="X436" s="701"/>
      <c r="Y436" s="701"/>
      <c r="Z436" s="701"/>
      <c r="AA436" s="701"/>
      <c r="AB436" s="701"/>
      <c r="AC436" s="701"/>
      <c r="AD436" s="701"/>
      <c r="AE436" s="701"/>
      <c r="AF436" s="701"/>
      <c r="AG436" s="701"/>
      <c r="AH436" s="701"/>
      <c r="AI436" s="701"/>
      <c r="AJ436" s="701"/>
      <c r="AK436" s="701"/>
      <c r="AL436" s="701"/>
      <c r="AM436" s="701"/>
      <c r="AN436" s="701"/>
      <c r="AO436" s="701"/>
      <c r="AP436" s="701"/>
      <c r="AQ436" s="701"/>
      <c r="AR436" s="701"/>
      <c r="AS436" s="701"/>
      <c r="AT436" s="701"/>
      <c r="AU436" s="701"/>
      <c r="AV436" s="701"/>
      <c r="AW436" s="701"/>
      <c r="AX436" s="701"/>
      <c r="AY436" s="701"/>
      <c r="AZ436" s="701"/>
      <c r="BA436" s="701"/>
      <c r="BB436" s="701"/>
      <c r="BC436" s="701"/>
    </row>
    <row r="437" spans="1:55" s="702" customFormat="1" ht="45">
      <c r="A437" s="703">
        <v>434</v>
      </c>
      <c r="B437" s="704" t="s">
        <v>2558</v>
      </c>
      <c r="C437" s="705" t="s">
        <v>685</v>
      </c>
      <c r="D437" s="706">
        <v>120000</v>
      </c>
      <c r="E437" s="706">
        <v>120000</v>
      </c>
      <c r="F437" s="707" t="s">
        <v>2193</v>
      </c>
      <c r="G437" s="699"/>
      <c r="H437" s="700"/>
      <c r="I437" s="700" t="s">
        <v>2061</v>
      </c>
      <c r="J437" s="700"/>
      <c r="K437" s="700"/>
      <c r="L437" s="700"/>
      <c r="M437" s="701"/>
      <c r="N437" s="701"/>
      <c r="O437" s="701"/>
      <c r="P437" s="701"/>
      <c r="Q437" s="701"/>
      <c r="R437" s="701"/>
      <c r="S437" s="701"/>
      <c r="T437" s="701"/>
      <c r="U437" s="701"/>
      <c r="V437" s="701"/>
      <c r="W437" s="701"/>
      <c r="X437" s="701"/>
      <c r="Y437" s="701"/>
      <c r="Z437" s="701"/>
      <c r="AA437" s="701"/>
      <c r="AB437" s="701"/>
      <c r="AC437" s="701"/>
      <c r="AD437" s="701"/>
      <c r="AE437" s="701"/>
      <c r="AF437" s="701"/>
      <c r="AG437" s="701"/>
      <c r="AH437" s="701"/>
      <c r="AI437" s="701"/>
      <c r="AJ437" s="701"/>
      <c r="AK437" s="701"/>
      <c r="AL437" s="701"/>
      <c r="AM437" s="701"/>
      <c r="AN437" s="701"/>
      <c r="AO437" s="701"/>
      <c r="AP437" s="701"/>
      <c r="AQ437" s="701"/>
      <c r="AR437" s="701"/>
      <c r="AS437" s="701"/>
      <c r="AT437" s="701"/>
      <c r="AU437" s="701"/>
      <c r="AV437" s="701"/>
      <c r="AW437" s="701"/>
      <c r="AX437" s="701"/>
      <c r="AY437" s="701"/>
      <c r="AZ437" s="701"/>
      <c r="BA437" s="701"/>
      <c r="BB437" s="701"/>
      <c r="BC437" s="701"/>
    </row>
    <row r="438" spans="1:55" s="702" customFormat="1" ht="45">
      <c r="A438" s="703">
        <v>435</v>
      </c>
      <c r="B438" s="704" t="s">
        <v>2559</v>
      </c>
      <c r="C438" s="705" t="s">
        <v>685</v>
      </c>
      <c r="D438" s="706">
        <v>107000</v>
      </c>
      <c r="E438" s="706">
        <v>107000</v>
      </c>
      <c r="F438" s="707" t="s">
        <v>2193</v>
      </c>
      <c r="G438" s="699"/>
      <c r="H438" s="700"/>
      <c r="I438" s="700" t="s">
        <v>2061</v>
      </c>
      <c r="J438" s="700"/>
      <c r="K438" s="700"/>
      <c r="L438" s="700"/>
      <c r="M438" s="701"/>
      <c r="N438" s="701"/>
      <c r="O438" s="701"/>
      <c r="P438" s="701"/>
      <c r="Q438" s="701"/>
      <c r="R438" s="701"/>
      <c r="S438" s="701"/>
      <c r="T438" s="701"/>
      <c r="U438" s="701"/>
      <c r="V438" s="701"/>
      <c r="W438" s="701"/>
      <c r="X438" s="701"/>
      <c r="Y438" s="701"/>
      <c r="Z438" s="701"/>
      <c r="AA438" s="701"/>
      <c r="AB438" s="701"/>
      <c r="AC438" s="701"/>
      <c r="AD438" s="701"/>
      <c r="AE438" s="701"/>
      <c r="AF438" s="701"/>
      <c r="AG438" s="701"/>
      <c r="AH438" s="701"/>
      <c r="AI438" s="701"/>
      <c r="AJ438" s="701"/>
      <c r="AK438" s="701"/>
      <c r="AL438" s="701"/>
      <c r="AM438" s="701"/>
      <c r="AN438" s="701"/>
      <c r="AO438" s="701"/>
      <c r="AP438" s="701"/>
      <c r="AQ438" s="701"/>
      <c r="AR438" s="701"/>
      <c r="AS438" s="701"/>
      <c r="AT438" s="701"/>
      <c r="AU438" s="701"/>
      <c r="AV438" s="701"/>
      <c r="AW438" s="701"/>
      <c r="AX438" s="701"/>
      <c r="AY438" s="701"/>
      <c r="AZ438" s="701"/>
      <c r="BA438" s="701"/>
      <c r="BB438" s="701"/>
      <c r="BC438" s="701"/>
    </row>
    <row r="439" spans="1:55" s="702" customFormat="1" ht="45">
      <c r="A439" s="703">
        <v>436</v>
      </c>
      <c r="B439" s="704" t="s">
        <v>2560</v>
      </c>
      <c r="C439" s="705" t="s">
        <v>677</v>
      </c>
      <c r="D439" s="706">
        <v>10000</v>
      </c>
      <c r="E439" s="706">
        <v>10000</v>
      </c>
      <c r="F439" s="707" t="s">
        <v>2068</v>
      </c>
      <c r="G439" s="699"/>
      <c r="H439" s="700"/>
      <c r="I439" s="700" t="s">
        <v>2061</v>
      </c>
      <c r="J439" s="700"/>
      <c r="K439" s="700"/>
      <c r="L439" s="700"/>
      <c r="M439" s="701"/>
      <c r="N439" s="701"/>
      <c r="O439" s="701"/>
      <c r="P439" s="701"/>
      <c r="Q439" s="701"/>
      <c r="R439" s="701"/>
      <c r="S439" s="701"/>
      <c r="T439" s="701"/>
      <c r="U439" s="701"/>
      <c r="V439" s="701"/>
      <c r="W439" s="701"/>
      <c r="X439" s="701"/>
      <c r="Y439" s="701"/>
      <c r="Z439" s="701"/>
      <c r="AA439" s="701"/>
      <c r="AB439" s="701"/>
      <c r="AC439" s="701"/>
      <c r="AD439" s="701"/>
      <c r="AE439" s="701"/>
      <c r="AF439" s="701"/>
      <c r="AG439" s="701"/>
      <c r="AH439" s="701"/>
      <c r="AI439" s="701"/>
      <c r="AJ439" s="701"/>
      <c r="AK439" s="701"/>
      <c r="AL439" s="701"/>
      <c r="AM439" s="701"/>
      <c r="AN439" s="701"/>
      <c r="AO439" s="701"/>
      <c r="AP439" s="701"/>
      <c r="AQ439" s="701"/>
      <c r="AR439" s="701"/>
      <c r="AS439" s="701"/>
      <c r="AT439" s="701"/>
      <c r="AU439" s="701"/>
      <c r="AV439" s="701"/>
      <c r="AW439" s="701"/>
      <c r="AX439" s="701"/>
      <c r="AY439" s="701"/>
      <c r="AZ439" s="701"/>
      <c r="BA439" s="701"/>
      <c r="BB439" s="701"/>
      <c r="BC439" s="701"/>
    </row>
    <row r="440" spans="1:55" s="702" customFormat="1" ht="35.1" customHeight="1">
      <c r="A440" s="703">
        <v>437</v>
      </c>
      <c r="B440" s="704" t="s">
        <v>2561</v>
      </c>
      <c r="C440" s="705" t="s">
        <v>1730</v>
      </c>
      <c r="D440" s="706">
        <v>18065</v>
      </c>
      <c r="E440" s="706">
        <v>18065</v>
      </c>
      <c r="F440" s="707" t="s">
        <v>2204</v>
      </c>
      <c r="G440" s="699"/>
      <c r="H440" s="700"/>
      <c r="I440" s="700" t="s">
        <v>2061</v>
      </c>
      <c r="J440" s="700"/>
      <c r="K440" s="700"/>
      <c r="L440" s="700"/>
      <c r="M440" s="701"/>
      <c r="N440" s="701"/>
      <c r="O440" s="701"/>
      <c r="P440" s="701"/>
      <c r="Q440" s="701"/>
      <c r="R440" s="701"/>
      <c r="S440" s="701"/>
      <c r="T440" s="701"/>
      <c r="U440" s="701"/>
      <c r="V440" s="701"/>
      <c r="W440" s="701"/>
      <c r="X440" s="701"/>
      <c r="Y440" s="701"/>
      <c r="Z440" s="701"/>
      <c r="AA440" s="701"/>
      <c r="AB440" s="701"/>
      <c r="AC440" s="701"/>
      <c r="AD440" s="701"/>
      <c r="AE440" s="701"/>
      <c r="AF440" s="701"/>
      <c r="AG440" s="701"/>
      <c r="AH440" s="701"/>
      <c r="AI440" s="701"/>
      <c r="AJ440" s="701"/>
      <c r="AK440" s="701"/>
      <c r="AL440" s="701"/>
      <c r="AM440" s="701"/>
      <c r="AN440" s="701"/>
      <c r="AO440" s="701"/>
      <c r="AP440" s="701"/>
      <c r="AQ440" s="701"/>
      <c r="AR440" s="701"/>
      <c r="AS440" s="701"/>
      <c r="AT440" s="701"/>
      <c r="AU440" s="701"/>
      <c r="AV440" s="701"/>
      <c r="AW440" s="701"/>
      <c r="AX440" s="701"/>
      <c r="AY440" s="701"/>
      <c r="AZ440" s="701"/>
      <c r="BA440" s="701"/>
      <c r="BB440" s="701"/>
      <c r="BC440" s="701"/>
    </row>
    <row r="441" spans="1:55" s="702" customFormat="1" ht="35.1" customHeight="1">
      <c r="A441" s="703">
        <v>438</v>
      </c>
      <c r="B441" s="704" t="s">
        <v>1747</v>
      </c>
      <c r="C441" s="705" t="s">
        <v>1730</v>
      </c>
      <c r="D441" s="706">
        <v>18065</v>
      </c>
      <c r="E441" s="706">
        <v>18065</v>
      </c>
      <c r="F441" s="707" t="s">
        <v>2204</v>
      </c>
      <c r="G441" s="699"/>
      <c r="H441" s="700"/>
      <c r="I441" s="700" t="s">
        <v>2061</v>
      </c>
      <c r="J441" s="700"/>
      <c r="K441" s="700"/>
      <c r="L441" s="700"/>
      <c r="M441" s="701"/>
      <c r="N441" s="701"/>
      <c r="O441" s="701"/>
      <c r="P441" s="701"/>
      <c r="Q441" s="701"/>
      <c r="R441" s="701"/>
      <c r="S441" s="701"/>
      <c r="T441" s="701"/>
      <c r="U441" s="701"/>
      <c r="V441" s="701"/>
      <c r="W441" s="701"/>
      <c r="X441" s="701"/>
      <c r="Y441" s="701"/>
      <c r="Z441" s="701"/>
      <c r="AA441" s="701"/>
      <c r="AB441" s="701"/>
      <c r="AC441" s="701"/>
      <c r="AD441" s="701"/>
      <c r="AE441" s="701"/>
      <c r="AF441" s="701"/>
      <c r="AG441" s="701"/>
      <c r="AH441" s="701"/>
      <c r="AI441" s="701"/>
      <c r="AJ441" s="701"/>
      <c r="AK441" s="701"/>
      <c r="AL441" s="701"/>
      <c r="AM441" s="701"/>
      <c r="AN441" s="701"/>
      <c r="AO441" s="701"/>
      <c r="AP441" s="701"/>
      <c r="AQ441" s="701"/>
      <c r="AR441" s="701"/>
      <c r="AS441" s="701"/>
      <c r="AT441" s="701"/>
      <c r="AU441" s="701"/>
      <c r="AV441" s="701"/>
      <c r="AW441" s="701"/>
      <c r="AX441" s="701"/>
      <c r="AY441" s="701"/>
      <c r="AZ441" s="701"/>
      <c r="BA441" s="701"/>
      <c r="BB441" s="701"/>
      <c r="BC441" s="701"/>
    </row>
    <row r="442" spans="1:55" s="702" customFormat="1" ht="35.1" customHeight="1">
      <c r="A442" s="703">
        <v>439</v>
      </c>
      <c r="B442" s="704" t="s">
        <v>2562</v>
      </c>
      <c r="C442" s="705" t="s">
        <v>1730</v>
      </c>
      <c r="D442" s="706">
        <v>18065</v>
      </c>
      <c r="E442" s="706">
        <v>18065</v>
      </c>
      <c r="F442" s="707" t="s">
        <v>2204</v>
      </c>
      <c r="G442" s="699"/>
      <c r="H442" s="700"/>
      <c r="I442" s="700" t="s">
        <v>2061</v>
      </c>
      <c r="J442" s="700"/>
      <c r="K442" s="700"/>
      <c r="L442" s="700"/>
      <c r="M442" s="701"/>
      <c r="N442" s="701"/>
      <c r="O442" s="701"/>
      <c r="P442" s="701"/>
      <c r="Q442" s="701"/>
      <c r="R442" s="701"/>
      <c r="S442" s="701"/>
      <c r="T442" s="701"/>
      <c r="U442" s="701"/>
      <c r="V442" s="701"/>
      <c r="W442" s="701"/>
      <c r="X442" s="701"/>
      <c r="Y442" s="701"/>
      <c r="Z442" s="701"/>
      <c r="AA442" s="701"/>
      <c r="AB442" s="701"/>
      <c r="AC442" s="701"/>
      <c r="AD442" s="701"/>
      <c r="AE442" s="701"/>
      <c r="AF442" s="701"/>
      <c r="AG442" s="701"/>
      <c r="AH442" s="701"/>
      <c r="AI442" s="701"/>
      <c r="AJ442" s="701"/>
      <c r="AK442" s="701"/>
      <c r="AL442" s="701"/>
      <c r="AM442" s="701"/>
      <c r="AN442" s="701"/>
      <c r="AO442" s="701"/>
      <c r="AP442" s="701"/>
      <c r="AQ442" s="701"/>
      <c r="AR442" s="701"/>
      <c r="AS442" s="701"/>
      <c r="AT442" s="701"/>
      <c r="AU442" s="701"/>
      <c r="AV442" s="701"/>
      <c r="AW442" s="701"/>
      <c r="AX442" s="701"/>
      <c r="AY442" s="701"/>
      <c r="AZ442" s="701"/>
      <c r="BA442" s="701"/>
      <c r="BB442" s="701"/>
      <c r="BC442" s="701"/>
    </row>
    <row r="443" spans="1:55" s="702" customFormat="1" ht="35.1" customHeight="1">
      <c r="A443" s="703">
        <v>440</v>
      </c>
      <c r="B443" s="704" t="s">
        <v>1748</v>
      </c>
      <c r="C443" s="705" t="s">
        <v>1730</v>
      </c>
      <c r="D443" s="706">
        <v>19100</v>
      </c>
      <c r="E443" s="706">
        <v>19100</v>
      </c>
      <c r="F443" s="707" t="s">
        <v>2563</v>
      </c>
      <c r="G443" s="699"/>
      <c r="H443" s="700"/>
      <c r="I443" s="700" t="s">
        <v>2061</v>
      </c>
      <c r="J443" s="700"/>
      <c r="K443" s="700"/>
      <c r="L443" s="700"/>
      <c r="M443" s="701"/>
      <c r="N443" s="701"/>
      <c r="O443" s="701"/>
      <c r="P443" s="701"/>
      <c r="Q443" s="701"/>
      <c r="R443" s="701"/>
      <c r="S443" s="701"/>
      <c r="T443" s="701"/>
      <c r="U443" s="701"/>
      <c r="V443" s="701"/>
      <c r="W443" s="701"/>
      <c r="X443" s="701"/>
      <c r="Y443" s="701"/>
      <c r="Z443" s="701"/>
      <c r="AA443" s="701"/>
      <c r="AB443" s="701"/>
      <c r="AC443" s="701"/>
      <c r="AD443" s="701"/>
      <c r="AE443" s="701"/>
      <c r="AF443" s="701"/>
      <c r="AG443" s="701"/>
      <c r="AH443" s="701"/>
      <c r="AI443" s="701"/>
      <c r="AJ443" s="701"/>
      <c r="AK443" s="701"/>
      <c r="AL443" s="701"/>
      <c r="AM443" s="701"/>
      <c r="AN443" s="701"/>
      <c r="AO443" s="701"/>
      <c r="AP443" s="701"/>
      <c r="AQ443" s="701"/>
      <c r="AR443" s="701"/>
      <c r="AS443" s="701"/>
      <c r="AT443" s="701"/>
      <c r="AU443" s="701"/>
      <c r="AV443" s="701"/>
      <c r="AW443" s="701"/>
      <c r="AX443" s="701"/>
      <c r="AY443" s="701"/>
      <c r="AZ443" s="701"/>
      <c r="BA443" s="701"/>
      <c r="BB443" s="701"/>
      <c r="BC443" s="701"/>
    </row>
    <row r="444" spans="1:55" s="702" customFormat="1" ht="35.1" customHeight="1">
      <c r="A444" s="703">
        <v>441</v>
      </c>
      <c r="B444" s="704" t="s">
        <v>1852</v>
      </c>
      <c r="C444" s="705" t="s">
        <v>1730</v>
      </c>
      <c r="D444" s="706">
        <v>17900</v>
      </c>
      <c r="E444" s="706">
        <v>17900</v>
      </c>
      <c r="F444" s="707" t="s">
        <v>2564</v>
      </c>
      <c r="G444" s="699"/>
      <c r="H444" s="700"/>
      <c r="I444" s="700" t="s">
        <v>2061</v>
      </c>
      <c r="J444" s="700"/>
      <c r="K444" s="700"/>
      <c r="L444" s="700"/>
      <c r="M444" s="701"/>
      <c r="N444" s="701"/>
      <c r="O444" s="701"/>
      <c r="P444" s="701"/>
      <c r="Q444" s="701"/>
      <c r="R444" s="701"/>
      <c r="S444" s="701"/>
      <c r="T444" s="701"/>
      <c r="U444" s="701"/>
      <c r="V444" s="701"/>
      <c r="W444" s="701"/>
      <c r="X444" s="701"/>
      <c r="Y444" s="701"/>
      <c r="Z444" s="701"/>
      <c r="AA444" s="701"/>
      <c r="AB444" s="701"/>
      <c r="AC444" s="701"/>
      <c r="AD444" s="701"/>
      <c r="AE444" s="701"/>
      <c r="AF444" s="701"/>
      <c r="AG444" s="701"/>
      <c r="AH444" s="701"/>
      <c r="AI444" s="701"/>
      <c r="AJ444" s="701"/>
      <c r="AK444" s="701"/>
      <c r="AL444" s="701"/>
      <c r="AM444" s="701"/>
      <c r="AN444" s="701"/>
      <c r="AO444" s="701"/>
      <c r="AP444" s="701"/>
      <c r="AQ444" s="701"/>
      <c r="AR444" s="701"/>
      <c r="AS444" s="701"/>
      <c r="AT444" s="701"/>
      <c r="AU444" s="701"/>
      <c r="AV444" s="701"/>
      <c r="AW444" s="701"/>
      <c r="AX444" s="701"/>
      <c r="AY444" s="701"/>
      <c r="AZ444" s="701"/>
      <c r="BA444" s="701"/>
      <c r="BB444" s="701"/>
      <c r="BC444" s="701"/>
    </row>
    <row r="445" spans="1:55" s="702" customFormat="1" ht="35.1" customHeight="1">
      <c r="A445" s="703">
        <v>442</v>
      </c>
      <c r="B445" s="704" t="s">
        <v>2565</v>
      </c>
      <c r="C445" s="705" t="s">
        <v>1730</v>
      </c>
      <c r="D445" s="706">
        <v>18150</v>
      </c>
      <c r="E445" s="706">
        <v>18150</v>
      </c>
      <c r="F445" s="707" t="s">
        <v>2564</v>
      </c>
      <c r="G445" s="699"/>
      <c r="H445" s="700"/>
      <c r="I445" s="700" t="s">
        <v>2061</v>
      </c>
      <c r="J445" s="700"/>
      <c r="K445" s="700"/>
      <c r="L445" s="700"/>
      <c r="M445" s="701"/>
      <c r="N445" s="701"/>
      <c r="O445" s="701"/>
      <c r="P445" s="701"/>
      <c r="Q445" s="701"/>
      <c r="R445" s="701"/>
      <c r="S445" s="701"/>
      <c r="T445" s="701"/>
      <c r="U445" s="701"/>
      <c r="V445" s="701"/>
      <c r="W445" s="701"/>
      <c r="X445" s="701"/>
      <c r="Y445" s="701"/>
      <c r="Z445" s="701"/>
      <c r="AA445" s="701"/>
      <c r="AB445" s="701"/>
      <c r="AC445" s="701"/>
      <c r="AD445" s="701"/>
      <c r="AE445" s="701"/>
      <c r="AF445" s="701"/>
      <c r="AG445" s="701"/>
      <c r="AH445" s="701"/>
      <c r="AI445" s="701"/>
      <c r="AJ445" s="701"/>
      <c r="AK445" s="701"/>
      <c r="AL445" s="701"/>
      <c r="AM445" s="701"/>
      <c r="AN445" s="701"/>
      <c r="AO445" s="701"/>
      <c r="AP445" s="701"/>
      <c r="AQ445" s="701"/>
      <c r="AR445" s="701"/>
      <c r="AS445" s="701"/>
      <c r="AT445" s="701"/>
      <c r="AU445" s="701"/>
      <c r="AV445" s="701"/>
      <c r="AW445" s="701"/>
      <c r="AX445" s="701"/>
      <c r="AY445" s="701"/>
      <c r="AZ445" s="701"/>
      <c r="BA445" s="701"/>
      <c r="BB445" s="701"/>
      <c r="BC445" s="701"/>
    </row>
    <row r="446" spans="1:55" s="702" customFormat="1" ht="35.1" customHeight="1">
      <c r="A446" s="703">
        <v>443</v>
      </c>
      <c r="B446" s="704" t="s">
        <v>1751</v>
      </c>
      <c r="C446" s="705" t="s">
        <v>1730</v>
      </c>
      <c r="D446" s="706">
        <v>18000</v>
      </c>
      <c r="E446" s="706">
        <v>18000</v>
      </c>
      <c r="F446" s="707" t="s">
        <v>2564</v>
      </c>
      <c r="G446" s="699"/>
      <c r="H446" s="700"/>
      <c r="I446" s="700" t="s">
        <v>2061</v>
      </c>
      <c r="J446" s="700"/>
      <c r="K446" s="700"/>
      <c r="L446" s="700"/>
      <c r="M446" s="701"/>
      <c r="N446" s="701"/>
      <c r="O446" s="701"/>
      <c r="P446" s="701"/>
      <c r="Q446" s="701"/>
      <c r="R446" s="701"/>
      <c r="S446" s="701"/>
      <c r="T446" s="701"/>
      <c r="U446" s="701"/>
      <c r="V446" s="701"/>
      <c r="W446" s="701"/>
      <c r="X446" s="701"/>
      <c r="Y446" s="701"/>
      <c r="Z446" s="701"/>
      <c r="AA446" s="701"/>
      <c r="AB446" s="701"/>
      <c r="AC446" s="701"/>
      <c r="AD446" s="701"/>
      <c r="AE446" s="701"/>
      <c r="AF446" s="701"/>
      <c r="AG446" s="701"/>
      <c r="AH446" s="701"/>
      <c r="AI446" s="701"/>
      <c r="AJ446" s="701"/>
      <c r="AK446" s="701"/>
      <c r="AL446" s="701"/>
      <c r="AM446" s="701"/>
      <c r="AN446" s="701"/>
      <c r="AO446" s="701"/>
      <c r="AP446" s="701"/>
      <c r="AQ446" s="701"/>
      <c r="AR446" s="701"/>
      <c r="AS446" s="701"/>
      <c r="AT446" s="701"/>
      <c r="AU446" s="701"/>
      <c r="AV446" s="701"/>
      <c r="AW446" s="701"/>
      <c r="AX446" s="701"/>
      <c r="AY446" s="701"/>
      <c r="AZ446" s="701"/>
      <c r="BA446" s="701"/>
      <c r="BB446" s="701"/>
      <c r="BC446" s="701"/>
    </row>
    <row r="447" spans="1:55" s="702" customFormat="1" ht="35.1" customHeight="1">
      <c r="A447" s="703">
        <v>444</v>
      </c>
      <c r="B447" s="704" t="s">
        <v>2566</v>
      </c>
      <c r="C447" s="705" t="s">
        <v>1730</v>
      </c>
      <c r="D447" s="706">
        <v>18000</v>
      </c>
      <c r="E447" s="706">
        <v>18000</v>
      </c>
      <c r="F447" s="707" t="s">
        <v>2564</v>
      </c>
      <c r="G447" s="699"/>
      <c r="H447" s="700"/>
      <c r="I447" s="700" t="s">
        <v>2061</v>
      </c>
      <c r="J447" s="700"/>
      <c r="K447" s="700"/>
      <c r="L447" s="700"/>
      <c r="M447" s="701"/>
      <c r="N447" s="701"/>
      <c r="O447" s="701"/>
      <c r="P447" s="701"/>
      <c r="Q447" s="701"/>
      <c r="R447" s="701"/>
      <c r="S447" s="701"/>
      <c r="T447" s="701"/>
      <c r="U447" s="701"/>
      <c r="V447" s="701"/>
      <c r="W447" s="701"/>
      <c r="X447" s="701"/>
      <c r="Y447" s="701"/>
      <c r="Z447" s="701"/>
      <c r="AA447" s="701"/>
      <c r="AB447" s="701"/>
      <c r="AC447" s="701"/>
      <c r="AD447" s="701"/>
      <c r="AE447" s="701"/>
      <c r="AF447" s="701"/>
      <c r="AG447" s="701"/>
      <c r="AH447" s="701"/>
      <c r="AI447" s="701"/>
      <c r="AJ447" s="701"/>
      <c r="AK447" s="701"/>
      <c r="AL447" s="701"/>
      <c r="AM447" s="701"/>
      <c r="AN447" s="701"/>
      <c r="AO447" s="701"/>
      <c r="AP447" s="701"/>
      <c r="AQ447" s="701"/>
      <c r="AR447" s="701"/>
      <c r="AS447" s="701"/>
      <c r="AT447" s="701"/>
      <c r="AU447" s="701"/>
      <c r="AV447" s="701"/>
      <c r="AW447" s="701"/>
      <c r="AX447" s="701"/>
      <c r="AY447" s="701"/>
      <c r="AZ447" s="701"/>
      <c r="BA447" s="701"/>
      <c r="BB447" s="701"/>
      <c r="BC447" s="701"/>
    </row>
    <row r="448" spans="1:55" s="702" customFormat="1" ht="45">
      <c r="A448" s="703">
        <v>445</v>
      </c>
      <c r="B448" s="704" t="s">
        <v>2567</v>
      </c>
      <c r="C448" s="705" t="s">
        <v>655</v>
      </c>
      <c r="D448" s="708">
        <v>200000</v>
      </c>
      <c r="E448" s="708">
        <v>200000</v>
      </c>
      <c r="F448" s="707" t="s">
        <v>2068</v>
      </c>
      <c r="G448" s="699"/>
      <c r="H448" s="700"/>
      <c r="I448" s="700" t="s">
        <v>2061</v>
      </c>
      <c r="J448" s="700"/>
      <c r="K448" s="700"/>
      <c r="L448" s="700"/>
      <c r="M448" s="701"/>
      <c r="N448" s="701"/>
      <c r="O448" s="701"/>
      <c r="P448" s="701"/>
      <c r="Q448" s="701"/>
      <c r="R448" s="701"/>
      <c r="S448" s="701"/>
      <c r="T448" s="701"/>
      <c r="U448" s="701"/>
      <c r="V448" s="701"/>
      <c r="W448" s="701"/>
      <c r="X448" s="701"/>
      <c r="Y448" s="701"/>
      <c r="Z448" s="701"/>
      <c r="AA448" s="701"/>
      <c r="AB448" s="701"/>
      <c r="AC448" s="701"/>
      <c r="AD448" s="701"/>
      <c r="AE448" s="701"/>
      <c r="AF448" s="701"/>
      <c r="AG448" s="701"/>
      <c r="AH448" s="701"/>
      <c r="AI448" s="701"/>
      <c r="AJ448" s="701"/>
      <c r="AK448" s="701"/>
      <c r="AL448" s="701"/>
      <c r="AM448" s="701"/>
      <c r="AN448" s="701"/>
      <c r="AO448" s="701"/>
      <c r="AP448" s="701"/>
      <c r="AQ448" s="701"/>
      <c r="AR448" s="701"/>
      <c r="AS448" s="701"/>
      <c r="AT448" s="701"/>
      <c r="AU448" s="701"/>
      <c r="AV448" s="701"/>
      <c r="AW448" s="701"/>
      <c r="AX448" s="701"/>
      <c r="AY448" s="701"/>
      <c r="AZ448" s="701"/>
      <c r="BA448" s="701"/>
      <c r="BB448" s="701"/>
      <c r="BC448" s="701"/>
    </row>
    <row r="449" spans="1:55" s="702" customFormat="1" ht="35.1" customHeight="1">
      <c r="A449" s="703">
        <v>446</v>
      </c>
      <c r="B449" s="704" t="s">
        <v>2568</v>
      </c>
      <c r="C449" s="705" t="s">
        <v>1730</v>
      </c>
      <c r="D449" s="722">
        <v>300000</v>
      </c>
      <c r="E449" s="708">
        <v>300000</v>
      </c>
      <c r="F449" s="707"/>
      <c r="G449" s="699"/>
      <c r="H449" s="700"/>
      <c r="I449" s="700"/>
      <c r="J449" s="700"/>
      <c r="K449" s="700"/>
      <c r="L449" s="700"/>
      <c r="M449" s="701"/>
      <c r="N449" s="701"/>
      <c r="O449" s="701"/>
      <c r="P449" s="701"/>
      <c r="Q449" s="701"/>
      <c r="R449" s="701"/>
      <c r="S449" s="701"/>
      <c r="T449" s="701"/>
      <c r="U449" s="701"/>
      <c r="V449" s="701"/>
      <c r="W449" s="701"/>
      <c r="X449" s="701"/>
      <c r="Y449" s="701"/>
      <c r="Z449" s="701"/>
      <c r="AA449" s="701"/>
      <c r="AB449" s="701"/>
      <c r="AC449" s="701"/>
      <c r="AD449" s="701"/>
      <c r="AE449" s="701"/>
      <c r="AF449" s="701"/>
      <c r="AG449" s="701"/>
      <c r="AH449" s="701"/>
      <c r="AI449" s="701"/>
      <c r="AJ449" s="701"/>
      <c r="AK449" s="701"/>
      <c r="AL449" s="701"/>
      <c r="AM449" s="701"/>
      <c r="AN449" s="701"/>
      <c r="AO449" s="701"/>
      <c r="AP449" s="701"/>
      <c r="AQ449" s="701"/>
      <c r="AR449" s="701"/>
      <c r="AS449" s="701"/>
      <c r="AT449" s="701"/>
      <c r="AU449" s="701"/>
      <c r="AV449" s="701"/>
      <c r="AW449" s="701"/>
      <c r="AX449" s="701"/>
      <c r="AY449" s="701"/>
      <c r="AZ449" s="701"/>
      <c r="BA449" s="701"/>
      <c r="BB449" s="701"/>
      <c r="BC449" s="701"/>
    </row>
    <row r="450" spans="1:55" s="702" customFormat="1" ht="35.1" customHeight="1">
      <c r="A450" s="703">
        <v>447</v>
      </c>
      <c r="B450" s="704" t="s">
        <v>2569</v>
      </c>
      <c r="C450" s="705" t="s">
        <v>677</v>
      </c>
      <c r="D450" s="706">
        <v>117176</v>
      </c>
      <c r="E450" s="706">
        <v>117176</v>
      </c>
      <c r="F450" s="707" t="s">
        <v>2570</v>
      </c>
      <c r="G450" s="699"/>
      <c r="H450" s="700"/>
      <c r="I450" s="700" t="s">
        <v>2061</v>
      </c>
      <c r="J450" s="700"/>
      <c r="K450" s="700"/>
      <c r="L450" s="700"/>
      <c r="M450" s="701"/>
      <c r="N450" s="701"/>
      <c r="O450" s="701"/>
      <c r="P450" s="701"/>
      <c r="Q450" s="701"/>
      <c r="R450" s="701"/>
      <c r="S450" s="701"/>
      <c r="T450" s="701"/>
      <c r="U450" s="701"/>
      <c r="V450" s="701"/>
      <c r="W450" s="701"/>
      <c r="X450" s="701"/>
      <c r="Y450" s="701"/>
      <c r="Z450" s="701"/>
      <c r="AA450" s="701"/>
      <c r="AB450" s="701"/>
      <c r="AC450" s="701"/>
      <c r="AD450" s="701"/>
      <c r="AE450" s="701"/>
      <c r="AF450" s="701"/>
      <c r="AG450" s="701"/>
      <c r="AH450" s="701"/>
      <c r="AI450" s="701"/>
      <c r="AJ450" s="701"/>
      <c r="AK450" s="701"/>
      <c r="AL450" s="701"/>
      <c r="AM450" s="701"/>
      <c r="AN450" s="701"/>
      <c r="AO450" s="701"/>
      <c r="AP450" s="701"/>
      <c r="AQ450" s="701"/>
      <c r="AR450" s="701"/>
      <c r="AS450" s="701"/>
      <c r="AT450" s="701"/>
      <c r="AU450" s="701"/>
      <c r="AV450" s="701"/>
      <c r="AW450" s="701"/>
      <c r="AX450" s="701"/>
      <c r="AY450" s="701"/>
      <c r="AZ450" s="701"/>
      <c r="BA450" s="701"/>
      <c r="BB450" s="701"/>
      <c r="BC450" s="701"/>
    </row>
    <row r="451" spans="1:55" s="702" customFormat="1" ht="35.1" customHeight="1">
      <c r="A451" s="703">
        <v>448</v>
      </c>
      <c r="B451" s="704" t="s">
        <v>2571</v>
      </c>
      <c r="C451" s="705" t="s">
        <v>677</v>
      </c>
      <c r="D451" s="706">
        <f>D450+33000</f>
        <v>150176</v>
      </c>
      <c r="E451" s="706">
        <f>E450+33000</f>
        <v>150176</v>
      </c>
      <c r="F451" s="707" t="s">
        <v>2572</v>
      </c>
      <c r="G451" s="699"/>
      <c r="H451" s="700"/>
      <c r="I451" s="700" t="s">
        <v>2061</v>
      </c>
      <c r="J451" s="700"/>
      <c r="K451" s="700"/>
      <c r="L451" s="700"/>
      <c r="M451" s="701"/>
      <c r="N451" s="701"/>
      <c r="O451" s="701"/>
      <c r="P451" s="701"/>
      <c r="Q451" s="701"/>
      <c r="R451" s="701"/>
      <c r="S451" s="701"/>
      <c r="T451" s="701"/>
      <c r="U451" s="701"/>
      <c r="V451" s="701"/>
      <c r="W451" s="701"/>
      <c r="X451" s="701"/>
      <c r="Y451" s="701"/>
      <c r="Z451" s="701"/>
      <c r="AA451" s="701"/>
      <c r="AB451" s="701"/>
      <c r="AC451" s="701"/>
      <c r="AD451" s="701"/>
      <c r="AE451" s="701"/>
      <c r="AF451" s="701"/>
      <c r="AG451" s="701"/>
      <c r="AH451" s="701"/>
      <c r="AI451" s="701"/>
      <c r="AJ451" s="701"/>
      <c r="AK451" s="701"/>
      <c r="AL451" s="701"/>
      <c r="AM451" s="701"/>
      <c r="AN451" s="701"/>
      <c r="AO451" s="701"/>
      <c r="AP451" s="701"/>
      <c r="AQ451" s="701"/>
      <c r="AR451" s="701"/>
      <c r="AS451" s="701"/>
      <c r="AT451" s="701"/>
      <c r="AU451" s="701"/>
      <c r="AV451" s="701"/>
      <c r="AW451" s="701"/>
      <c r="AX451" s="701"/>
      <c r="AY451" s="701"/>
      <c r="AZ451" s="701"/>
      <c r="BA451" s="701"/>
      <c r="BB451" s="701"/>
      <c r="BC451" s="701"/>
    </row>
    <row r="452" spans="1:55" s="702" customFormat="1" ht="35.1" customHeight="1">
      <c r="A452" s="703">
        <v>449</v>
      </c>
      <c r="B452" s="704" t="s">
        <v>2573</v>
      </c>
      <c r="C452" s="705" t="s">
        <v>677</v>
      </c>
      <c r="D452" s="706">
        <f>D450</f>
        <v>117176</v>
      </c>
      <c r="E452" s="706">
        <f>E450</f>
        <v>117176</v>
      </c>
      <c r="F452" s="707" t="s">
        <v>2574</v>
      </c>
      <c r="G452" s="699"/>
      <c r="H452" s="700"/>
      <c r="I452" s="700" t="s">
        <v>2061</v>
      </c>
      <c r="J452" s="700"/>
      <c r="K452" s="700"/>
      <c r="L452" s="700"/>
      <c r="M452" s="701"/>
      <c r="N452" s="701"/>
      <c r="O452" s="701"/>
      <c r="P452" s="701"/>
      <c r="Q452" s="701"/>
      <c r="R452" s="701"/>
      <c r="S452" s="701"/>
      <c r="T452" s="701"/>
      <c r="U452" s="701"/>
      <c r="V452" s="701"/>
      <c r="W452" s="701"/>
      <c r="X452" s="701"/>
      <c r="Y452" s="701"/>
      <c r="Z452" s="701"/>
      <c r="AA452" s="701"/>
      <c r="AB452" s="701"/>
      <c r="AC452" s="701"/>
      <c r="AD452" s="701"/>
      <c r="AE452" s="701"/>
      <c r="AF452" s="701"/>
      <c r="AG452" s="701"/>
      <c r="AH452" s="701"/>
      <c r="AI452" s="701"/>
      <c r="AJ452" s="701"/>
      <c r="AK452" s="701"/>
      <c r="AL452" s="701"/>
      <c r="AM452" s="701"/>
      <c r="AN452" s="701"/>
      <c r="AO452" s="701"/>
      <c r="AP452" s="701"/>
      <c r="AQ452" s="701"/>
      <c r="AR452" s="701"/>
      <c r="AS452" s="701"/>
      <c r="AT452" s="701"/>
      <c r="AU452" s="701"/>
      <c r="AV452" s="701"/>
      <c r="AW452" s="701"/>
      <c r="AX452" s="701"/>
      <c r="AY452" s="701"/>
      <c r="AZ452" s="701"/>
      <c r="BA452" s="701"/>
      <c r="BB452" s="701"/>
      <c r="BC452" s="701"/>
    </row>
    <row r="453" spans="1:55" s="702" customFormat="1" ht="35.1" customHeight="1">
      <c r="A453" s="703">
        <v>450</v>
      </c>
      <c r="B453" s="704" t="s">
        <v>2575</v>
      </c>
      <c r="C453" s="705" t="s">
        <v>677</v>
      </c>
      <c r="D453" s="706">
        <v>117176</v>
      </c>
      <c r="E453" s="706">
        <v>117176</v>
      </c>
      <c r="F453" s="707" t="s">
        <v>2574</v>
      </c>
      <c r="G453" s="699"/>
      <c r="H453" s="700"/>
      <c r="I453" s="700" t="s">
        <v>2061</v>
      </c>
      <c r="J453" s="700"/>
      <c r="K453" s="700"/>
      <c r="L453" s="700"/>
      <c r="M453" s="701"/>
      <c r="N453" s="701"/>
      <c r="O453" s="701"/>
      <c r="P453" s="701"/>
      <c r="Q453" s="701"/>
      <c r="R453" s="701"/>
      <c r="S453" s="701"/>
      <c r="T453" s="701"/>
      <c r="U453" s="701"/>
      <c r="V453" s="701"/>
      <c r="W453" s="701"/>
      <c r="X453" s="701"/>
      <c r="Y453" s="701"/>
      <c r="Z453" s="701"/>
      <c r="AA453" s="701"/>
      <c r="AB453" s="701"/>
      <c r="AC453" s="701"/>
      <c r="AD453" s="701"/>
      <c r="AE453" s="701"/>
      <c r="AF453" s="701"/>
      <c r="AG453" s="701"/>
      <c r="AH453" s="701"/>
      <c r="AI453" s="701"/>
      <c r="AJ453" s="701"/>
      <c r="AK453" s="701"/>
      <c r="AL453" s="701"/>
      <c r="AM453" s="701"/>
      <c r="AN453" s="701"/>
      <c r="AO453" s="701"/>
      <c r="AP453" s="701"/>
      <c r="AQ453" s="701"/>
      <c r="AR453" s="701"/>
      <c r="AS453" s="701"/>
      <c r="AT453" s="701"/>
      <c r="AU453" s="701"/>
      <c r="AV453" s="701"/>
      <c r="AW453" s="701"/>
      <c r="AX453" s="701"/>
      <c r="AY453" s="701"/>
      <c r="AZ453" s="701"/>
      <c r="BA453" s="701"/>
      <c r="BB453" s="701"/>
      <c r="BC453" s="701"/>
    </row>
    <row r="454" spans="1:55" s="702" customFormat="1" ht="35.1" customHeight="1">
      <c r="A454" s="703">
        <v>451</v>
      </c>
      <c r="B454" s="704" t="s">
        <v>2576</v>
      </c>
      <c r="C454" s="705" t="s">
        <v>677</v>
      </c>
      <c r="D454" s="706">
        <f>D453+33000</f>
        <v>150176</v>
      </c>
      <c r="E454" s="706">
        <f>E453+33000</f>
        <v>150176</v>
      </c>
      <c r="F454" s="707" t="s">
        <v>2572</v>
      </c>
      <c r="G454" s="699"/>
      <c r="H454" s="700"/>
      <c r="I454" s="700" t="s">
        <v>2061</v>
      </c>
      <c r="J454" s="700"/>
      <c r="K454" s="700"/>
      <c r="L454" s="700"/>
      <c r="M454" s="701"/>
      <c r="N454" s="701"/>
      <c r="O454" s="701"/>
      <c r="P454" s="701"/>
      <c r="Q454" s="701"/>
      <c r="R454" s="701"/>
      <c r="S454" s="701"/>
      <c r="T454" s="701"/>
      <c r="U454" s="701"/>
      <c r="V454" s="701"/>
      <c r="W454" s="701"/>
      <c r="X454" s="701"/>
      <c r="Y454" s="701"/>
      <c r="Z454" s="701"/>
      <c r="AA454" s="701"/>
      <c r="AB454" s="701"/>
      <c r="AC454" s="701"/>
      <c r="AD454" s="701"/>
      <c r="AE454" s="701"/>
      <c r="AF454" s="701"/>
      <c r="AG454" s="701"/>
      <c r="AH454" s="701"/>
      <c r="AI454" s="701"/>
      <c r="AJ454" s="701"/>
      <c r="AK454" s="701"/>
      <c r="AL454" s="701"/>
      <c r="AM454" s="701"/>
      <c r="AN454" s="701"/>
      <c r="AO454" s="701"/>
      <c r="AP454" s="701"/>
      <c r="AQ454" s="701"/>
      <c r="AR454" s="701"/>
      <c r="AS454" s="701"/>
      <c r="AT454" s="701"/>
      <c r="AU454" s="701"/>
      <c r="AV454" s="701"/>
      <c r="AW454" s="701"/>
      <c r="AX454" s="701"/>
      <c r="AY454" s="701"/>
      <c r="AZ454" s="701"/>
      <c r="BA454" s="701"/>
      <c r="BB454" s="701"/>
      <c r="BC454" s="701"/>
    </row>
    <row r="455" spans="1:55" s="702" customFormat="1" ht="45">
      <c r="A455" s="703">
        <v>452</v>
      </c>
      <c r="B455" s="704" t="s">
        <v>2577</v>
      </c>
      <c r="C455" s="705" t="s">
        <v>677</v>
      </c>
      <c r="D455" s="706">
        <v>145000</v>
      </c>
      <c r="E455" s="706">
        <v>145000</v>
      </c>
      <c r="F455" s="707" t="s">
        <v>2228</v>
      </c>
      <c r="G455" s="699"/>
      <c r="H455" s="700"/>
      <c r="I455" s="700" t="s">
        <v>2061</v>
      </c>
      <c r="J455" s="700"/>
      <c r="K455" s="700"/>
      <c r="L455" s="700"/>
      <c r="M455" s="701"/>
      <c r="N455" s="701"/>
      <c r="O455" s="701"/>
      <c r="P455" s="701"/>
      <c r="Q455" s="701"/>
      <c r="R455" s="701"/>
      <c r="S455" s="701"/>
      <c r="T455" s="701"/>
      <c r="U455" s="701"/>
      <c r="V455" s="701"/>
      <c r="W455" s="701"/>
      <c r="X455" s="701"/>
      <c r="Y455" s="701"/>
      <c r="Z455" s="701"/>
      <c r="AA455" s="701"/>
      <c r="AB455" s="701"/>
      <c r="AC455" s="701"/>
      <c r="AD455" s="701"/>
      <c r="AE455" s="701"/>
      <c r="AF455" s="701"/>
      <c r="AG455" s="701"/>
      <c r="AH455" s="701"/>
      <c r="AI455" s="701"/>
      <c r="AJ455" s="701"/>
      <c r="AK455" s="701"/>
      <c r="AL455" s="701"/>
      <c r="AM455" s="701"/>
      <c r="AN455" s="701"/>
      <c r="AO455" s="701"/>
      <c r="AP455" s="701"/>
      <c r="AQ455" s="701"/>
      <c r="AR455" s="701"/>
      <c r="AS455" s="701"/>
      <c r="AT455" s="701"/>
      <c r="AU455" s="701"/>
      <c r="AV455" s="701"/>
      <c r="AW455" s="701"/>
      <c r="AX455" s="701"/>
      <c r="AY455" s="701"/>
      <c r="AZ455" s="701"/>
      <c r="BA455" s="701"/>
      <c r="BB455" s="701"/>
      <c r="BC455" s="701"/>
    </row>
    <row r="456" spans="1:55" s="702" customFormat="1" ht="35.1" customHeight="1">
      <c r="A456" s="703">
        <v>453</v>
      </c>
      <c r="B456" s="704" t="s">
        <v>2578</v>
      </c>
      <c r="C456" s="705" t="s">
        <v>685</v>
      </c>
      <c r="D456" s="706">
        <v>69000</v>
      </c>
      <c r="E456" s="709">
        <v>69000</v>
      </c>
      <c r="F456" s="707"/>
      <c r="G456" s="699"/>
      <c r="H456" s="700"/>
      <c r="I456" s="700"/>
      <c r="J456" s="700"/>
      <c r="K456" s="700"/>
      <c r="L456" s="700"/>
      <c r="M456" s="701"/>
      <c r="N456" s="701"/>
      <c r="O456" s="701"/>
      <c r="P456" s="701"/>
      <c r="Q456" s="701"/>
      <c r="R456" s="701"/>
      <c r="S456" s="701"/>
      <c r="T456" s="701"/>
      <c r="U456" s="701"/>
      <c r="V456" s="701"/>
      <c r="W456" s="701"/>
      <c r="X456" s="701"/>
      <c r="Y456" s="701"/>
      <c r="Z456" s="701"/>
      <c r="AA456" s="701"/>
      <c r="AB456" s="701"/>
      <c r="AC456" s="701"/>
      <c r="AD456" s="701"/>
      <c r="AE456" s="701"/>
      <c r="AF456" s="701"/>
      <c r="AG456" s="701"/>
      <c r="AH456" s="701"/>
      <c r="AI456" s="701"/>
      <c r="AJ456" s="701"/>
      <c r="AK456" s="701"/>
      <c r="AL456" s="701"/>
      <c r="AM456" s="701"/>
      <c r="AN456" s="701"/>
      <c r="AO456" s="701"/>
      <c r="AP456" s="701"/>
      <c r="AQ456" s="701"/>
      <c r="AR456" s="701"/>
      <c r="AS456" s="701"/>
      <c r="AT456" s="701"/>
      <c r="AU456" s="701"/>
      <c r="AV456" s="701"/>
      <c r="AW456" s="701"/>
      <c r="AX456" s="701"/>
      <c r="AY456" s="701"/>
      <c r="AZ456" s="701"/>
      <c r="BA456" s="701"/>
      <c r="BB456" s="701"/>
      <c r="BC456" s="701"/>
    </row>
    <row r="457" spans="1:55" s="702" customFormat="1" ht="45">
      <c r="A457" s="703">
        <v>454</v>
      </c>
      <c r="B457" s="704" t="s">
        <v>2579</v>
      </c>
      <c r="C457" s="705" t="s">
        <v>677</v>
      </c>
      <c r="D457" s="708">
        <v>180000</v>
      </c>
      <c r="E457" s="709">
        <v>200000</v>
      </c>
      <c r="F457" s="707" t="s">
        <v>2580</v>
      </c>
      <c r="G457" s="699"/>
      <c r="H457" s="700"/>
      <c r="I457" s="700" t="s">
        <v>2061</v>
      </c>
      <c r="J457" s="700"/>
      <c r="K457" s="700"/>
      <c r="L457" s="700"/>
      <c r="M457" s="701"/>
      <c r="N457" s="701"/>
      <c r="O457" s="701"/>
      <c r="P457" s="701"/>
      <c r="Q457" s="701"/>
      <c r="R457" s="701"/>
      <c r="S457" s="701"/>
      <c r="T457" s="701"/>
      <c r="U457" s="701"/>
      <c r="V457" s="701"/>
      <c r="W457" s="701"/>
      <c r="X457" s="701"/>
      <c r="Y457" s="701"/>
      <c r="Z457" s="701"/>
      <c r="AA457" s="701"/>
      <c r="AB457" s="701"/>
      <c r="AC457" s="701"/>
      <c r="AD457" s="701"/>
      <c r="AE457" s="701"/>
      <c r="AF457" s="701"/>
      <c r="AG457" s="701"/>
      <c r="AH457" s="701"/>
      <c r="AI457" s="701"/>
      <c r="AJ457" s="701"/>
      <c r="AK457" s="701"/>
      <c r="AL457" s="701"/>
      <c r="AM457" s="701"/>
      <c r="AN457" s="701"/>
      <c r="AO457" s="701"/>
      <c r="AP457" s="701"/>
      <c r="AQ457" s="701"/>
      <c r="AR457" s="701"/>
      <c r="AS457" s="701"/>
      <c r="AT457" s="701"/>
      <c r="AU457" s="701"/>
      <c r="AV457" s="701"/>
      <c r="AW457" s="701"/>
      <c r="AX457" s="701"/>
      <c r="AY457" s="701"/>
      <c r="AZ457" s="701"/>
      <c r="BA457" s="701"/>
      <c r="BB457" s="701"/>
      <c r="BC457" s="701"/>
    </row>
    <row r="458" spans="1:55" s="702" customFormat="1" ht="45">
      <c r="A458" s="703">
        <v>455</v>
      </c>
      <c r="B458" s="704" t="s">
        <v>2581</v>
      </c>
      <c r="C458" s="705" t="s">
        <v>677</v>
      </c>
      <c r="D458" s="706">
        <v>160000</v>
      </c>
      <c r="E458" s="709">
        <v>200000</v>
      </c>
      <c r="F458" s="707" t="s">
        <v>2228</v>
      </c>
      <c r="G458" s="699"/>
      <c r="H458" s="700"/>
      <c r="I458" s="700" t="s">
        <v>2061</v>
      </c>
      <c r="J458" s="700"/>
      <c r="K458" s="700"/>
      <c r="L458" s="700"/>
      <c r="M458" s="701"/>
      <c r="N458" s="701"/>
      <c r="O458" s="701"/>
      <c r="P458" s="701"/>
      <c r="Q458" s="701"/>
      <c r="R458" s="701"/>
      <c r="S458" s="701"/>
      <c r="T458" s="701"/>
      <c r="U458" s="701"/>
      <c r="V458" s="701"/>
      <c r="W458" s="701"/>
      <c r="X458" s="701"/>
      <c r="Y458" s="701"/>
      <c r="Z458" s="701"/>
      <c r="AA458" s="701"/>
      <c r="AB458" s="701"/>
      <c r="AC458" s="701"/>
      <c r="AD458" s="701"/>
      <c r="AE458" s="701"/>
      <c r="AF458" s="701"/>
      <c r="AG458" s="701"/>
      <c r="AH458" s="701"/>
      <c r="AI458" s="701"/>
      <c r="AJ458" s="701"/>
      <c r="AK458" s="701"/>
      <c r="AL458" s="701"/>
      <c r="AM458" s="701"/>
      <c r="AN458" s="701"/>
      <c r="AO458" s="701"/>
      <c r="AP458" s="701"/>
      <c r="AQ458" s="701"/>
      <c r="AR458" s="701"/>
      <c r="AS458" s="701"/>
      <c r="AT458" s="701"/>
      <c r="AU458" s="701"/>
      <c r="AV458" s="701"/>
      <c r="AW458" s="701"/>
      <c r="AX458" s="701"/>
      <c r="AY458" s="701"/>
      <c r="AZ458" s="701"/>
      <c r="BA458" s="701"/>
      <c r="BB458" s="701"/>
      <c r="BC458" s="701"/>
    </row>
    <row r="459" spans="1:55" s="702" customFormat="1" ht="35.1" customHeight="1">
      <c r="A459" s="703">
        <v>456</v>
      </c>
      <c r="B459" s="704" t="s">
        <v>2582</v>
      </c>
      <c r="C459" s="705" t="s">
        <v>2583</v>
      </c>
      <c r="D459" s="706">
        <v>7500000</v>
      </c>
      <c r="E459" s="706">
        <v>7500000</v>
      </c>
      <c r="F459" s="707" t="s">
        <v>2077</v>
      </c>
      <c r="G459" s="699"/>
      <c r="H459" s="700"/>
      <c r="I459" s="700" t="s">
        <v>2061</v>
      </c>
      <c r="J459" s="700"/>
      <c r="K459" s="700"/>
      <c r="L459" s="700"/>
      <c r="M459" s="701"/>
      <c r="N459" s="701"/>
      <c r="O459" s="701"/>
      <c r="P459" s="701"/>
      <c r="Q459" s="701"/>
      <c r="R459" s="701"/>
      <c r="S459" s="701"/>
      <c r="T459" s="701"/>
      <c r="U459" s="701"/>
      <c r="V459" s="701"/>
      <c r="W459" s="701"/>
      <c r="X459" s="701"/>
      <c r="Y459" s="701"/>
      <c r="Z459" s="701"/>
      <c r="AA459" s="701"/>
      <c r="AB459" s="701"/>
      <c r="AC459" s="701"/>
      <c r="AD459" s="701"/>
      <c r="AE459" s="701"/>
      <c r="AF459" s="701"/>
      <c r="AG459" s="701"/>
      <c r="AH459" s="701"/>
      <c r="AI459" s="701"/>
      <c r="AJ459" s="701"/>
      <c r="AK459" s="701"/>
      <c r="AL459" s="701"/>
      <c r="AM459" s="701"/>
      <c r="AN459" s="701"/>
      <c r="AO459" s="701"/>
      <c r="AP459" s="701"/>
      <c r="AQ459" s="701"/>
      <c r="AR459" s="701"/>
      <c r="AS459" s="701"/>
      <c r="AT459" s="701"/>
      <c r="AU459" s="701"/>
      <c r="AV459" s="701"/>
      <c r="AW459" s="701"/>
      <c r="AX459" s="701"/>
      <c r="AY459" s="701"/>
      <c r="AZ459" s="701"/>
      <c r="BA459" s="701"/>
      <c r="BB459" s="701"/>
      <c r="BC459" s="701"/>
    </row>
    <row r="460" spans="1:55" s="702" customFormat="1" ht="35.1" customHeight="1">
      <c r="A460" s="703">
        <v>457</v>
      </c>
      <c r="B460" s="704" t="s">
        <v>2584</v>
      </c>
      <c r="C460" s="705" t="s">
        <v>624</v>
      </c>
      <c r="D460" s="706">
        <f>ROUND(1181000/1.1,0)</f>
        <v>1073636</v>
      </c>
      <c r="E460" s="706">
        <f>ROUND(1181000/1.1,0)</f>
        <v>1073636</v>
      </c>
      <c r="F460" s="707" t="s">
        <v>2585</v>
      </c>
      <c r="G460" s="699"/>
      <c r="H460" s="700"/>
      <c r="I460" s="700"/>
      <c r="J460" s="700"/>
      <c r="K460" s="700"/>
      <c r="L460" s="700"/>
      <c r="M460" s="701"/>
      <c r="N460" s="701"/>
      <c r="O460" s="701"/>
      <c r="P460" s="701"/>
      <c r="Q460" s="701"/>
      <c r="R460" s="701"/>
      <c r="S460" s="701"/>
      <c r="T460" s="701"/>
      <c r="U460" s="701"/>
      <c r="V460" s="701"/>
      <c r="W460" s="701"/>
      <c r="X460" s="701"/>
      <c r="Y460" s="701"/>
      <c r="Z460" s="701"/>
      <c r="AA460" s="701"/>
      <c r="AB460" s="701"/>
      <c r="AC460" s="701"/>
      <c r="AD460" s="701"/>
      <c r="AE460" s="701"/>
      <c r="AF460" s="701"/>
      <c r="AG460" s="701"/>
      <c r="AH460" s="701"/>
      <c r="AI460" s="701"/>
      <c r="AJ460" s="701"/>
      <c r="AK460" s="701"/>
      <c r="AL460" s="701"/>
      <c r="AM460" s="701"/>
      <c r="AN460" s="701"/>
      <c r="AO460" s="701"/>
      <c r="AP460" s="701"/>
      <c r="AQ460" s="701"/>
      <c r="AR460" s="701"/>
      <c r="AS460" s="701"/>
      <c r="AT460" s="701"/>
      <c r="AU460" s="701"/>
      <c r="AV460" s="701"/>
      <c r="AW460" s="701"/>
      <c r="AX460" s="701"/>
      <c r="AY460" s="701"/>
      <c r="AZ460" s="701"/>
      <c r="BA460" s="701"/>
      <c r="BB460" s="701"/>
      <c r="BC460" s="701"/>
    </row>
    <row r="461" spans="1:55" s="702" customFormat="1" ht="35.1" customHeight="1">
      <c r="A461" s="703">
        <v>458</v>
      </c>
      <c r="B461" s="704" t="s">
        <v>2586</v>
      </c>
      <c r="C461" s="705" t="s">
        <v>624</v>
      </c>
      <c r="D461" s="706">
        <f>ROUND(2173000/1.1,0)</f>
        <v>1975455</v>
      </c>
      <c r="E461" s="706">
        <f>ROUND(2173000/1.1,0)</f>
        <v>1975455</v>
      </c>
      <c r="F461" s="707" t="s">
        <v>2585</v>
      </c>
      <c r="G461" s="699"/>
      <c r="H461" s="700"/>
      <c r="I461" s="700"/>
      <c r="J461" s="700"/>
      <c r="K461" s="700"/>
      <c r="L461" s="700"/>
      <c r="M461" s="701"/>
      <c r="N461" s="701"/>
      <c r="O461" s="701"/>
      <c r="P461" s="701"/>
      <c r="Q461" s="701"/>
      <c r="R461" s="701"/>
      <c r="S461" s="701"/>
      <c r="T461" s="701"/>
      <c r="U461" s="701"/>
      <c r="V461" s="701"/>
      <c r="W461" s="701"/>
      <c r="X461" s="701"/>
      <c r="Y461" s="701"/>
      <c r="Z461" s="701"/>
      <c r="AA461" s="701"/>
      <c r="AB461" s="701"/>
      <c r="AC461" s="701"/>
      <c r="AD461" s="701"/>
      <c r="AE461" s="701"/>
      <c r="AF461" s="701"/>
      <c r="AG461" s="701"/>
      <c r="AH461" s="701"/>
      <c r="AI461" s="701"/>
      <c r="AJ461" s="701"/>
      <c r="AK461" s="701"/>
      <c r="AL461" s="701"/>
      <c r="AM461" s="701"/>
      <c r="AN461" s="701"/>
      <c r="AO461" s="701"/>
      <c r="AP461" s="701"/>
      <c r="AQ461" s="701"/>
      <c r="AR461" s="701"/>
      <c r="AS461" s="701"/>
      <c r="AT461" s="701"/>
      <c r="AU461" s="701"/>
      <c r="AV461" s="701"/>
      <c r="AW461" s="701"/>
      <c r="AX461" s="701"/>
      <c r="AY461" s="701"/>
      <c r="AZ461" s="701"/>
      <c r="BA461" s="701"/>
      <c r="BB461" s="701"/>
      <c r="BC461" s="701"/>
    </row>
    <row r="462" spans="1:55" s="702" customFormat="1" ht="35.1" customHeight="1">
      <c r="A462" s="703">
        <v>459</v>
      </c>
      <c r="B462" s="704" t="s">
        <v>2587</v>
      </c>
      <c r="C462" s="705" t="s">
        <v>624</v>
      </c>
      <c r="D462" s="706">
        <v>3150000</v>
      </c>
      <c r="E462" s="709">
        <f>3830000/1.1</f>
        <v>3481818.1818181816</v>
      </c>
      <c r="F462" s="707" t="s">
        <v>2588</v>
      </c>
      <c r="G462" s="699"/>
      <c r="H462" s="700"/>
      <c r="I462" s="700"/>
      <c r="J462" s="700"/>
      <c r="K462" s="700"/>
      <c r="L462" s="700"/>
      <c r="M462" s="701"/>
      <c r="N462" s="701"/>
      <c r="O462" s="701"/>
      <c r="P462" s="701"/>
      <c r="Q462" s="701"/>
      <c r="R462" s="701"/>
      <c r="S462" s="701"/>
      <c r="T462" s="701"/>
      <c r="U462" s="701"/>
      <c r="V462" s="701"/>
      <c r="W462" s="701"/>
      <c r="X462" s="701"/>
      <c r="Y462" s="701"/>
      <c r="Z462" s="701"/>
      <c r="AA462" s="701"/>
      <c r="AB462" s="701"/>
      <c r="AC462" s="701"/>
      <c r="AD462" s="701"/>
      <c r="AE462" s="701"/>
      <c r="AF462" s="701"/>
      <c r="AG462" s="701"/>
      <c r="AH462" s="701"/>
      <c r="AI462" s="701"/>
      <c r="AJ462" s="701"/>
      <c r="AK462" s="701"/>
      <c r="AL462" s="701"/>
      <c r="AM462" s="701"/>
      <c r="AN462" s="701"/>
      <c r="AO462" s="701"/>
      <c r="AP462" s="701"/>
      <c r="AQ462" s="701"/>
      <c r="AR462" s="701"/>
      <c r="AS462" s="701"/>
      <c r="AT462" s="701"/>
      <c r="AU462" s="701"/>
      <c r="AV462" s="701"/>
      <c r="AW462" s="701"/>
      <c r="AX462" s="701"/>
      <c r="AY462" s="701"/>
      <c r="AZ462" s="701"/>
      <c r="BA462" s="701"/>
      <c r="BB462" s="701"/>
      <c r="BC462" s="701"/>
    </row>
    <row r="463" spans="1:55" s="702" customFormat="1" ht="35.1" customHeight="1">
      <c r="A463" s="703">
        <v>460</v>
      </c>
      <c r="B463" s="704" t="s">
        <v>2589</v>
      </c>
      <c r="C463" s="705" t="s">
        <v>624</v>
      </c>
      <c r="D463" s="706">
        <v>5650000</v>
      </c>
      <c r="E463" s="709">
        <f>7162000/1.1</f>
        <v>6510909.0909090908</v>
      </c>
      <c r="F463" s="707"/>
      <c r="G463" s="699"/>
      <c r="H463" s="700"/>
      <c r="I463" s="700"/>
      <c r="J463" s="700"/>
      <c r="K463" s="700"/>
      <c r="L463" s="700"/>
      <c r="M463" s="701"/>
      <c r="N463" s="701"/>
      <c r="O463" s="701"/>
      <c r="P463" s="701"/>
      <c r="Q463" s="701"/>
      <c r="R463" s="701"/>
      <c r="S463" s="701"/>
      <c r="T463" s="701"/>
      <c r="U463" s="701"/>
      <c r="V463" s="701"/>
      <c r="W463" s="701"/>
      <c r="X463" s="701"/>
      <c r="Y463" s="701"/>
      <c r="Z463" s="701"/>
      <c r="AA463" s="701"/>
      <c r="AB463" s="701"/>
      <c r="AC463" s="701"/>
      <c r="AD463" s="701"/>
      <c r="AE463" s="701"/>
      <c r="AF463" s="701"/>
      <c r="AG463" s="701"/>
      <c r="AH463" s="701"/>
      <c r="AI463" s="701"/>
      <c r="AJ463" s="701"/>
      <c r="AK463" s="701"/>
      <c r="AL463" s="701"/>
      <c r="AM463" s="701"/>
      <c r="AN463" s="701"/>
      <c r="AO463" s="701"/>
      <c r="AP463" s="701"/>
      <c r="AQ463" s="701"/>
      <c r="AR463" s="701"/>
      <c r="AS463" s="701"/>
      <c r="AT463" s="701"/>
      <c r="AU463" s="701"/>
      <c r="AV463" s="701"/>
      <c r="AW463" s="701"/>
      <c r="AX463" s="701"/>
      <c r="AY463" s="701"/>
      <c r="AZ463" s="701"/>
      <c r="BA463" s="701"/>
      <c r="BB463" s="701"/>
      <c r="BC463" s="701"/>
    </row>
    <row r="464" spans="1:55" s="702" customFormat="1" ht="35.1" customHeight="1">
      <c r="A464" s="703">
        <v>461</v>
      </c>
      <c r="B464" s="704" t="s">
        <v>2590</v>
      </c>
      <c r="C464" s="705" t="s">
        <v>624</v>
      </c>
      <c r="D464" s="706">
        <v>270000</v>
      </c>
      <c r="E464" s="709">
        <f>ROUND(330000/1.1,0)</f>
        <v>300000</v>
      </c>
      <c r="F464" s="707" t="s">
        <v>2246</v>
      </c>
      <c r="G464" s="699"/>
      <c r="H464" s="700"/>
      <c r="I464" s="700"/>
      <c r="J464" s="700"/>
      <c r="K464" s="700"/>
      <c r="L464" s="700"/>
      <c r="M464" s="701"/>
      <c r="N464" s="701"/>
      <c r="O464" s="701"/>
      <c r="P464" s="701"/>
      <c r="Q464" s="701"/>
      <c r="R464" s="701"/>
      <c r="S464" s="701"/>
      <c r="T464" s="701"/>
      <c r="U464" s="701"/>
      <c r="V464" s="701"/>
      <c r="W464" s="701"/>
      <c r="X464" s="701"/>
      <c r="Y464" s="701"/>
      <c r="Z464" s="701"/>
      <c r="AA464" s="701"/>
      <c r="AB464" s="701"/>
      <c r="AC464" s="701"/>
      <c r="AD464" s="701"/>
      <c r="AE464" s="701"/>
      <c r="AF464" s="701"/>
      <c r="AG464" s="701"/>
      <c r="AH464" s="701"/>
      <c r="AI464" s="701"/>
      <c r="AJ464" s="701"/>
      <c r="AK464" s="701"/>
      <c r="AL464" s="701"/>
      <c r="AM464" s="701"/>
      <c r="AN464" s="701"/>
      <c r="AO464" s="701"/>
      <c r="AP464" s="701"/>
      <c r="AQ464" s="701"/>
      <c r="AR464" s="701"/>
      <c r="AS464" s="701"/>
      <c r="AT464" s="701"/>
      <c r="AU464" s="701"/>
      <c r="AV464" s="701"/>
      <c r="AW464" s="701"/>
      <c r="AX464" s="701"/>
      <c r="AY464" s="701"/>
      <c r="AZ464" s="701"/>
      <c r="BA464" s="701"/>
      <c r="BB464" s="701"/>
      <c r="BC464" s="701"/>
    </row>
    <row r="465" spans="1:55" s="702" customFormat="1" ht="35.1" customHeight="1">
      <c r="A465" s="703">
        <v>462</v>
      </c>
      <c r="B465" s="704" t="s">
        <v>2591</v>
      </c>
      <c r="C465" s="705" t="s">
        <v>624</v>
      </c>
      <c r="D465" s="706">
        <f>ROUND(313000/1.1,0)</f>
        <v>284545</v>
      </c>
      <c r="E465" s="709">
        <f>ROUND(330000/1.1,0)</f>
        <v>300000</v>
      </c>
      <c r="F465" s="707" t="s">
        <v>2246</v>
      </c>
      <c r="G465" s="699"/>
      <c r="H465" s="700"/>
      <c r="I465" s="700"/>
      <c r="J465" s="700"/>
      <c r="K465" s="700"/>
      <c r="L465" s="700"/>
      <c r="M465" s="701"/>
      <c r="N465" s="701"/>
      <c r="O465" s="701"/>
      <c r="P465" s="701"/>
      <c r="Q465" s="701"/>
      <c r="R465" s="701"/>
      <c r="S465" s="701"/>
      <c r="T465" s="701"/>
      <c r="U465" s="701"/>
      <c r="V465" s="701"/>
      <c r="W465" s="701"/>
      <c r="X465" s="701"/>
      <c r="Y465" s="701"/>
      <c r="Z465" s="701"/>
      <c r="AA465" s="701"/>
      <c r="AB465" s="701"/>
      <c r="AC465" s="701"/>
      <c r="AD465" s="701"/>
      <c r="AE465" s="701"/>
      <c r="AF465" s="701"/>
      <c r="AG465" s="701"/>
      <c r="AH465" s="701"/>
      <c r="AI465" s="701"/>
      <c r="AJ465" s="701"/>
      <c r="AK465" s="701"/>
      <c r="AL465" s="701"/>
      <c r="AM465" s="701"/>
      <c r="AN465" s="701"/>
      <c r="AO465" s="701"/>
      <c r="AP465" s="701"/>
      <c r="AQ465" s="701"/>
      <c r="AR465" s="701"/>
      <c r="AS465" s="701"/>
      <c r="AT465" s="701"/>
      <c r="AU465" s="701"/>
      <c r="AV465" s="701"/>
      <c r="AW465" s="701"/>
      <c r="AX465" s="701"/>
      <c r="AY465" s="701"/>
      <c r="AZ465" s="701"/>
      <c r="BA465" s="701"/>
      <c r="BB465" s="701"/>
      <c r="BC465" s="701"/>
    </row>
    <row r="466" spans="1:55" s="702" customFormat="1" ht="35.1" customHeight="1">
      <c r="A466" s="703">
        <v>463</v>
      </c>
      <c r="B466" s="704" t="s">
        <v>2592</v>
      </c>
      <c r="C466" s="705" t="s">
        <v>624</v>
      </c>
      <c r="D466" s="706">
        <f>ROUND(343000/1.1,0)</f>
        <v>311818</v>
      </c>
      <c r="E466" s="709">
        <f>ROUND(330000/1.1,0)</f>
        <v>300000</v>
      </c>
      <c r="F466" s="707" t="s">
        <v>2246</v>
      </c>
      <c r="G466" s="699"/>
      <c r="H466" s="700"/>
      <c r="I466" s="700"/>
      <c r="J466" s="700"/>
      <c r="K466" s="700"/>
      <c r="L466" s="700"/>
      <c r="M466" s="701"/>
      <c r="N466" s="701"/>
      <c r="O466" s="701"/>
      <c r="P466" s="701"/>
      <c r="Q466" s="701"/>
      <c r="R466" s="701"/>
      <c r="S466" s="701"/>
      <c r="T466" s="701"/>
      <c r="U466" s="701"/>
      <c r="V466" s="701"/>
      <c r="W466" s="701"/>
      <c r="X466" s="701"/>
      <c r="Y466" s="701"/>
      <c r="Z466" s="701"/>
      <c r="AA466" s="701"/>
      <c r="AB466" s="701"/>
      <c r="AC466" s="701"/>
      <c r="AD466" s="701"/>
      <c r="AE466" s="701"/>
      <c r="AF466" s="701"/>
      <c r="AG466" s="701"/>
      <c r="AH466" s="701"/>
      <c r="AI466" s="701"/>
      <c r="AJ466" s="701"/>
      <c r="AK466" s="701"/>
      <c r="AL466" s="701"/>
      <c r="AM466" s="701"/>
      <c r="AN466" s="701"/>
      <c r="AO466" s="701"/>
      <c r="AP466" s="701"/>
      <c r="AQ466" s="701"/>
      <c r="AR466" s="701"/>
      <c r="AS466" s="701"/>
      <c r="AT466" s="701"/>
      <c r="AU466" s="701"/>
      <c r="AV466" s="701"/>
      <c r="AW466" s="701"/>
      <c r="AX466" s="701"/>
      <c r="AY466" s="701"/>
      <c r="AZ466" s="701"/>
      <c r="BA466" s="701"/>
      <c r="BB466" s="701"/>
      <c r="BC466" s="701"/>
    </row>
    <row r="467" spans="1:55" s="702" customFormat="1" ht="35.1" customHeight="1">
      <c r="A467" s="703">
        <v>464</v>
      </c>
      <c r="B467" s="704" t="s">
        <v>2593</v>
      </c>
      <c r="C467" s="705" t="s">
        <v>624</v>
      </c>
      <c r="D467" s="706">
        <f>ROUND(101000/1.1,0)</f>
        <v>91818</v>
      </c>
      <c r="E467" s="709">
        <f>ROUND(115000/1.1,0)</f>
        <v>104545</v>
      </c>
      <c r="F467" s="707" t="s">
        <v>2246</v>
      </c>
      <c r="G467" s="699"/>
      <c r="H467" s="700"/>
      <c r="I467" s="700"/>
      <c r="J467" s="700"/>
      <c r="K467" s="700"/>
      <c r="L467" s="700"/>
      <c r="M467" s="701"/>
      <c r="N467" s="701"/>
      <c r="O467" s="701"/>
      <c r="P467" s="701"/>
      <c r="Q467" s="701"/>
      <c r="R467" s="701"/>
      <c r="S467" s="701"/>
      <c r="T467" s="701"/>
      <c r="U467" s="701"/>
      <c r="V467" s="701"/>
      <c r="W467" s="701"/>
      <c r="X467" s="701"/>
      <c r="Y467" s="701"/>
      <c r="Z467" s="701"/>
      <c r="AA467" s="701"/>
      <c r="AB467" s="701"/>
      <c r="AC467" s="701"/>
      <c r="AD467" s="701"/>
      <c r="AE467" s="701"/>
      <c r="AF467" s="701"/>
      <c r="AG467" s="701"/>
      <c r="AH467" s="701"/>
      <c r="AI467" s="701"/>
      <c r="AJ467" s="701"/>
      <c r="AK467" s="701"/>
      <c r="AL467" s="701"/>
      <c r="AM467" s="701"/>
      <c r="AN467" s="701"/>
      <c r="AO467" s="701"/>
      <c r="AP467" s="701"/>
      <c r="AQ467" s="701"/>
      <c r="AR467" s="701"/>
      <c r="AS467" s="701"/>
      <c r="AT467" s="701"/>
      <c r="AU467" s="701"/>
      <c r="AV467" s="701"/>
      <c r="AW467" s="701"/>
      <c r="AX467" s="701"/>
      <c r="AY467" s="701"/>
      <c r="AZ467" s="701"/>
      <c r="BA467" s="701"/>
      <c r="BB467" s="701"/>
      <c r="BC467" s="701"/>
    </row>
    <row r="468" spans="1:55" s="702" customFormat="1" ht="35.1" customHeight="1">
      <c r="A468" s="703">
        <v>465</v>
      </c>
      <c r="B468" s="704" t="s">
        <v>2594</v>
      </c>
      <c r="C468" s="705" t="s">
        <v>624</v>
      </c>
      <c r="D468" s="706">
        <f>ROUND(101000/1.1,0)</f>
        <v>91818</v>
      </c>
      <c r="E468" s="709">
        <f>ROUND(115000/1.1,0)</f>
        <v>104545</v>
      </c>
      <c r="F468" s="707" t="s">
        <v>2246</v>
      </c>
      <c r="G468" s="699"/>
      <c r="H468" s="700"/>
      <c r="I468" s="700"/>
      <c r="J468" s="700"/>
      <c r="K468" s="700"/>
      <c r="L468" s="700"/>
      <c r="M468" s="701"/>
      <c r="N468" s="701"/>
      <c r="O468" s="701"/>
      <c r="P468" s="701"/>
      <c r="Q468" s="701"/>
      <c r="R468" s="701"/>
      <c r="S468" s="701"/>
      <c r="T468" s="701"/>
      <c r="U468" s="701"/>
      <c r="V468" s="701"/>
      <c r="W468" s="701"/>
      <c r="X468" s="701"/>
      <c r="Y468" s="701"/>
      <c r="Z468" s="701"/>
      <c r="AA468" s="701"/>
      <c r="AB468" s="701"/>
      <c r="AC468" s="701"/>
      <c r="AD468" s="701"/>
      <c r="AE468" s="701"/>
      <c r="AF468" s="701"/>
      <c r="AG468" s="701"/>
      <c r="AH468" s="701"/>
      <c r="AI468" s="701"/>
      <c r="AJ468" s="701"/>
      <c r="AK468" s="701"/>
      <c r="AL468" s="701"/>
      <c r="AM468" s="701"/>
      <c r="AN468" s="701"/>
      <c r="AO468" s="701"/>
      <c r="AP468" s="701"/>
      <c r="AQ468" s="701"/>
      <c r="AR468" s="701"/>
      <c r="AS468" s="701"/>
      <c r="AT468" s="701"/>
      <c r="AU468" s="701"/>
      <c r="AV468" s="701"/>
      <c r="AW468" s="701"/>
      <c r="AX468" s="701"/>
      <c r="AY468" s="701"/>
      <c r="AZ468" s="701"/>
      <c r="BA468" s="701"/>
      <c r="BB468" s="701"/>
      <c r="BC468" s="701"/>
    </row>
    <row r="469" spans="1:55" s="702" customFormat="1" ht="35.1" customHeight="1">
      <c r="A469" s="703">
        <v>466</v>
      </c>
      <c r="B469" s="704" t="s">
        <v>2595</v>
      </c>
      <c r="C469" s="705" t="s">
        <v>624</v>
      </c>
      <c r="D469" s="706">
        <f>ROUND(159000/1.1,0)</f>
        <v>144545</v>
      </c>
      <c r="E469" s="709">
        <f>ROUND(176000/1.1,0)</f>
        <v>160000</v>
      </c>
      <c r="F469" s="707" t="s">
        <v>2246</v>
      </c>
      <c r="G469" s="699"/>
      <c r="H469" s="700"/>
      <c r="I469" s="700"/>
      <c r="J469" s="700"/>
      <c r="K469" s="700"/>
      <c r="L469" s="700"/>
      <c r="M469" s="701"/>
      <c r="N469" s="701"/>
      <c r="O469" s="701"/>
      <c r="P469" s="701"/>
      <c r="Q469" s="701"/>
      <c r="R469" s="701"/>
      <c r="S469" s="701"/>
      <c r="T469" s="701"/>
      <c r="U469" s="701"/>
      <c r="V469" s="701"/>
      <c r="W469" s="701"/>
      <c r="X469" s="701"/>
      <c r="Y469" s="701"/>
      <c r="Z469" s="701"/>
      <c r="AA469" s="701"/>
      <c r="AB469" s="701"/>
      <c r="AC469" s="701"/>
      <c r="AD469" s="701"/>
      <c r="AE469" s="701"/>
      <c r="AF469" s="701"/>
      <c r="AG469" s="701"/>
      <c r="AH469" s="701"/>
      <c r="AI469" s="701"/>
      <c r="AJ469" s="701"/>
      <c r="AK469" s="701"/>
      <c r="AL469" s="701"/>
      <c r="AM469" s="701"/>
      <c r="AN469" s="701"/>
      <c r="AO469" s="701"/>
      <c r="AP469" s="701"/>
      <c r="AQ469" s="701"/>
      <c r="AR469" s="701"/>
      <c r="AS469" s="701"/>
      <c r="AT469" s="701"/>
      <c r="AU469" s="701"/>
      <c r="AV469" s="701"/>
      <c r="AW469" s="701"/>
      <c r="AX469" s="701"/>
      <c r="AY469" s="701"/>
      <c r="AZ469" s="701"/>
      <c r="BA469" s="701"/>
      <c r="BB469" s="701"/>
      <c r="BC469" s="701"/>
    </row>
    <row r="470" spans="1:55" s="702" customFormat="1" ht="35.1" customHeight="1">
      <c r="A470" s="703">
        <v>467</v>
      </c>
      <c r="B470" s="704" t="s">
        <v>2596</v>
      </c>
      <c r="C470" s="705" t="s">
        <v>624</v>
      </c>
      <c r="D470" s="706">
        <f>ROUND(250000/1.1,0)</f>
        <v>227273</v>
      </c>
      <c r="E470" s="709">
        <f>ROUND(270000/1.1,0)</f>
        <v>245455</v>
      </c>
      <c r="F470" s="707" t="s">
        <v>2246</v>
      </c>
      <c r="G470" s="699"/>
      <c r="H470" s="700"/>
      <c r="I470" s="700"/>
      <c r="J470" s="700"/>
      <c r="K470" s="700"/>
      <c r="L470" s="700"/>
      <c r="M470" s="701"/>
      <c r="N470" s="701"/>
      <c r="O470" s="701"/>
      <c r="P470" s="701"/>
      <c r="Q470" s="701"/>
      <c r="R470" s="701"/>
      <c r="S470" s="701"/>
      <c r="T470" s="701"/>
      <c r="U470" s="701"/>
      <c r="V470" s="701"/>
      <c r="W470" s="701"/>
      <c r="X470" s="701"/>
      <c r="Y470" s="701"/>
      <c r="Z470" s="701"/>
      <c r="AA470" s="701"/>
      <c r="AB470" s="701"/>
      <c r="AC470" s="701"/>
      <c r="AD470" s="701"/>
      <c r="AE470" s="701"/>
      <c r="AF470" s="701"/>
      <c r="AG470" s="701"/>
      <c r="AH470" s="701"/>
      <c r="AI470" s="701"/>
      <c r="AJ470" s="701"/>
      <c r="AK470" s="701"/>
      <c r="AL470" s="701"/>
      <c r="AM470" s="701"/>
      <c r="AN470" s="701"/>
      <c r="AO470" s="701"/>
      <c r="AP470" s="701"/>
      <c r="AQ470" s="701"/>
      <c r="AR470" s="701"/>
      <c r="AS470" s="701"/>
      <c r="AT470" s="701"/>
      <c r="AU470" s="701"/>
      <c r="AV470" s="701"/>
      <c r="AW470" s="701"/>
      <c r="AX470" s="701"/>
      <c r="AY470" s="701"/>
      <c r="AZ470" s="701"/>
      <c r="BA470" s="701"/>
      <c r="BB470" s="701"/>
      <c r="BC470" s="701"/>
    </row>
    <row r="471" spans="1:55" s="702" customFormat="1" ht="35.1" customHeight="1">
      <c r="A471" s="703">
        <v>468</v>
      </c>
      <c r="B471" s="704" t="s">
        <v>2597</v>
      </c>
      <c r="C471" s="705" t="s">
        <v>624</v>
      </c>
      <c r="D471" s="706">
        <f>ROUND(250000/1.1,0)</f>
        <v>227273</v>
      </c>
      <c r="E471" s="709">
        <f>ROUND(270000/1.1,0)</f>
        <v>245455</v>
      </c>
      <c r="F471" s="707" t="s">
        <v>2246</v>
      </c>
      <c r="G471" s="699"/>
      <c r="H471" s="700"/>
      <c r="I471" s="700"/>
      <c r="J471" s="700"/>
      <c r="K471" s="700"/>
      <c r="L471" s="700"/>
      <c r="M471" s="701"/>
      <c r="N471" s="701"/>
      <c r="O471" s="701"/>
      <c r="P471" s="701"/>
      <c r="Q471" s="701"/>
      <c r="R471" s="701"/>
      <c r="S471" s="701"/>
      <c r="T471" s="701"/>
      <c r="U471" s="701"/>
      <c r="V471" s="701"/>
      <c r="W471" s="701"/>
      <c r="X471" s="701"/>
      <c r="Y471" s="701"/>
      <c r="Z471" s="701"/>
      <c r="AA471" s="701"/>
      <c r="AB471" s="701"/>
      <c r="AC471" s="701"/>
      <c r="AD471" s="701"/>
      <c r="AE471" s="701"/>
      <c r="AF471" s="701"/>
      <c r="AG471" s="701"/>
      <c r="AH471" s="701"/>
      <c r="AI471" s="701"/>
      <c r="AJ471" s="701"/>
      <c r="AK471" s="701"/>
      <c r="AL471" s="701"/>
      <c r="AM471" s="701"/>
      <c r="AN471" s="701"/>
      <c r="AO471" s="701"/>
      <c r="AP471" s="701"/>
      <c r="AQ471" s="701"/>
      <c r="AR471" s="701"/>
      <c r="AS471" s="701"/>
      <c r="AT471" s="701"/>
      <c r="AU471" s="701"/>
      <c r="AV471" s="701"/>
      <c r="AW471" s="701"/>
      <c r="AX471" s="701"/>
      <c r="AY471" s="701"/>
      <c r="AZ471" s="701"/>
      <c r="BA471" s="701"/>
      <c r="BB471" s="701"/>
      <c r="BC471" s="701"/>
    </row>
    <row r="472" spans="1:55" s="702" customFormat="1" ht="35.1" customHeight="1">
      <c r="A472" s="703">
        <v>469</v>
      </c>
      <c r="B472" s="704" t="s">
        <v>2598</v>
      </c>
      <c r="C472" s="705" t="s">
        <v>624</v>
      </c>
      <c r="D472" s="706">
        <f>ROUND(975000/1.1,0)</f>
        <v>886364</v>
      </c>
      <c r="E472" s="706">
        <f>ROUND(975000/1.1,0)</f>
        <v>886364</v>
      </c>
      <c r="F472" s="707" t="s">
        <v>2599</v>
      </c>
      <c r="G472" s="699"/>
      <c r="H472" s="700"/>
      <c r="I472" s="700" t="s">
        <v>2061</v>
      </c>
      <c r="J472" s="700"/>
      <c r="K472" s="700"/>
      <c r="L472" s="700"/>
      <c r="M472" s="701"/>
      <c r="N472" s="701"/>
      <c r="O472" s="701"/>
      <c r="P472" s="701"/>
      <c r="Q472" s="701"/>
      <c r="R472" s="701"/>
      <c r="S472" s="701"/>
      <c r="T472" s="701"/>
      <c r="U472" s="701"/>
      <c r="V472" s="701"/>
      <c r="W472" s="701"/>
      <c r="X472" s="701"/>
      <c r="Y472" s="701"/>
      <c r="Z472" s="701"/>
      <c r="AA472" s="701"/>
      <c r="AB472" s="701"/>
      <c r="AC472" s="701"/>
      <c r="AD472" s="701"/>
      <c r="AE472" s="701"/>
      <c r="AF472" s="701"/>
      <c r="AG472" s="701"/>
      <c r="AH472" s="701"/>
      <c r="AI472" s="701"/>
      <c r="AJ472" s="701"/>
      <c r="AK472" s="701"/>
      <c r="AL472" s="701"/>
      <c r="AM472" s="701"/>
      <c r="AN472" s="701"/>
      <c r="AO472" s="701"/>
      <c r="AP472" s="701"/>
      <c r="AQ472" s="701"/>
      <c r="AR472" s="701"/>
      <c r="AS472" s="701"/>
      <c r="AT472" s="701"/>
      <c r="AU472" s="701"/>
      <c r="AV472" s="701"/>
      <c r="AW472" s="701"/>
      <c r="AX472" s="701"/>
      <c r="AY472" s="701"/>
      <c r="AZ472" s="701"/>
      <c r="BA472" s="701"/>
      <c r="BB472" s="701"/>
      <c r="BC472" s="701"/>
    </row>
    <row r="473" spans="1:55" s="702" customFormat="1" ht="45">
      <c r="A473" s="703">
        <v>470</v>
      </c>
      <c r="B473" s="704" t="s">
        <v>2600</v>
      </c>
      <c r="C473" s="705" t="s">
        <v>627</v>
      </c>
      <c r="D473" s="706">
        <v>5000000</v>
      </c>
      <c r="E473" s="706">
        <v>5000000</v>
      </c>
      <c r="F473" s="707" t="s">
        <v>2068</v>
      </c>
      <c r="G473" s="699"/>
      <c r="H473" s="700"/>
      <c r="I473" s="700" t="s">
        <v>2061</v>
      </c>
      <c r="J473" s="700"/>
      <c r="K473" s="700"/>
      <c r="L473" s="700"/>
      <c r="M473" s="701"/>
      <c r="N473" s="701"/>
      <c r="O473" s="701"/>
      <c r="P473" s="701"/>
      <c r="Q473" s="701"/>
      <c r="R473" s="701"/>
      <c r="S473" s="701"/>
      <c r="T473" s="701"/>
      <c r="U473" s="701"/>
      <c r="V473" s="701"/>
      <c r="W473" s="701"/>
      <c r="X473" s="701"/>
      <c r="Y473" s="701"/>
      <c r="Z473" s="701"/>
      <c r="AA473" s="701"/>
      <c r="AB473" s="701"/>
      <c r="AC473" s="701"/>
      <c r="AD473" s="701"/>
      <c r="AE473" s="701"/>
      <c r="AF473" s="701"/>
      <c r="AG473" s="701"/>
      <c r="AH473" s="701"/>
      <c r="AI473" s="701"/>
      <c r="AJ473" s="701"/>
      <c r="AK473" s="701"/>
      <c r="AL473" s="701"/>
      <c r="AM473" s="701"/>
      <c r="AN473" s="701"/>
      <c r="AO473" s="701"/>
      <c r="AP473" s="701"/>
      <c r="AQ473" s="701"/>
      <c r="AR473" s="701"/>
      <c r="AS473" s="701"/>
      <c r="AT473" s="701"/>
      <c r="AU473" s="701"/>
      <c r="AV473" s="701"/>
      <c r="AW473" s="701"/>
      <c r="AX473" s="701"/>
      <c r="AY473" s="701"/>
      <c r="AZ473" s="701"/>
      <c r="BA473" s="701"/>
      <c r="BB473" s="701"/>
      <c r="BC473" s="701"/>
    </row>
    <row r="474" spans="1:55" s="702" customFormat="1" ht="35.1" customHeight="1">
      <c r="A474" s="703">
        <v>471</v>
      </c>
      <c r="B474" s="704" t="s">
        <v>2601</v>
      </c>
      <c r="C474" s="705" t="s">
        <v>624</v>
      </c>
      <c r="D474" s="706">
        <v>25000</v>
      </c>
      <c r="E474" s="706">
        <v>25000</v>
      </c>
      <c r="F474" s="707" t="s">
        <v>2094</v>
      </c>
      <c r="G474" s="699"/>
      <c r="H474" s="700"/>
      <c r="I474" s="700" t="s">
        <v>2061</v>
      </c>
      <c r="J474" s="700"/>
      <c r="K474" s="700"/>
      <c r="L474" s="700"/>
      <c r="M474" s="701"/>
      <c r="N474" s="701"/>
      <c r="O474" s="701"/>
      <c r="P474" s="701"/>
      <c r="Q474" s="701"/>
      <c r="R474" s="701"/>
      <c r="S474" s="701"/>
      <c r="T474" s="701"/>
      <c r="U474" s="701"/>
      <c r="V474" s="701"/>
      <c r="W474" s="701"/>
      <c r="X474" s="701"/>
      <c r="Y474" s="701"/>
      <c r="Z474" s="701"/>
      <c r="AA474" s="701"/>
      <c r="AB474" s="701"/>
      <c r="AC474" s="701"/>
      <c r="AD474" s="701"/>
      <c r="AE474" s="701"/>
      <c r="AF474" s="701"/>
      <c r="AG474" s="701"/>
      <c r="AH474" s="701"/>
      <c r="AI474" s="701"/>
      <c r="AJ474" s="701"/>
      <c r="AK474" s="701"/>
      <c r="AL474" s="701"/>
      <c r="AM474" s="701"/>
      <c r="AN474" s="701"/>
      <c r="AO474" s="701"/>
      <c r="AP474" s="701"/>
      <c r="AQ474" s="701"/>
      <c r="AR474" s="701"/>
      <c r="AS474" s="701"/>
      <c r="AT474" s="701"/>
      <c r="AU474" s="701"/>
      <c r="AV474" s="701"/>
      <c r="AW474" s="701"/>
      <c r="AX474" s="701"/>
      <c r="AY474" s="701"/>
      <c r="AZ474" s="701"/>
      <c r="BA474" s="701"/>
      <c r="BB474" s="701"/>
      <c r="BC474" s="701"/>
    </row>
    <row r="475" spans="1:55" s="702" customFormat="1" ht="35.1" customHeight="1">
      <c r="A475" s="703">
        <v>472</v>
      </c>
      <c r="B475" s="704" t="s">
        <v>2602</v>
      </c>
      <c r="C475" s="705" t="s">
        <v>655</v>
      </c>
      <c r="D475" s="706">
        <v>25000</v>
      </c>
      <c r="E475" s="706">
        <v>25000</v>
      </c>
      <c r="F475" s="707" t="s">
        <v>2201</v>
      </c>
      <c r="G475" s="699"/>
      <c r="H475" s="700"/>
      <c r="I475" s="700" t="s">
        <v>2061</v>
      </c>
      <c r="J475" s="700"/>
      <c r="K475" s="700"/>
      <c r="L475" s="700"/>
      <c r="M475" s="701"/>
      <c r="N475" s="701"/>
      <c r="O475" s="701"/>
      <c r="P475" s="701"/>
      <c r="Q475" s="701"/>
      <c r="R475" s="701"/>
      <c r="S475" s="701"/>
      <c r="T475" s="701"/>
      <c r="U475" s="701"/>
      <c r="V475" s="701"/>
      <c r="W475" s="701"/>
      <c r="X475" s="701"/>
      <c r="Y475" s="701"/>
      <c r="Z475" s="701"/>
      <c r="AA475" s="701"/>
      <c r="AB475" s="701"/>
      <c r="AC475" s="701"/>
      <c r="AD475" s="701"/>
      <c r="AE475" s="701"/>
      <c r="AF475" s="701"/>
      <c r="AG475" s="701"/>
      <c r="AH475" s="701"/>
      <c r="AI475" s="701"/>
      <c r="AJ475" s="701"/>
      <c r="AK475" s="701"/>
      <c r="AL475" s="701"/>
      <c r="AM475" s="701"/>
      <c r="AN475" s="701"/>
      <c r="AO475" s="701"/>
      <c r="AP475" s="701"/>
      <c r="AQ475" s="701"/>
      <c r="AR475" s="701"/>
      <c r="AS475" s="701"/>
      <c r="AT475" s="701"/>
      <c r="AU475" s="701"/>
      <c r="AV475" s="701"/>
      <c r="AW475" s="701"/>
      <c r="AX475" s="701"/>
      <c r="AY475" s="701"/>
      <c r="AZ475" s="701"/>
      <c r="BA475" s="701"/>
      <c r="BB475" s="701"/>
      <c r="BC475" s="701"/>
    </row>
    <row r="476" spans="1:55" s="702" customFormat="1" ht="35.1" customHeight="1">
      <c r="A476" s="703">
        <v>473</v>
      </c>
      <c r="B476" s="704" t="s">
        <v>2603</v>
      </c>
      <c r="C476" s="705" t="s">
        <v>624</v>
      </c>
      <c r="D476" s="706">
        <v>9000</v>
      </c>
      <c r="E476" s="706">
        <v>9000</v>
      </c>
      <c r="F476" s="707" t="s">
        <v>2094</v>
      </c>
      <c r="G476" s="699"/>
      <c r="H476" s="700"/>
      <c r="I476" s="700" t="s">
        <v>2061</v>
      </c>
      <c r="J476" s="700" t="s">
        <v>624</v>
      </c>
      <c r="K476" s="700"/>
      <c r="L476" s="700"/>
      <c r="M476" s="701"/>
      <c r="N476" s="701"/>
      <c r="O476" s="701"/>
      <c r="P476" s="701"/>
      <c r="Q476" s="701"/>
      <c r="R476" s="701"/>
      <c r="S476" s="701"/>
      <c r="T476" s="701"/>
      <c r="U476" s="701"/>
      <c r="V476" s="701"/>
      <c r="W476" s="701"/>
      <c r="X476" s="701"/>
      <c r="Y476" s="701"/>
      <c r="Z476" s="701"/>
      <c r="AA476" s="701"/>
      <c r="AB476" s="701"/>
      <c r="AC476" s="701"/>
      <c r="AD476" s="701"/>
      <c r="AE476" s="701"/>
      <c r="AF476" s="701"/>
      <c r="AG476" s="701"/>
      <c r="AH476" s="701"/>
      <c r="AI476" s="701"/>
      <c r="AJ476" s="701"/>
      <c r="AK476" s="701"/>
      <c r="AL476" s="701"/>
      <c r="AM476" s="701"/>
      <c r="AN476" s="701"/>
      <c r="AO476" s="701"/>
      <c r="AP476" s="701"/>
      <c r="AQ476" s="701"/>
      <c r="AR476" s="701"/>
      <c r="AS476" s="701"/>
      <c r="AT476" s="701"/>
      <c r="AU476" s="701"/>
      <c r="AV476" s="701"/>
      <c r="AW476" s="701"/>
      <c r="AX476" s="701"/>
      <c r="AY476" s="701"/>
      <c r="AZ476" s="701"/>
      <c r="BA476" s="701"/>
      <c r="BB476" s="701"/>
      <c r="BC476" s="701"/>
    </row>
    <row r="477" spans="1:55" s="702" customFormat="1" ht="35.1" customHeight="1">
      <c r="A477" s="703">
        <v>474</v>
      </c>
      <c r="B477" s="704" t="s">
        <v>2604</v>
      </c>
      <c r="C477" s="705" t="s">
        <v>624</v>
      </c>
      <c r="D477" s="706">
        <v>8000</v>
      </c>
      <c r="E477" s="706">
        <v>8000</v>
      </c>
      <c r="F477" s="707" t="s">
        <v>2094</v>
      </c>
      <c r="G477" s="699"/>
      <c r="H477" s="700"/>
      <c r="I477" s="700" t="s">
        <v>2061</v>
      </c>
      <c r="J477" s="700" t="s">
        <v>624</v>
      </c>
      <c r="K477" s="700"/>
      <c r="L477" s="700"/>
      <c r="M477" s="701"/>
      <c r="N477" s="701"/>
      <c r="O477" s="701"/>
      <c r="P477" s="701"/>
      <c r="Q477" s="701"/>
      <c r="R477" s="701"/>
      <c r="S477" s="701"/>
      <c r="T477" s="701"/>
      <c r="U477" s="701"/>
      <c r="V477" s="701"/>
      <c r="W477" s="701"/>
      <c r="X477" s="701"/>
      <c r="Y477" s="701"/>
      <c r="Z477" s="701"/>
      <c r="AA477" s="701"/>
      <c r="AB477" s="701"/>
      <c r="AC477" s="701"/>
      <c r="AD477" s="701"/>
      <c r="AE477" s="701"/>
      <c r="AF477" s="701"/>
      <c r="AG477" s="701"/>
      <c r="AH477" s="701"/>
      <c r="AI477" s="701"/>
      <c r="AJ477" s="701"/>
      <c r="AK477" s="701"/>
      <c r="AL477" s="701"/>
      <c r="AM477" s="701"/>
      <c r="AN477" s="701"/>
      <c r="AO477" s="701"/>
      <c r="AP477" s="701"/>
      <c r="AQ477" s="701"/>
      <c r="AR477" s="701"/>
      <c r="AS477" s="701"/>
      <c r="AT477" s="701"/>
      <c r="AU477" s="701"/>
      <c r="AV477" s="701"/>
      <c r="AW477" s="701"/>
      <c r="AX477" s="701"/>
      <c r="AY477" s="701"/>
      <c r="AZ477" s="701"/>
      <c r="BA477" s="701"/>
      <c r="BB477" s="701"/>
      <c r="BC477" s="701"/>
    </row>
    <row r="478" spans="1:55" s="702" customFormat="1" ht="35.1" customHeight="1">
      <c r="A478" s="703">
        <v>475</v>
      </c>
      <c r="B478" s="704" t="s">
        <v>2605</v>
      </c>
      <c r="C478" s="705" t="s">
        <v>624</v>
      </c>
      <c r="D478" s="706">
        <v>7000</v>
      </c>
      <c r="E478" s="706">
        <v>7000</v>
      </c>
      <c r="F478" s="707" t="s">
        <v>2094</v>
      </c>
      <c r="G478" s="699"/>
      <c r="H478" s="700"/>
      <c r="I478" s="700" t="s">
        <v>2061</v>
      </c>
      <c r="J478" s="700" t="s">
        <v>624</v>
      </c>
      <c r="K478" s="700"/>
      <c r="L478" s="700"/>
      <c r="M478" s="701"/>
      <c r="N478" s="701"/>
      <c r="O478" s="701"/>
      <c r="P478" s="701"/>
      <c r="Q478" s="701"/>
      <c r="R478" s="701"/>
      <c r="S478" s="701"/>
      <c r="T478" s="701"/>
      <c r="U478" s="701"/>
      <c r="V478" s="701"/>
      <c r="W478" s="701"/>
      <c r="X478" s="701"/>
      <c r="Y478" s="701"/>
      <c r="Z478" s="701"/>
      <c r="AA478" s="701"/>
      <c r="AB478" s="701"/>
      <c r="AC478" s="701"/>
      <c r="AD478" s="701"/>
      <c r="AE478" s="701"/>
      <c r="AF478" s="701"/>
      <c r="AG478" s="701"/>
      <c r="AH478" s="701"/>
      <c r="AI478" s="701"/>
      <c r="AJ478" s="701"/>
      <c r="AK478" s="701"/>
      <c r="AL478" s="701"/>
      <c r="AM478" s="701"/>
      <c r="AN478" s="701"/>
      <c r="AO478" s="701"/>
      <c r="AP478" s="701"/>
      <c r="AQ478" s="701"/>
      <c r="AR478" s="701"/>
      <c r="AS478" s="701"/>
      <c r="AT478" s="701"/>
      <c r="AU478" s="701"/>
      <c r="AV478" s="701"/>
      <c r="AW478" s="701"/>
      <c r="AX478" s="701"/>
      <c r="AY478" s="701"/>
      <c r="AZ478" s="701"/>
      <c r="BA478" s="701"/>
      <c r="BB478" s="701"/>
      <c r="BC478" s="701"/>
    </row>
    <row r="479" spans="1:55" s="702" customFormat="1" ht="35.1" customHeight="1">
      <c r="A479" s="703">
        <v>476</v>
      </c>
      <c r="B479" s="704" t="s">
        <v>2606</v>
      </c>
      <c r="C479" s="705" t="s">
        <v>624</v>
      </c>
      <c r="D479" s="706">
        <v>15000</v>
      </c>
      <c r="E479" s="706">
        <v>15000</v>
      </c>
      <c r="F479" s="707"/>
      <c r="G479" s="699"/>
      <c r="H479" s="700"/>
      <c r="I479" s="700" t="s">
        <v>2499</v>
      </c>
      <c r="J479" s="700"/>
      <c r="K479" s="700"/>
      <c r="L479" s="700"/>
      <c r="M479" s="701"/>
      <c r="N479" s="701"/>
      <c r="O479" s="701"/>
      <c r="P479" s="701"/>
      <c r="Q479" s="701"/>
      <c r="R479" s="701"/>
      <c r="S479" s="701"/>
      <c r="T479" s="701"/>
      <c r="U479" s="701"/>
      <c r="V479" s="701"/>
      <c r="W479" s="701"/>
      <c r="X479" s="701"/>
      <c r="Y479" s="701"/>
      <c r="Z479" s="701"/>
      <c r="AA479" s="701"/>
      <c r="AB479" s="701"/>
      <c r="AC479" s="701"/>
      <c r="AD479" s="701"/>
      <c r="AE479" s="701"/>
      <c r="AF479" s="701"/>
      <c r="AG479" s="701"/>
      <c r="AH479" s="701"/>
      <c r="AI479" s="701"/>
      <c r="AJ479" s="701"/>
      <c r="AK479" s="701"/>
      <c r="AL479" s="701"/>
      <c r="AM479" s="701"/>
      <c r="AN479" s="701"/>
      <c r="AO479" s="701"/>
      <c r="AP479" s="701"/>
      <c r="AQ479" s="701"/>
      <c r="AR479" s="701"/>
      <c r="AS479" s="701"/>
      <c r="AT479" s="701"/>
      <c r="AU479" s="701"/>
      <c r="AV479" s="701"/>
      <c r="AW479" s="701"/>
      <c r="AX479" s="701"/>
      <c r="AY479" s="701"/>
      <c r="AZ479" s="701"/>
      <c r="BA479" s="701"/>
      <c r="BB479" s="701"/>
      <c r="BC479" s="701"/>
    </row>
    <row r="480" spans="1:55" s="702" customFormat="1" ht="35.1" customHeight="1">
      <c r="A480" s="703">
        <v>477</v>
      </c>
      <c r="B480" s="704" t="s">
        <v>2607</v>
      </c>
      <c r="C480" s="705" t="s">
        <v>624</v>
      </c>
      <c r="D480" s="706">
        <v>25000</v>
      </c>
      <c r="E480" s="706">
        <v>25000</v>
      </c>
      <c r="F480" s="707"/>
      <c r="G480" s="699"/>
      <c r="H480" s="700"/>
      <c r="I480" s="700" t="s">
        <v>2499</v>
      </c>
      <c r="J480" s="700"/>
      <c r="K480" s="700"/>
      <c r="L480" s="700"/>
      <c r="M480" s="701"/>
      <c r="N480" s="701"/>
      <c r="O480" s="701"/>
      <c r="P480" s="701"/>
      <c r="Q480" s="701"/>
      <c r="R480" s="701"/>
      <c r="S480" s="701"/>
      <c r="T480" s="701"/>
      <c r="U480" s="701"/>
      <c r="V480" s="701"/>
      <c r="W480" s="701"/>
      <c r="X480" s="701"/>
      <c r="Y480" s="701"/>
      <c r="Z480" s="701"/>
      <c r="AA480" s="701"/>
      <c r="AB480" s="701"/>
      <c r="AC480" s="701"/>
      <c r="AD480" s="701"/>
      <c r="AE480" s="701"/>
      <c r="AF480" s="701"/>
      <c r="AG480" s="701"/>
      <c r="AH480" s="701"/>
      <c r="AI480" s="701"/>
      <c r="AJ480" s="701"/>
      <c r="AK480" s="701"/>
      <c r="AL480" s="701"/>
      <c r="AM480" s="701"/>
      <c r="AN480" s="701"/>
      <c r="AO480" s="701"/>
      <c r="AP480" s="701"/>
      <c r="AQ480" s="701"/>
      <c r="AR480" s="701"/>
      <c r="AS480" s="701"/>
      <c r="AT480" s="701"/>
      <c r="AU480" s="701"/>
      <c r="AV480" s="701"/>
      <c r="AW480" s="701"/>
      <c r="AX480" s="701"/>
      <c r="AY480" s="701"/>
      <c r="AZ480" s="701"/>
      <c r="BA480" s="701"/>
      <c r="BB480" s="701"/>
      <c r="BC480" s="701"/>
    </row>
    <row r="481" spans="1:55" s="702" customFormat="1" ht="45">
      <c r="A481" s="703">
        <v>478</v>
      </c>
      <c r="B481" s="704" t="s">
        <v>2608</v>
      </c>
      <c r="C481" s="705" t="s">
        <v>677</v>
      </c>
      <c r="D481" s="706">
        <v>115000</v>
      </c>
      <c r="E481" s="706">
        <v>115000</v>
      </c>
      <c r="F481" s="707" t="s">
        <v>2609</v>
      </c>
      <c r="G481" s="699"/>
      <c r="H481" s="700"/>
      <c r="I481" s="700" t="s">
        <v>2061</v>
      </c>
      <c r="J481" s="700"/>
      <c r="K481" s="700"/>
      <c r="L481" s="700"/>
      <c r="M481" s="701"/>
      <c r="N481" s="701"/>
      <c r="O481" s="701"/>
      <c r="P481" s="701"/>
      <c r="Q481" s="701"/>
      <c r="R481" s="701"/>
      <c r="S481" s="701"/>
      <c r="T481" s="701"/>
      <c r="U481" s="701"/>
      <c r="V481" s="701"/>
      <c r="W481" s="701"/>
      <c r="X481" s="701"/>
      <c r="Y481" s="701"/>
      <c r="Z481" s="701"/>
      <c r="AA481" s="701"/>
      <c r="AB481" s="701"/>
      <c r="AC481" s="701"/>
      <c r="AD481" s="701"/>
      <c r="AE481" s="701"/>
      <c r="AF481" s="701"/>
      <c r="AG481" s="701"/>
      <c r="AH481" s="701"/>
      <c r="AI481" s="701"/>
      <c r="AJ481" s="701"/>
      <c r="AK481" s="701"/>
      <c r="AL481" s="701"/>
      <c r="AM481" s="701"/>
      <c r="AN481" s="701"/>
      <c r="AO481" s="701"/>
      <c r="AP481" s="701"/>
      <c r="AQ481" s="701"/>
      <c r="AR481" s="701"/>
      <c r="AS481" s="701"/>
      <c r="AT481" s="701"/>
      <c r="AU481" s="701"/>
      <c r="AV481" s="701"/>
      <c r="AW481" s="701"/>
      <c r="AX481" s="701"/>
      <c r="AY481" s="701"/>
      <c r="AZ481" s="701"/>
      <c r="BA481" s="701"/>
      <c r="BB481" s="701"/>
      <c r="BC481" s="701"/>
    </row>
    <row r="482" spans="1:55" s="702" customFormat="1" ht="45">
      <c r="A482" s="703">
        <v>479</v>
      </c>
      <c r="B482" s="704" t="s">
        <v>1754</v>
      </c>
      <c r="C482" s="705" t="s">
        <v>677</v>
      </c>
      <c r="D482" s="706">
        <v>165000</v>
      </c>
      <c r="E482" s="706">
        <v>165000</v>
      </c>
      <c r="F482" s="707" t="s">
        <v>2284</v>
      </c>
      <c r="G482" s="699"/>
      <c r="H482" s="700"/>
      <c r="I482" s="700" t="s">
        <v>2061</v>
      </c>
      <c r="J482" s="700"/>
      <c r="K482" s="700"/>
      <c r="L482" s="700"/>
      <c r="M482" s="701"/>
      <c r="N482" s="701"/>
      <c r="O482" s="701"/>
      <c r="P482" s="701"/>
      <c r="Q482" s="701"/>
      <c r="R482" s="701"/>
      <c r="S482" s="701"/>
      <c r="T482" s="701"/>
      <c r="U482" s="701"/>
      <c r="V482" s="701"/>
      <c r="W482" s="701"/>
      <c r="X482" s="701"/>
      <c r="Y482" s="701"/>
      <c r="Z482" s="701"/>
      <c r="AA482" s="701"/>
      <c r="AB482" s="701"/>
      <c r="AC482" s="701"/>
      <c r="AD482" s="701"/>
      <c r="AE482" s="701"/>
      <c r="AF482" s="701"/>
      <c r="AG482" s="701"/>
      <c r="AH482" s="701"/>
      <c r="AI482" s="701"/>
      <c r="AJ482" s="701"/>
      <c r="AK482" s="701"/>
      <c r="AL482" s="701"/>
      <c r="AM482" s="701"/>
      <c r="AN482" s="701"/>
      <c r="AO482" s="701"/>
      <c r="AP482" s="701"/>
      <c r="AQ482" s="701"/>
      <c r="AR482" s="701"/>
      <c r="AS482" s="701"/>
      <c r="AT482" s="701"/>
      <c r="AU482" s="701"/>
      <c r="AV482" s="701"/>
      <c r="AW482" s="701"/>
      <c r="AX482" s="701"/>
      <c r="AY482" s="701"/>
      <c r="AZ482" s="701"/>
      <c r="BA482" s="701"/>
      <c r="BB482" s="701"/>
      <c r="BC482" s="701"/>
    </row>
    <row r="483" spans="1:55" s="702" customFormat="1" ht="35.1" customHeight="1">
      <c r="A483" s="703">
        <v>480</v>
      </c>
      <c r="B483" s="704" t="s">
        <v>2610</v>
      </c>
      <c r="C483" s="705" t="s">
        <v>655</v>
      </c>
      <c r="D483" s="706">
        <v>5064900</v>
      </c>
      <c r="E483" s="706">
        <v>5064900</v>
      </c>
      <c r="F483" s="707" t="s">
        <v>2201</v>
      </c>
      <c r="G483" s="699"/>
      <c r="H483" s="700"/>
      <c r="I483" s="700"/>
      <c r="J483" s="700"/>
      <c r="K483" s="700"/>
      <c r="L483" s="700"/>
      <c r="M483" s="701"/>
      <c r="N483" s="701"/>
      <c r="O483" s="701"/>
      <c r="P483" s="701"/>
      <c r="Q483" s="701"/>
      <c r="R483" s="701"/>
      <c r="S483" s="701"/>
      <c r="T483" s="701"/>
      <c r="U483" s="701"/>
      <c r="V483" s="701"/>
      <c r="W483" s="701"/>
      <c r="X483" s="701"/>
      <c r="Y483" s="701"/>
      <c r="Z483" s="701"/>
      <c r="AA483" s="701"/>
      <c r="AB483" s="701"/>
      <c r="AC483" s="701"/>
      <c r="AD483" s="701"/>
      <c r="AE483" s="701"/>
      <c r="AF483" s="701"/>
      <c r="AG483" s="701"/>
      <c r="AH483" s="701"/>
      <c r="AI483" s="701"/>
      <c r="AJ483" s="701"/>
      <c r="AK483" s="701"/>
      <c r="AL483" s="701"/>
      <c r="AM483" s="701"/>
      <c r="AN483" s="701"/>
      <c r="AO483" s="701"/>
      <c r="AP483" s="701"/>
      <c r="AQ483" s="701"/>
      <c r="AR483" s="701"/>
      <c r="AS483" s="701"/>
      <c r="AT483" s="701"/>
      <c r="AU483" s="701"/>
      <c r="AV483" s="701"/>
      <c r="AW483" s="701"/>
      <c r="AX483" s="701"/>
      <c r="AY483" s="701"/>
      <c r="AZ483" s="701"/>
      <c r="BA483" s="701"/>
      <c r="BB483" s="701"/>
      <c r="BC483" s="701"/>
    </row>
    <row r="484" spans="1:55" s="702" customFormat="1" ht="35.1" customHeight="1">
      <c r="A484" s="703">
        <v>481</v>
      </c>
      <c r="B484" s="704" t="s">
        <v>2611</v>
      </c>
      <c r="C484" s="705" t="s">
        <v>655</v>
      </c>
      <c r="D484" s="706">
        <v>215800</v>
      </c>
      <c r="E484" s="706">
        <v>215800</v>
      </c>
      <c r="F484" s="707" t="s">
        <v>2612</v>
      </c>
      <c r="G484" s="699"/>
      <c r="H484" s="700"/>
      <c r="I484" s="700"/>
      <c r="J484" s="700"/>
      <c r="K484" s="700"/>
      <c r="L484" s="700"/>
      <c r="M484" s="701"/>
      <c r="N484" s="701"/>
      <c r="O484" s="701"/>
      <c r="P484" s="701"/>
      <c r="Q484" s="701"/>
      <c r="R484" s="701"/>
      <c r="S484" s="701"/>
      <c r="T484" s="701"/>
      <c r="U484" s="701"/>
      <c r="V484" s="701"/>
      <c r="W484" s="701"/>
      <c r="X484" s="701"/>
      <c r="Y484" s="701"/>
      <c r="Z484" s="701"/>
      <c r="AA484" s="701"/>
      <c r="AB484" s="701"/>
      <c r="AC484" s="701"/>
      <c r="AD484" s="701"/>
      <c r="AE484" s="701"/>
      <c r="AF484" s="701"/>
      <c r="AG484" s="701"/>
      <c r="AH484" s="701"/>
      <c r="AI484" s="701"/>
      <c r="AJ484" s="701"/>
      <c r="AK484" s="701"/>
      <c r="AL484" s="701"/>
      <c r="AM484" s="701"/>
      <c r="AN484" s="701"/>
      <c r="AO484" s="701"/>
      <c r="AP484" s="701"/>
      <c r="AQ484" s="701"/>
      <c r="AR484" s="701"/>
      <c r="AS484" s="701"/>
      <c r="AT484" s="701"/>
      <c r="AU484" s="701"/>
      <c r="AV484" s="701"/>
      <c r="AW484" s="701"/>
      <c r="AX484" s="701"/>
      <c r="AY484" s="701"/>
      <c r="AZ484" s="701"/>
      <c r="BA484" s="701"/>
      <c r="BB484" s="701"/>
      <c r="BC484" s="701"/>
    </row>
    <row r="485" spans="1:55" s="702" customFormat="1" ht="35.1" customHeight="1">
      <c r="A485" s="703">
        <v>482</v>
      </c>
      <c r="B485" s="704" t="s">
        <v>2613</v>
      </c>
      <c r="C485" s="705" t="s">
        <v>655</v>
      </c>
      <c r="D485" s="706">
        <v>22700</v>
      </c>
      <c r="E485" s="706">
        <v>22700</v>
      </c>
      <c r="F485" s="707" t="s">
        <v>2614</v>
      </c>
      <c r="G485" s="699"/>
      <c r="H485" s="700"/>
      <c r="I485" s="700"/>
      <c r="J485" s="700"/>
      <c r="K485" s="700"/>
      <c r="L485" s="700"/>
      <c r="M485" s="701"/>
      <c r="N485" s="701"/>
      <c r="O485" s="701"/>
      <c r="P485" s="701"/>
      <c r="Q485" s="701"/>
      <c r="R485" s="701"/>
      <c r="S485" s="701"/>
      <c r="T485" s="701"/>
      <c r="U485" s="701"/>
      <c r="V485" s="701"/>
      <c r="W485" s="701"/>
      <c r="X485" s="701"/>
      <c r="Y485" s="701"/>
      <c r="Z485" s="701"/>
      <c r="AA485" s="701"/>
      <c r="AB485" s="701"/>
      <c r="AC485" s="701"/>
      <c r="AD485" s="701"/>
      <c r="AE485" s="701"/>
      <c r="AF485" s="701"/>
      <c r="AG485" s="701"/>
      <c r="AH485" s="701"/>
      <c r="AI485" s="701"/>
      <c r="AJ485" s="701"/>
      <c r="AK485" s="701"/>
      <c r="AL485" s="701"/>
      <c r="AM485" s="701"/>
      <c r="AN485" s="701"/>
      <c r="AO485" s="701"/>
      <c r="AP485" s="701"/>
      <c r="AQ485" s="701"/>
      <c r="AR485" s="701"/>
      <c r="AS485" s="701"/>
      <c r="AT485" s="701"/>
      <c r="AU485" s="701"/>
      <c r="AV485" s="701"/>
      <c r="AW485" s="701"/>
      <c r="AX485" s="701"/>
      <c r="AY485" s="701"/>
      <c r="AZ485" s="701"/>
      <c r="BA485" s="701"/>
      <c r="BB485" s="701"/>
      <c r="BC485" s="701"/>
    </row>
    <row r="486" spans="1:55" s="702" customFormat="1" ht="35.1" customHeight="1">
      <c r="A486" s="703">
        <v>483</v>
      </c>
      <c r="B486" s="704" t="s">
        <v>2615</v>
      </c>
      <c r="C486" s="705" t="s">
        <v>624</v>
      </c>
      <c r="D486" s="706">
        <f>ROUND(1190000/1.1,0)</f>
        <v>1081818</v>
      </c>
      <c r="E486" s="709">
        <f>ROUND(1400000/1.1,0)</f>
        <v>1272727</v>
      </c>
      <c r="F486" s="707" t="s">
        <v>2616</v>
      </c>
      <c r="G486" s="699"/>
      <c r="H486" s="700"/>
      <c r="I486" s="700"/>
      <c r="J486" s="700"/>
      <c r="K486" s="700"/>
      <c r="L486" s="700"/>
      <c r="M486" s="701"/>
      <c r="N486" s="701"/>
      <c r="O486" s="701"/>
      <c r="P486" s="701"/>
      <c r="Q486" s="701"/>
      <c r="R486" s="701"/>
      <c r="S486" s="701"/>
      <c r="T486" s="701"/>
      <c r="U486" s="701"/>
      <c r="V486" s="701"/>
      <c r="W486" s="701"/>
      <c r="X486" s="701"/>
      <c r="Y486" s="701"/>
      <c r="Z486" s="701"/>
      <c r="AA486" s="701"/>
      <c r="AB486" s="701"/>
      <c r="AC486" s="701"/>
      <c r="AD486" s="701"/>
      <c r="AE486" s="701"/>
      <c r="AF486" s="701"/>
      <c r="AG486" s="701"/>
      <c r="AH486" s="701"/>
      <c r="AI486" s="701"/>
      <c r="AJ486" s="701"/>
      <c r="AK486" s="701"/>
      <c r="AL486" s="701"/>
      <c r="AM486" s="701"/>
      <c r="AN486" s="701"/>
      <c r="AO486" s="701"/>
      <c r="AP486" s="701"/>
      <c r="AQ486" s="701"/>
      <c r="AR486" s="701"/>
      <c r="AS486" s="701"/>
      <c r="AT486" s="701"/>
      <c r="AU486" s="701"/>
      <c r="AV486" s="701"/>
      <c r="AW486" s="701"/>
      <c r="AX486" s="701"/>
      <c r="AY486" s="701"/>
      <c r="AZ486" s="701"/>
      <c r="BA486" s="701"/>
      <c r="BB486" s="701"/>
      <c r="BC486" s="701"/>
    </row>
    <row r="487" spans="1:55" s="702" customFormat="1" ht="35.1" customHeight="1">
      <c r="A487" s="703">
        <v>484</v>
      </c>
      <c r="B487" s="704" t="s">
        <v>2617</v>
      </c>
      <c r="C487" s="705" t="s">
        <v>655</v>
      </c>
      <c r="D487" s="706">
        <v>175000</v>
      </c>
      <c r="E487" s="706">
        <v>175000</v>
      </c>
      <c r="F487" s="707" t="s">
        <v>2618</v>
      </c>
      <c r="G487" s="699"/>
      <c r="H487" s="700"/>
      <c r="I487" s="700"/>
      <c r="J487" s="700"/>
      <c r="K487" s="700"/>
      <c r="L487" s="700"/>
      <c r="M487" s="701"/>
      <c r="N487" s="701"/>
      <c r="O487" s="701"/>
      <c r="P487" s="701"/>
      <c r="Q487" s="701"/>
      <c r="R487" s="701"/>
      <c r="S487" s="701"/>
      <c r="T487" s="701"/>
      <c r="U487" s="701"/>
      <c r="V487" s="701"/>
      <c r="W487" s="701"/>
      <c r="X487" s="701"/>
      <c r="Y487" s="701"/>
      <c r="Z487" s="701"/>
      <c r="AA487" s="701"/>
      <c r="AB487" s="701"/>
      <c r="AC487" s="701"/>
      <c r="AD487" s="701"/>
      <c r="AE487" s="701"/>
      <c r="AF487" s="701"/>
      <c r="AG487" s="701"/>
      <c r="AH487" s="701"/>
      <c r="AI487" s="701"/>
      <c r="AJ487" s="701"/>
      <c r="AK487" s="701"/>
      <c r="AL487" s="701"/>
      <c r="AM487" s="701"/>
      <c r="AN487" s="701"/>
      <c r="AO487" s="701"/>
      <c r="AP487" s="701"/>
      <c r="AQ487" s="701"/>
      <c r="AR487" s="701"/>
      <c r="AS487" s="701"/>
      <c r="AT487" s="701"/>
      <c r="AU487" s="701"/>
      <c r="AV487" s="701"/>
      <c r="AW487" s="701"/>
      <c r="AX487" s="701"/>
      <c r="AY487" s="701"/>
      <c r="AZ487" s="701"/>
      <c r="BA487" s="701"/>
      <c r="BB487" s="701"/>
      <c r="BC487" s="701"/>
    </row>
    <row r="488" spans="1:55" s="702" customFormat="1" ht="35.1" customHeight="1">
      <c r="A488" s="703">
        <v>485</v>
      </c>
      <c r="B488" s="704" t="s">
        <v>2619</v>
      </c>
      <c r="C488" s="705" t="s">
        <v>1900</v>
      </c>
      <c r="D488" s="706">
        <v>500000</v>
      </c>
      <c r="E488" s="706">
        <v>500000</v>
      </c>
      <c r="F488" s="707"/>
      <c r="G488" s="699"/>
      <c r="H488" s="700"/>
      <c r="I488" s="700"/>
      <c r="J488" s="700"/>
      <c r="K488" s="700"/>
      <c r="L488" s="700"/>
      <c r="M488" s="701"/>
      <c r="N488" s="701"/>
      <c r="O488" s="701"/>
      <c r="P488" s="701"/>
      <c r="Q488" s="701"/>
      <c r="R488" s="701"/>
      <c r="S488" s="701"/>
      <c r="T488" s="701"/>
      <c r="U488" s="701"/>
      <c r="V488" s="701"/>
      <c r="W488" s="701"/>
      <c r="X488" s="701"/>
      <c r="Y488" s="701"/>
      <c r="Z488" s="701"/>
      <c r="AA488" s="701"/>
      <c r="AB488" s="701"/>
      <c r="AC488" s="701"/>
      <c r="AD488" s="701"/>
      <c r="AE488" s="701"/>
      <c r="AF488" s="701"/>
      <c r="AG488" s="701"/>
      <c r="AH488" s="701"/>
      <c r="AI488" s="701"/>
      <c r="AJ488" s="701"/>
      <c r="AK488" s="701"/>
      <c r="AL488" s="701"/>
      <c r="AM488" s="701"/>
      <c r="AN488" s="701"/>
      <c r="AO488" s="701"/>
      <c r="AP488" s="701"/>
      <c r="AQ488" s="701"/>
      <c r="AR488" s="701"/>
      <c r="AS488" s="701"/>
      <c r="AT488" s="701"/>
      <c r="AU488" s="701"/>
      <c r="AV488" s="701"/>
      <c r="AW488" s="701"/>
      <c r="AX488" s="701"/>
      <c r="AY488" s="701"/>
      <c r="AZ488" s="701"/>
      <c r="BA488" s="701"/>
      <c r="BB488" s="701"/>
      <c r="BC488" s="701"/>
    </row>
    <row r="489" spans="1:55" s="702" customFormat="1" ht="35.1" customHeight="1">
      <c r="A489" s="703">
        <v>486</v>
      </c>
      <c r="B489" s="704" t="s">
        <v>2620</v>
      </c>
      <c r="C489" s="705" t="s">
        <v>1900</v>
      </c>
      <c r="D489" s="706">
        <v>500000</v>
      </c>
      <c r="E489" s="706">
        <v>500000</v>
      </c>
      <c r="F489" s="707"/>
      <c r="G489" s="699"/>
      <c r="H489" s="700"/>
      <c r="I489" s="700"/>
      <c r="J489" s="700"/>
      <c r="K489" s="700"/>
      <c r="L489" s="700"/>
      <c r="M489" s="701"/>
      <c r="N489" s="701"/>
      <c r="O489" s="701"/>
      <c r="P489" s="701"/>
      <c r="Q489" s="701"/>
      <c r="R489" s="701"/>
      <c r="S489" s="701"/>
      <c r="T489" s="701"/>
      <c r="U489" s="701"/>
      <c r="V489" s="701"/>
      <c r="W489" s="701"/>
      <c r="X489" s="701"/>
      <c r="Y489" s="701"/>
      <c r="Z489" s="701"/>
      <c r="AA489" s="701"/>
      <c r="AB489" s="701"/>
      <c r="AC489" s="701"/>
      <c r="AD489" s="701"/>
      <c r="AE489" s="701"/>
      <c r="AF489" s="701"/>
      <c r="AG489" s="701"/>
      <c r="AH489" s="701"/>
      <c r="AI489" s="701"/>
      <c r="AJ489" s="701"/>
      <c r="AK489" s="701"/>
      <c r="AL489" s="701"/>
      <c r="AM489" s="701"/>
      <c r="AN489" s="701"/>
      <c r="AO489" s="701"/>
      <c r="AP489" s="701"/>
      <c r="AQ489" s="701"/>
      <c r="AR489" s="701"/>
      <c r="AS489" s="701"/>
      <c r="AT489" s="701"/>
      <c r="AU489" s="701"/>
      <c r="AV489" s="701"/>
      <c r="AW489" s="701"/>
      <c r="AX489" s="701"/>
      <c r="AY489" s="701"/>
      <c r="AZ489" s="701"/>
      <c r="BA489" s="701"/>
      <c r="BB489" s="701"/>
      <c r="BC489" s="701"/>
    </row>
    <row r="490" spans="1:55" s="702" customFormat="1" ht="35.1" customHeight="1">
      <c r="A490" s="703">
        <v>487</v>
      </c>
      <c r="B490" s="704" t="s">
        <v>2621</v>
      </c>
      <c r="C490" s="705" t="s">
        <v>1900</v>
      </c>
      <c r="D490" s="706">
        <v>500000</v>
      </c>
      <c r="E490" s="706">
        <v>500000</v>
      </c>
      <c r="F490" s="707"/>
      <c r="G490" s="699"/>
      <c r="H490" s="700"/>
      <c r="I490" s="700"/>
      <c r="J490" s="700"/>
      <c r="K490" s="700"/>
      <c r="L490" s="700"/>
      <c r="M490" s="701"/>
      <c r="N490" s="701"/>
      <c r="O490" s="701"/>
      <c r="P490" s="701"/>
      <c r="Q490" s="701"/>
      <c r="R490" s="701"/>
      <c r="S490" s="701"/>
      <c r="T490" s="701"/>
      <c r="U490" s="701"/>
      <c r="V490" s="701"/>
      <c r="W490" s="701"/>
      <c r="X490" s="701"/>
      <c r="Y490" s="701"/>
      <c r="Z490" s="701"/>
      <c r="AA490" s="701"/>
      <c r="AB490" s="701"/>
      <c r="AC490" s="701"/>
      <c r="AD490" s="701"/>
      <c r="AE490" s="701"/>
      <c r="AF490" s="701"/>
      <c r="AG490" s="701"/>
      <c r="AH490" s="701"/>
      <c r="AI490" s="701"/>
      <c r="AJ490" s="701"/>
      <c r="AK490" s="701"/>
      <c r="AL490" s="701"/>
      <c r="AM490" s="701"/>
      <c r="AN490" s="701"/>
      <c r="AO490" s="701"/>
      <c r="AP490" s="701"/>
      <c r="AQ490" s="701"/>
      <c r="AR490" s="701"/>
      <c r="AS490" s="701"/>
      <c r="AT490" s="701"/>
      <c r="AU490" s="701"/>
      <c r="AV490" s="701"/>
      <c r="AW490" s="701"/>
      <c r="AX490" s="701"/>
      <c r="AY490" s="701"/>
      <c r="AZ490" s="701"/>
      <c r="BA490" s="701"/>
      <c r="BB490" s="701"/>
      <c r="BC490" s="701"/>
    </row>
    <row r="491" spans="1:55" s="702" customFormat="1" ht="35.1" customHeight="1">
      <c r="A491" s="703">
        <v>488</v>
      </c>
      <c r="B491" s="704" t="s">
        <v>2622</v>
      </c>
      <c r="C491" s="705" t="s">
        <v>1900</v>
      </c>
      <c r="D491" s="706">
        <v>300000</v>
      </c>
      <c r="E491" s="709">
        <v>400000</v>
      </c>
      <c r="F491" s="707"/>
      <c r="G491" s="699"/>
      <c r="H491" s="700"/>
      <c r="I491" s="700"/>
      <c r="J491" s="700"/>
      <c r="K491" s="700"/>
      <c r="L491" s="700"/>
      <c r="M491" s="701"/>
      <c r="N491" s="701"/>
      <c r="O491" s="701"/>
      <c r="P491" s="701"/>
      <c r="Q491" s="701"/>
      <c r="R491" s="701"/>
      <c r="S491" s="701"/>
      <c r="T491" s="701"/>
      <c r="U491" s="701"/>
      <c r="V491" s="701"/>
      <c r="W491" s="701"/>
      <c r="X491" s="701"/>
      <c r="Y491" s="701"/>
      <c r="Z491" s="701"/>
      <c r="AA491" s="701"/>
      <c r="AB491" s="701"/>
      <c r="AC491" s="701"/>
      <c r="AD491" s="701"/>
      <c r="AE491" s="701"/>
      <c r="AF491" s="701"/>
      <c r="AG491" s="701"/>
      <c r="AH491" s="701"/>
      <c r="AI491" s="701"/>
      <c r="AJ491" s="701"/>
      <c r="AK491" s="701"/>
      <c r="AL491" s="701"/>
      <c r="AM491" s="701"/>
      <c r="AN491" s="701"/>
      <c r="AO491" s="701"/>
      <c r="AP491" s="701"/>
      <c r="AQ491" s="701"/>
      <c r="AR491" s="701"/>
      <c r="AS491" s="701"/>
      <c r="AT491" s="701"/>
      <c r="AU491" s="701"/>
      <c r="AV491" s="701"/>
      <c r="AW491" s="701"/>
      <c r="AX491" s="701"/>
      <c r="AY491" s="701"/>
      <c r="AZ491" s="701"/>
      <c r="BA491" s="701"/>
      <c r="BB491" s="701"/>
      <c r="BC491" s="701"/>
    </row>
    <row r="492" spans="1:55" s="702" customFormat="1" ht="35.1" customHeight="1">
      <c r="A492" s="703">
        <v>489</v>
      </c>
      <c r="B492" s="704" t="s">
        <v>2623</v>
      </c>
      <c r="C492" s="705" t="s">
        <v>624</v>
      </c>
      <c r="D492" s="706">
        <f>ROUND(770000/1.1,0)</f>
        <v>700000</v>
      </c>
      <c r="E492" s="709">
        <f>ROUND(950000/1.1,0)</f>
        <v>863636</v>
      </c>
      <c r="F492" s="707" t="s">
        <v>2624</v>
      </c>
      <c r="G492" s="699"/>
      <c r="H492" s="700"/>
      <c r="I492" s="700"/>
      <c r="J492" s="700"/>
      <c r="K492" s="700"/>
      <c r="L492" s="700"/>
      <c r="M492" s="701"/>
      <c r="N492" s="701"/>
      <c r="O492" s="701"/>
      <c r="P492" s="701"/>
      <c r="Q492" s="701"/>
      <c r="R492" s="701"/>
      <c r="S492" s="701"/>
      <c r="T492" s="701"/>
      <c r="U492" s="701"/>
      <c r="V492" s="701"/>
      <c r="W492" s="701"/>
      <c r="X492" s="701"/>
      <c r="Y492" s="701"/>
      <c r="Z492" s="701"/>
      <c r="AA492" s="701"/>
      <c r="AB492" s="701"/>
      <c r="AC492" s="701"/>
      <c r="AD492" s="701"/>
      <c r="AE492" s="701"/>
      <c r="AF492" s="701"/>
      <c r="AG492" s="701"/>
      <c r="AH492" s="701"/>
      <c r="AI492" s="701"/>
      <c r="AJ492" s="701"/>
      <c r="AK492" s="701"/>
      <c r="AL492" s="701"/>
      <c r="AM492" s="701"/>
      <c r="AN492" s="701"/>
      <c r="AO492" s="701"/>
      <c r="AP492" s="701"/>
      <c r="AQ492" s="701"/>
      <c r="AR492" s="701"/>
      <c r="AS492" s="701"/>
      <c r="AT492" s="701"/>
      <c r="AU492" s="701"/>
      <c r="AV492" s="701"/>
      <c r="AW492" s="701"/>
      <c r="AX492" s="701"/>
      <c r="AY492" s="701"/>
      <c r="AZ492" s="701"/>
      <c r="BA492" s="701"/>
      <c r="BB492" s="701"/>
      <c r="BC492" s="701"/>
    </row>
    <row r="493" spans="1:55" s="702" customFormat="1" ht="35.1" customHeight="1">
      <c r="A493" s="703">
        <v>490</v>
      </c>
      <c r="B493" s="704" t="s">
        <v>2625</v>
      </c>
      <c r="C493" s="705" t="s">
        <v>624</v>
      </c>
      <c r="D493" s="706">
        <f>ROUND(900000/1.1,0)</f>
        <v>818182</v>
      </c>
      <c r="E493" s="709">
        <f>ROUND(1120000/1.1,0)</f>
        <v>1018182</v>
      </c>
      <c r="F493" s="707" t="s">
        <v>2626</v>
      </c>
      <c r="G493" s="699"/>
      <c r="H493" s="700"/>
      <c r="I493" s="700"/>
      <c r="J493" s="700"/>
      <c r="K493" s="700"/>
      <c r="L493" s="700"/>
      <c r="M493" s="701"/>
      <c r="N493" s="701"/>
      <c r="O493" s="701"/>
      <c r="P493" s="701"/>
      <c r="Q493" s="701"/>
      <c r="R493" s="701"/>
      <c r="S493" s="701"/>
      <c r="T493" s="701"/>
      <c r="U493" s="701"/>
      <c r="V493" s="701"/>
      <c r="W493" s="701"/>
      <c r="X493" s="701"/>
      <c r="Y493" s="701"/>
      <c r="Z493" s="701"/>
      <c r="AA493" s="701"/>
      <c r="AB493" s="701"/>
      <c r="AC493" s="701"/>
      <c r="AD493" s="701"/>
      <c r="AE493" s="701"/>
      <c r="AF493" s="701"/>
      <c r="AG493" s="701"/>
      <c r="AH493" s="701"/>
      <c r="AI493" s="701"/>
      <c r="AJ493" s="701"/>
      <c r="AK493" s="701"/>
      <c r="AL493" s="701"/>
      <c r="AM493" s="701"/>
      <c r="AN493" s="701"/>
      <c r="AO493" s="701"/>
      <c r="AP493" s="701"/>
      <c r="AQ493" s="701"/>
      <c r="AR493" s="701"/>
      <c r="AS493" s="701"/>
      <c r="AT493" s="701"/>
      <c r="AU493" s="701"/>
      <c r="AV493" s="701"/>
      <c r="AW493" s="701"/>
      <c r="AX493" s="701"/>
      <c r="AY493" s="701"/>
      <c r="AZ493" s="701"/>
      <c r="BA493" s="701"/>
      <c r="BB493" s="701"/>
      <c r="BC493" s="701"/>
    </row>
    <row r="494" spans="1:55" s="702" customFormat="1" ht="35.1" customHeight="1">
      <c r="A494" s="703">
        <v>491</v>
      </c>
      <c r="B494" s="704" t="s">
        <v>2627</v>
      </c>
      <c r="C494" s="705" t="s">
        <v>655</v>
      </c>
      <c r="D494" s="706">
        <f>ROUND(290000/1.1,0)</f>
        <v>263636</v>
      </c>
      <c r="E494" s="709">
        <f>ROUND(390000/1.1,0)</f>
        <v>354545</v>
      </c>
      <c r="F494" s="707" t="s">
        <v>2628</v>
      </c>
      <c r="G494" s="699"/>
      <c r="H494" s="700"/>
      <c r="I494" s="700"/>
      <c r="J494" s="700"/>
      <c r="K494" s="700"/>
      <c r="L494" s="700"/>
      <c r="M494" s="701"/>
      <c r="N494" s="701"/>
      <c r="O494" s="701"/>
      <c r="P494" s="701"/>
      <c r="Q494" s="701"/>
      <c r="R494" s="701"/>
      <c r="S494" s="701"/>
      <c r="T494" s="701"/>
      <c r="U494" s="701"/>
      <c r="V494" s="701"/>
      <c r="W494" s="701"/>
      <c r="X494" s="701"/>
      <c r="Y494" s="701"/>
      <c r="Z494" s="701"/>
      <c r="AA494" s="701"/>
      <c r="AB494" s="701"/>
      <c r="AC494" s="701"/>
      <c r="AD494" s="701"/>
      <c r="AE494" s="701"/>
      <c r="AF494" s="701"/>
      <c r="AG494" s="701"/>
      <c r="AH494" s="701"/>
      <c r="AI494" s="701"/>
      <c r="AJ494" s="701"/>
      <c r="AK494" s="701"/>
      <c r="AL494" s="701"/>
      <c r="AM494" s="701"/>
      <c r="AN494" s="701"/>
      <c r="AO494" s="701"/>
      <c r="AP494" s="701"/>
      <c r="AQ494" s="701"/>
      <c r="AR494" s="701"/>
      <c r="AS494" s="701"/>
      <c r="AT494" s="701"/>
      <c r="AU494" s="701"/>
      <c r="AV494" s="701"/>
      <c r="AW494" s="701"/>
      <c r="AX494" s="701"/>
      <c r="AY494" s="701"/>
      <c r="AZ494" s="701"/>
      <c r="BA494" s="701"/>
      <c r="BB494" s="701"/>
      <c r="BC494" s="701"/>
    </row>
    <row r="495" spans="1:55" s="702" customFormat="1" ht="35.1" customHeight="1">
      <c r="A495" s="703">
        <v>492</v>
      </c>
      <c r="B495" s="704" t="s">
        <v>2629</v>
      </c>
      <c r="C495" s="705" t="s">
        <v>655</v>
      </c>
      <c r="D495" s="706">
        <f>ROUND(1020000/1.1,0)</f>
        <v>927273</v>
      </c>
      <c r="E495" s="709">
        <f>ROUND(1340000/1.1,0)</f>
        <v>1218182</v>
      </c>
      <c r="F495" s="707" t="s">
        <v>2630</v>
      </c>
      <c r="G495" s="699"/>
      <c r="H495" s="700"/>
      <c r="I495" s="700"/>
      <c r="J495" s="700"/>
      <c r="K495" s="700"/>
      <c r="L495" s="700"/>
      <c r="M495" s="701"/>
      <c r="N495" s="701"/>
      <c r="O495" s="701"/>
      <c r="P495" s="701"/>
      <c r="Q495" s="701"/>
      <c r="R495" s="701"/>
      <c r="S495" s="701"/>
      <c r="T495" s="701"/>
      <c r="U495" s="701"/>
      <c r="V495" s="701"/>
      <c r="W495" s="701"/>
      <c r="X495" s="701"/>
      <c r="Y495" s="701"/>
      <c r="Z495" s="701"/>
      <c r="AA495" s="701"/>
      <c r="AB495" s="701"/>
      <c r="AC495" s="701"/>
      <c r="AD495" s="701"/>
      <c r="AE495" s="701"/>
      <c r="AF495" s="701"/>
      <c r="AG495" s="701"/>
      <c r="AH495" s="701"/>
      <c r="AI495" s="701"/>
      <c r="AJ495" s="701"/>
      <c r="AK495" s="701"/>
      <c r="AL495" s="701"/>
      <c r="AM495" s="701"/>
      <c r="AN495" s="701"/>
      <c r="AO495" s="701"/>
      <c r="AP495" s="701"/>
      <c r="AQ495" s="701"/>
      <c r="AR495" s="701"/>
      <c r="AS495" s="701"/>
      <c r="AT495" s="701"/>
      <c r="AU495" s="701"/>
      <c r="AV495" s="701"/>
      <c r="AW495" s="701"/>
      <c r="AX495" s="701"/>
      <c r="AY495" s="701"/>
      <c r="AZ495" s="701"/>
      <c r="BA495" s="701"/>
      <c r="BB495" s="701"/>
      <c r="BC495" s="701"/>
    </row>
    <row r="496" spans="1:55" s="702" customFormat="1" ht="35.1" customHeight="1">
      <c r="A496" s="703">
        <v>493</v>
      </c>
      <c r="B496" s="704" t="s">
        <v>2631</v>
      </c>
      <c r="C496" s="705" t="s">
        <v>624</v>
      </c>
      <c r="D496" s="706">
        <f>ROUND(420000/1.1,0)</f>
        <v>381818</v>
      </c>
      <c r="E496" s="706">
        <f>ROUND(420000/1.1,0)</f>
        <v>381818</v>
      </c>
      <c r="F496" s="707" t="s">
        <v>2632</v>
      </c>
      <c r="G496" s="699"/>
      <c r="H496" s="700"/>
      <c r="I496" s="700"/>
      <c r="J496" s="700"/>
      <c r="K496" s="700"/>
      <c r="L496" s="700"/>
      <c r="M496" s="701"/>
      <c r="N496" s="701"/>
      <c r="O496" s="701"/>
      <c r="P496" s="701"/>
      <c r="Q496" s="701"/>
      <c r="R496" s="701"/>
      <c r="S496" s="701"/>
      <c r="T496" s="701"/>
      <c r="U496" s="701"/>
      <c r="V496" s="701"/>
      <c r="W496" s="701"/>
      <c r="X496" s="701"/>
      <c r="Y496" s="701"/>
      <c r="Z496" s="701"/>
      <c r="AA496" s="701"/>
      <c r="AB496" s="701"/>
      <c r="AC496" s="701"/>
      <c r="AD496" s="701"/>
      <c r="AE496" s="701"/>
      <c r="AF496" s="701"/>
      <c r="AG496" s="701"/>
      <c r="AH496" s="701"/>
      <c r="AI496" s="701"/>
      <c r="AJ496" s="701"/>
      <c r="AK496" s="701"/>
      <c r="AL496" s="701"/>
      <c r="AM496" s="701"/>
      <c r="AN496" s="701"/>
      <c r="AO496" s="701"/>
      <c r="AP496" s="701"/>
      <c r="AQ496" s="701"/>
      <c r="AR496" s="701"/>
      <c r="AS496" s="701"/>
      <c r="AT496" s="701"/>
      <c r="AU496" s="701"/>
      <c r="AV496" s="701"/>
      <c r="AW496" s="701"/>
      <c r="AX496" s="701"/>
      <c r="AY496" s="701"/>
      <c r="AZ496" s="701"/>
      <c r="BA496" s="701"/>
      <c r="BB496" s="701"/>
      <c r="BC496" s="701"/>
    </row>
    <row r="497" spans="1:55" s="702" customFormat="1" ht="35.1" customHeight="1">
      <c r="A497" s="703">
        <v>494</v>
      </c>
      <c r="B497" s="704" t="s">
        <v>2633</v>
      </c>
      <c r="C497" s="705" t="s">
        <v>1722</v>
      </c>
      <c r="D497" s="706">
        <v>1439731</v>
      </c>
      <c r="E497" s="706">
        <v>1439731</v>
      </c>
      <c r="F497" s="707" t="s">
        <v>2634</v>
      </c>
      <c r="G497" s="699"/>
      <c r="H497" s="700"/>
      <c r="I497" s="700"/>
      <c r="J497" s="700"/>
      <c r="K497" s="700"/>
      <c r="L497" s="700"/>
      <c r="M497" s="701"/>
      <c r="N497" s="701"/>
      <c r="O497" s="701"/>
      <c r="P497" s="701"/>
      <c r="Q497" s="701"/>
      <c r="R497" s="701"/>
      <c r="S497" s="701"/>
      <c r="T497" s="701"/>
      <c r="U497" s="701"/>
      <c r="V497" s="701"/>
      <c r="W497" s="701"/>
      <c r="X497" s="701"/>
      <c r="Y497" s="701"/>
      <c r="Z497" s="701"/>
      <c r="AA497" s="701"/>
      <c r="AB497" s="701"/>
      <c r="AC497" s="701"/>
      <c r="AD497" s="701"/>
      <c r="AE497" s="701"/>
      <c r="AF497" s="701"/>
      <c r="AG497" s="701"/>
      <c r="AH497" s="701"/>
      <c r="AI497" s="701"/>
      <c r="AJ497" s="701"/>
      <c r="AK497" s="701"/>
      <c r="AL497" s="701"/>
      <c r="AM497" s="701"/>
      <c r="AN497" s="701"/>
      <c r="AO497" s="701"/>
      <c r="AP497" s="701"/>
      <c r="AQ497" s="701"/>
      <c r="AR497" s="701"/>
      <c r="AS497" s="701"/>
      <c r="AT497" s="701"/>
      <c r="AU497" s="701"/>
      <c r="AV497" s="701"/>
      <c r="AW497" s="701"/>
      <c r="AX497" s="701"/>
      <c r="AY497" s="701"/>
      <c r="AZ497" s="701"/>
      <c r="BA497" s="701"/>
      <c r="BB497" s="701"/>
      <c r="BC497" s="701"/>
    </row>
    <row r="498" spans="1:55" s="702" customFormat="1" ht="35.1" customHeight="1">
      <c r="A498" s="703">
        <v>495</v>
      </c>
      <c r="B498" s="704" t="s">
        <v>2025</v>
      </c>
      <c r="C498" s="705" t="s">
        <v>1730</v>
      </c>
      <c r="D498" s="706">
        <f>[35]VC!P22</f>
        <v>1749.8150000000001</v>
      </c>
      <c r="E498" s="706">
        <v>1749.8150000000001</v>
      </c>
      <c r="F498" s="707" t="s">
        <v>2635</v>
      </c>
      <c r="G498" s="699"/>
      <c r="H498" s="700"/>
      <c r="I498" s="700"/>
      <c r="J498" s="700"/>
      <c r="K498" s="700"/>
      <c r="L498" s="700"/>
      <c r="M498" s="701"/>
      <c r="N498" s="701"/>
      <c r="O498" s="701"/>
      <c r="P498" s="701"/>
      <c r="Q498" s="701"/>
      <c r="R498" s="701"/>
      <c r="S498" s="701"/>
      <c r="T498" s="701"/>
      <c r="U498" s="701"/>
      <c r="V498" s="701"/>
      <c r="W498" s="701"/>
      <c r="X498" s="701"/>
      <c r="Y498" s="701"/>
      <c r="Z498" s="701"/>
      <c r="AA498" s="701"/>
      <c r="AB498" s="701"/>
      <c r="AC498" s="701"/>
      <c r="AD498" s="701"/>
      <c r="AE498" s="701"/>
      <c r="AF498" s="701"/>
      <c r="AG498" s="701"/>
      <c r="AH498" s="701"/>
      <c r="AI498" s="701"/>
      <c r="AJ498" s="701"/>
      <c r="AK498" s="701"/>
      <c r="AL498" s="701"/>
      <c r="AM498" s="701"/>
      <c r="AN498" s="701"/>
      <c r="AO498" s="701"/>
      <c r="AP498" s="701"/>
      <c r="AQ498" s="701"/>
      <c r="AR498" s="701"/>
      <c r="AS498" s="701"/>
      <c r="AT498" s="701"/>
      <c r="AU498" s="701"/>
      <c r="AV498" s="701"/>
      <c r="AW498" s="701"/>
      <c r="AX498" s="701"/>
      <c r="AY498" s="701"/>
      <c r="AZ498" s="701"/>
      <c r="BA498" s="701"/>
      <c r="BB498" s="701"/>
      <c r="BC498" s="701"/>
    </row>
    <row r="499" spans="1:55" s="702" customFormat="1" ht="35.1" customHeight="1">
      <c r="A499" s="703">
        <v>496</v>
      </c>
      <c r="B499" s="704" t="s">
        <v>1755</v>
      </c>
      <c r="C499" s="705" t="s">
        <v>1730</v>
      </c>
      <c r="D499" s="706">
        <f>[35]VC!P22</f>
        <v>1749.8150000000001</v>
      </c>
      <c r="E499" s="706">
        <v>1749.8150000000001</v>
      </c>
      <c r="F499" s="707" t="s">
        <v>2635</v>
      </c>
      <c r="G499" s="699"/>
      <c r="H499" s="700"/>
      <c r="I499" s="700"/>
      <c r="J499" s="700"/>
      <c r="K499" s="700"/>
      <c r="L499" s="700"/>
      <c r="M499" s="701"/>
      <c r="N499" s="701"/>
      <c r="O499" s="701"/>
      <c r="P499" s="701"/>
      <c r="Q499" s="701"/>
      <c r="R499" s="701"/>
      <c r="S499" s="701"/>
      <c r="T499" s="701"/>
      <c r="U499" s="701"/>
      <c r="V499" s="701"/>
      <c r="W499" s="701"/>
      <c r="X499" s="701"/>
      <c r="Y499" s="701"/>
      <c r="Z499" s="701"/>
      <c r="AA499" s="701"/>
      <c r="AB499" s="701"/>
      <c r="AC499" s="701"/>
      <c r="AD499" s="701"/>
      <c r="AE499" s="701"/>
      <c r="AF499" s="701"/>
      <c r="AG499" s="701"/>
      <c r="AH499" s="701"/>
      <c r="AI499" s="701"/>
      <c r="AJ499" s="701"/>
      <c r="AK499" s="701"/>
      <c r="AL499" s="701"/>
      <c r="AM499" s="701"/>
      <c r="AN499" s="701"/>
      <c r="AO499" s="701"/>
      <c r="AP499" s="701"/>
      <c r="AQ499" s="701"/>
      <c r="AR499" s="701"/>
      <c r="AS499" s="701"/>
      <c r="AT499" s="701"/>
      <c r="AU499" s="701"/>
      <c r="AV499" s="701"/>
      <c r="AW499" s="701"/>
      <c r="AX499" s="701"/>
      <c r="AY499" s="701"/>
      <c r="AZ499" s="701"/>
      <c r="BA499" s="701"/>
      <c r="BB499" s="701"/>
      <c r="BC499" s="701"/>
    </row>
    <row r="500" spans="1:55" s="702" customFormat="1" ht="35.1" customHeight="1">
      <c r="A500" s="703">
        <v>497</v>
      </c>
      <c r="B500" s="704" t="s">
        <v>1860</v>
      </c>
      <c r="C500" s="705" t="s">
        <v>1730</v>
      </c>
      <c r="D500" s="706">
        <v>4000</v>
      </c>
      <c r="E500" s="706">
        <v>4000</v>
      </c>
      <c r="F500" s="707" t="s">
        <v>2201</v>
      </c>
      <c r="G500" s="699"/>
      <c r="H500" s="700"/>
      <c r="I500" s="700"/>
      <c r="J500" s="700"/>
      <c r="K500" s="700"/>
      <c r="L500" s="700"/>
      <c r="M500" s="701"/>
      <c r="N500" s="701"/>
      <c r="O500" s="701"/>
      <c r="P500" s="701"/>
      <c r="Q500" s="701"/>
      <c r="R500" s="701"/>
      <c r="S500" s="701"/>
      <c r="T500" s="701"/>
      <c r="U500" s="701"/>
      <c r="V500" s="701"/>
      <c r="W500" s="701"/>
      <c r="X500" s="701"/>
      <c r="Y500" s="701"/>
      <c r="Z500" s="701"/>
      <c r="AA500" s="701"/>
      <c r="AB500" s="701"/>
      <c r="AC500" s="701"/>
      <c r="AD500" s="701"/>
      <c r="AE500" s="701"/>
      <c r="AF500" s="701"/>
      <c r="AG500" s="701"/>
      <c r="AH500" s="701"/>
      <c r="AI500" s="701"/>
      <c r="AJ500" s="701"/>
      <c r="AK500" s="701"/>
      <c r="AL500" s="701"/>
      <c r="AM500" s="701"/>
      <c r="AN500" s="701"/>
      <c r="AO500" s="701"/>
      <c r="AP500" s="701"/>
      <c r="AQ500" s="701"/>
      <c r="AR500" s="701"/>
      <c r="AS500" s="701"/>
      <c r="AT500" s="701"/>
      <c r="AU500" s="701"/>
      <c r="AV500" s="701"/>
      <c r="AW500" s="701"/>
      <c r="AX500" s="701"/>
      <c r="AY500" s="701"/>
      <c r="AZ500" s="701"/>
      <c r="BA500" s="701"/>
      <c r="BB500" s="701"/>
      <c r="BC500" s="701"/>
    </row>
    <row r="501" spans="1:55" s="702" customFormat="1" ht="35.1" customHeight="1">
      <c r="A501" s="703">
        <v>498</v>
      </c>
      <c r="B501" s="704" t="s">
        <v>2636</v>
      </c>
      <c r="C501" s="705" t="s">
        <v>655</v>
      </c>
      <c r="D501" s="706">
        <v>81700</v>
      </c>
      <c r="E501" s="706">
        <v>81700</v>
      </c>
      <c r="F501" s="707" t="s">
        <v>2084</v>
      </c>
      <c r="G501" s="699"/>
      <c r="H501" s="700"/>
      <c r="I501" s="700"/>
      <c r="J501" s="700"/>
      <c r="K501" s="700"/>
      <c r="L501" s="700"/>
      <c r="M501" s="701"/>
      <c r="N501" s="701"/>
      <c r="O501" s="701"/>
      <c r="P501" s="701"/>
      <c r="Q501" s="701"/>
      <c r="R501" s="701"/>
      <c r="S501" s="701"/>
      <c r="T501" s="701"/>
      <c r="U501" s="701"/>
      <c r="V501" s="701"/>
      <c r="W501" s="701"/>
      <c r="X501" s="701"/>
      <c r="Y501" s="701"/>
      <c r="Z501" s="701"/>
      <c r="AA501" s="701"/>
      <c r="AB501" s="701"/>
      <c r="AC501" s="701"/>
      <c r="AD501" s="701"/>
      <c r="AE501" s="701"/>
      <c r="AF501" s="701"/>
      <c r="AG501" s="701"/>
      <c r="AH501" s="701"/>
      <c r="AI501" s="701"/>
      <c r="AJ501" s="701"/>
      <c r="AK501" s="701"/>
      <c r="AL501" s="701"/>
      <c r="AM501" s="701"/>
      <c r="AN501" s="701"/>
      <c r="AO501" s="701"/>
      <c r="AP501" s="701"/>
      <c r="AQ501" s="701"/>
      <c r="AR501" s="701"/>
      <c r="AS501" s="701"/>
      <c r="AT501" s="701"/>
      <c r="AU501" s="701"/>
      <c r="AV501" s="701"/>
      <c r="AW501" s="701"/>
      <c r="AX501" s="701"/>
      <c r="AY501" s="701"/>
      <c r="AZ501" s="701"/>
      <c r="BA501" s="701"/>
      <c r="BB501" s="701"/>
      <c r="BC501" s="701"/>
    </row>
    <row r="502" spans="1:55" s="702" customFormat="1" ht="35.1" customHeight="1">
      <c r="A502" s="703">
        <v>499</v>
      </c>
      <c r="B502" s="704" t="s">
        <v>2637</v>
      </c>
      <c r="C502" s="705" t="s">
        <v>655</v>
      </c>
      <c r="D502" s="706">
        <v>23900</v>
      </c>
      <c r="E502" s="706">
        <v>23900</v>
      </c>
      <c r="F502" s="707" t="s">
        <v>2084</v>
      </c>
      <c r="G502" s="699"/>
      <c r="H502" s="700"/>
      <c r="I502" s="700"/>
      <c r="J502" s="700"/>
      <c r="K502" s="700"/>
      <c r="L502" s="700"/>
      <c r="M502" s="701"/>
      <c r="N502" s="701"/>
      <c r="O502" s="701"/>
      <c r="P502" s="701"/>
      <c r="Q502" s="701"/>
      <c r="R502" s="701"/>
      <c r="S502" s="701"/>
      <c r="T502" s="701"/>
      <c r="U502" s="701"/>
      <c r="V502" s="701"/>
      <c r="W502" s="701"/>
      <c r="X502" s="701"/>
      <c r="Y502" s="701"/>
      <c r="Z502" s="701"/>
      <c r="AA502" s="701"/>
      <c r="AB502" s="701"/>
      <c r="AC502" s="701"/>
      <c r="AD502" s="701"/>
      <c r="AE502" s="701"/>
      <c r="AF502" s="701"/>
      <c r="AG502" s="701"/>
      <c r="AH502" s="701"/>
      <c r="AI502" s="701"/>
      <c r="AJ502" s="701"/>
      <c r="AK502" s="701"/>
      <c r="AL502" s="701"/>
      <c r="AM502" s="701"/>
      <c r="AN502" s="701"/>
      <c r="AO502" s="701"/>
      <c r="AP502" s="701"/>
      <c r="AQ502" s="701"/>
      <c r="AR502" s="701"/>
      <c r="AS502" s="701"/>
      <c r="AT502" s="701"/>
      <c r="AU502" s="701"/>
      <c r="AV502" s="701"/>
      <c r="AW502" s="701"/>
      <c r="AX502" s="701"/>
      <c r="AY502" s="701"/>
      <c r="AZ502" s="701"/>
      <c r="BA502" s="701"/>
      <c r="BB502" s="701"/>
      <c r="BC502" s="701"/>
    </row>
    <row r="503" spans="1:55" s="702" customFormat="1" ht="35.1" customHeight="1">
      <c r="A503" s="703">
        <v>500</v>
      </c>
      <c r="B503" s="704" t="s">
        <v>2638</v>
      </c>
      <c r="C503" s="705" t="s">
        <v>655</v>
      </c>
      <c r="D503" s="706">
        <v>56400</v>
      </c>
      <c r="E503" s="706">
        <v>56400</v>
      </c>
      <c r="F503" s="707" t="s">
        <v>2084</v>
      </c>
      <c r="G503" s="699"/>
      <c r="H503" s="700"/>
      <c r="I503" s="700"/>
      <c r="J503" s="700"/>
      <c r="K503" s="700"/>
      <c r="L503" s="700"/>
      <c r="M503" s="701"/>
      <c r="N503" s="701"/>
      <c r="O503" s="701"/>
      <c r="P503" s="701"/>
      <c r="Q503" s="701"/>
      <c r="R503" s="701"/>
      <c r="S503" s="701"/>
      <c r="T503" s="701"/>
      <c r="U503" s="701"/>
      <c r="V503" s="701"/>
      <c r="W503" s="701"/>
      <c r="X503" s="701"/>
      <c r="Y503" s="701"/>
      <c r="Z503" s="701"/>
      <c r="AA503" s="701"/>
      <c r="AB503" s="701"/>
      <c r="AC503" s="701"/>
      <c r="AD503" s="701"/>
      <c r="AE503" s="701"/>
      <c r="AF503" s="701"/>
      <c r="AG503" s="701"/>
      <c r="AH503" s="701"/>
      <c r="AI503" s="701"/>
      <c r="AJ503" s="701"/>
      <c r="AK503" s="701"/>
      <c r="AL503" s="701"/>
      <c r="AM503" s="701"/>
      <c r="AN503" s="701"/>
      <c r="AO503" s="701"/>
      <c r="AP503" s="701"/>
      <c r="AQ503" s="701"/>
      <c r="AR503" s="701"/>
      <c r="AS503" s="701"/>
      <c r="AT503" s="701"/>
      <c r="AU503" s="701"/>
      <c r="AV503" s="701"/>
      <c r="AW503" s="701"/>
      <c r="AX503" s="701"/>
      <c r="AY503" s="701"/>
      <c r="AZ503" s="701"/>
      <c r="BA503" s="701"/>
      <c r="BB503" s="701"/>
      <c r="BC503" s="701"/>
    </row>
    <row r="504" spans="1:55" s="702" customFormat="1" ht="35.1" customHeight="1">
      <c r="A504" s="703">
        <v>501</v>
      </c>
      <c r="B504" s="704" t="s">
        <v>2639</v>
      </c>
      <c r="C504" s="705" t="s">
        <v>655</v>
      </c>
      <c r="D504" s="706">
        <v>76100</v>
      </c>
      <c r="E504" s="706">
        <v>76100</v>
      </c>
      <c r="F504" s="707" t="s">
        <v>2084</v>
      </c>
      <c r="G504" s="699"/>
      <c r="H504" s="700"/>
      <c r="I504" s="700"/>
      <c r="J504" s="700"/>
      <c r="K504" s="700"/>
      <c r="L504" s="700"/>
      <c r="M504" s="701"/>
      <c r="N504" s="701"/>
      <c r="O504" s="701"/>
      <c r="P504" s="701"/>
      <c r="Q504" s="701"/>
      <c r="R504" s="701"/>
      <c r="S504" s="701"/>
      <c r="T504" s="701"/>
      <c r="U504" s="701"/>
      <c r="V504" s="701"/>
      <c r="W504" s="701"/>
      <c r="X504" s="701"/>
      <c r="Y504" s="701"/>
      <c r="Z504" s="701"/>
      <c r="AA504" s="701"/>
      <c r="AB504" s="701"/>
      <c r="AC504" s="701"/>
      <c r="AD504" s="701"/>
      <c r="AE504" s="701"/>
      <c r="AF504" s="701"/>
      <c r="AG504" s="701"/>
      <c r="AH504" s="701"/>
      <c r="AI504" s="701"/>
      <c r="AJ504" s="701"/>
      <c r="AK504" s="701"/>
      <c r="AL504" s="701"/>
      <c r="AM504" s="701"/>
      <c r="AN504" s="701"/>
      <c r="AO504" s="701"/>
      <c r="AP504" s="701"/>
      <c r="AQ504" s="701"/>
      <c r="AR504" s="701"/>
      <c r="AS504" s="701"/>
      <c r="AT504" s="701"/>
      <c r="AU504" s="701"/>
      <c r="AV504" s="701"/>
      <c r="AW504" s="701"/>
      <c r="AX504" s="701"/>
      <c r="AY504" s="701"/>
      <c r="AZ504" s="701"/>
      <c r="BA504" s="701"/>
      <c r="BB504" s="701"/>
      <c r="BC504" s="701"/>
    </row>
    <row r="505" spans="1:55" s="702" customFormat="1" ht="35.1" customHeight="1">
      <c r="A505" s="703">
        <v>502</v>
      </c>
      <c r="B505" s="704" t="s">
        <v>2640</v>
      </c>
      <c r="C505" s="705" t="s">
        <v>624</v>
      </c>
      <c r="D505" s="706">
        <v>125000</v>
      </c>
      <c r="E505" s="709">
        <v>200000</v>
      </c>
      <c r="F505" s="707"/>
      <c r="G505" s="699"/>
      <c r="H505" s="700"/>
      <c r="I505" s="700"/>
      <c r="J505" s="700"/>
      <c r="K505" s="700"/>
      <c r="L505" s="700"/>
      <c r="M505" s="701"/>
      <c r="N505" s="701"/>
      <c r="O505" s="701"/>
      <c r="P505" s="701"/>
      <c r="Q505" s="701"/>
      <c r="R505" s="701"/>
      <c r="S505" s="701"/>
      <c r="T505" s="701"/>
      <c r="U505" s="701"/>
      <c r="V505" s="701"/>
      <c r="W505" s="701"/>
      <c r="X505" s="701"/>
      <c r="Y505" s="701"/>
      <c r="Z505" s="701"/>
      <c r="AA505" s="701"/>
      <c r="AB505" s="701"/>
      <c r="AC505" s="701"/>
      <c r="AD505" s="701"/>
      <c r="AE505" s="701"/>
      <c r="AF505" s="701"/>
      <c r="AG505" s="701"/>
      <c r="AH505" s="701"/>
      <c r="AI505" s="701"/>
      <c r="AJ505" s="701"/>
      <c r="AK505" s="701"/>
      <c r="AL505" s="701"/>
      <c r="AM505" s="701"/>
      <c r="AN505" s="701"/>
      <c r="AO505" s="701"/>
      <c r="AP505" s="701"/>
      <c r="AQ505" s="701"/>
      <c r="AR505" s="701"/>
      <c r="AS505" s="701"/>
      <c r="AT505" s="701"/>
      <c r="AU505" s="701"/>
      <c r="AV505" s="701"/>
      <c r="AW505" s="701"/>
      <c r="AX505" s="701"/>
      <c r="AY505" s="701"/>
      <c r="AZ505" s="701"/>
      <c r="BA505" s="701"/>
      <c r="BB505" s="701"/>
      <c r="BC505" s="701"/>
    </row>
    <row r="506" spans="1:55" s="702" customFormat="1" ht="35.1" customHeight="1">
      <c r="A506" s="703">
        <v>503</v>
      </c>
      <c r="B506" s="704" t="s">
        <v>2641</v>
      </c>
      <c r="C506" s="705" t="s">
        <v>2642</v>
      </c>
      <c r="D506" s="706">
        <v>48000</v>
      </c>
      <c r="E506" s="709">
        <f>94000*0.2+30000</f>
        <v>48800</v>
      </c>
      <c r="F506" s="707"/>
      <c r="G506" s="699"/>
      <c r="H506" s="700"/>
      <c r="I506" s="700"/>
      <c r="J506" s="700"/>
      <c r="K506" s="700"/>
      <c r="L506" s="700"/>
      <c r="M506" s="701"/>
      <c r="N506" s="701"/>
      <c r="O506" s="701"/>
      <c r="P506" s="701"/>
      <c r="Q506" s="701"/>
      <c r="R506" s="701"/>
      <c r="S506" s="701"/>
      <c r="T506" s="701"/>
      <c r="U506" s="701"/>
      <c r="V506" s="701"/>
      <c r="W506" s="701"/>
      <c r="X506" s="701"/>
      <c r="Y506" s="701"/>
      <c r="Z506" s="701"/>
      <c r="AA506" s="701"/>
      <c r="AB506" s="701"/>
      <c r="AC506" s="701"/>
      <c r="AD506" s="701"/>
      <c r="AE506" s="701"/>
      <c r="AF506" s="701"/>
      <c r="AG506" s="701"/>
      <c r="AH506" s="701"/>
      <c r="AI506" s="701"/>
      <c r="AJ506" s="701"/>
      <c r="AK506" s="701"/>
      <c r="AL506" s="701"/>
      <c r="AM506" s="701"/>
      <c r="AN506" s="701"/>
      <c r="AO506" s="701"/>
      <c r="AP506" s="701"/>
      <c r="AQ506" s="701"/>
      <c r="AR506" s="701"/>
      <c r="AS506" s="701"/>
      <c r="AT506" s="701"/>
      <c r="AU506" s="701"/>
      <c r="AV506" s="701"/>
      <c r="AW506" s="701"/>
      <c r="AX506" s="701"/>
      <c r="AY506" s="701"/>
      <c r="AZ506" s="701"/>
      <c r="BA506" s="701"/>
      <c r="BB506" s="701"/>
      <c r="BC506" s="701"/>
    </row>
    <row r="507" spans="1:55" s="702" customFormat="1" ht="35.1" customHeight="1">
      <c r="A507" s="703">
        <v>504</v>
      </c>
      <c r="B507" s="704" t="s">
        <v>2643</v>
      </c>
      <c r="C507" s="705" t="s">
        <v>624</v>
      </c>
      <c r="D507" s="706">
        <v>0</v>
      </c>
      <c r="E507" s="706">
        <v>50000</v>
      </c>
      <c r="F507" s="707"/>
      <c r="G507" s="699" t="s">
        <v>2093</v>
      </c>
      <c r="H507" s="700"/>
      <c r="I507" s="700"/>
      <c r="J507" s="700"/>
      <c r="K507" s="700"/>
      <c r="L507" s="700"/>
      <c r="M507" s="701"/>
      <c r="N507" s="701"/>
      <c r="O507" s="701"/>
      <c r="P507" s="701"/>
      <c r="Q507" s="701"/>
      <c r="R507" s="701"/>
      <c r="S507" s="701"/>
      <c r="T507" s="701"/>
      <c r="U507" s="701"/>
      <c r="V507" s="701"/>
      <c r="W507" s="701"/>
      <c r="X507" s="701"/>
      <c r="Y507" s="701"/>
      <c r="Z507" s="701"/>
      <c r="AA507" s="701"/>
      <c r="AB507" s="701"/>
      <c r="AC507" s="701"/>
      <c r="AD507" s="701"/>
      <c r="AE507" s="701"/>
      <c r="AF507" s="701"/>
      <c r="AG507" s="701"/>
      <c r="AH507" s="701"/>
      <c r="AI507" s="701"/>
      <c r="AJ507" s="701"/>
      <c r="AK507" s="701"/>
      <c r="AL507" s="701"/>
      <c r="AM507" s="701"/>
      <c r="AN507" s="701"/>
      <c r="AO507" s="701"/>
      <c r="AP507" s="701"/>
      <c r="AQ507" s="701"/>
      <c r="AR507" s="701"/>
      <c r="AS507" s="701"/>
      <c r="AT507" s="701"/>
      <c r="AU507" s="701"/>
      <c r="AV507" s="701"/>
      <c r="AW507" s="701"/>
      <c r="AX507" s="701"/>
      <c r="AY507" s="701"/>
      <c r="AZ507" s="701"/>
      <c r="BA507" s="701"/>
      <c r="BB507" s="701"/>
      <c r="BC507" s="701"/>
    </row>
    <row r="508" spans="1:55" s="702" customFormat="1" ht="35.1" customHeight="1">
      <c r="A508" s="703">
        <v>505</v>
      </c>
      <c r="B508" s="704" t="s">
        <v>2644</v>
      </c>
      <c r="C508" s="705" t="s">
        <v>655</v>
      </c>
      <c r="D508" s="706">
        <v>35000</v>
      </c>
      <c r="E508" s="709">
        <v>100000</v>
      </c>
      <c r="F508" s="707"/>
      <c r="G508" s="699"/>
      <c r="H508" s="700"/>
      <c r="I508" s="700"/>
      <c r="J508" s="700"/>
      <c r="K508" s="700"/>
      <c r="L508" s="700"/>
      <c r="M508" s="701"/>
      <c r="N508" s="701"/>
      <c r="O508" s="701"/>
      <c r="P508" s="701"/>
      <c r="Q508" s="701"/>
      <c r="R508" s="701"/>
      <c r="S508" s="701"/>
      <c r="T508" s="701"/>
      <c r="U508" s="701"/>
      <c r="V508" s="701"/>
      <c r="W508" s="701"/>
      <c r="X508" s="701"/>
      <c r="Y508" s="701"/>
      <c r="Z508" s="701"/>
      <c r="AA508" s="701"/>
      <c r="AB508" s="701"/>
      <c r="AC508" s="701"/>
      <c r="AD508" s="701"/>
      <c r="AE508" s="701"/>
      <c r="AF508" s="701"/>
      <c r="AG508" s="701"/>
      <c r="AH508" s="701"/>
      <c r="AI508" s="701"/>
      <c r="AJ508" s="701"/>
      <c r="AK508" s="701"/>
      <c r="AL508" s="701"/>
      <c r="AM508" s="701"/>
      <c r="AN508" s="701"/>
      <c r="AO508" s="701"/>
      <c r="AP508" s="701"/>
      <c r="AQ508" s="701"/>
      <c r="AR508" s="701"/>
      <c r="AS508" s="701"/>
      <c r="AT508" s="701"/>
      <c r="AU508" s="701"/>
      <c r="AV508" s="701"/>
      <c r="AW508" s="701"/>
      <c r="AX508" s="701"/>
      <c r="AY508" s="701"/>
      <c r="AZ508" s="701"/>
      <c r="BA508" s="701"/>
      <c r="BB508" s="701"/>
      <c r="BC508" s="701"/>
    </row>
    <row r="509" spans="1:55" s="702" customFormat="1" ht="35.1" customHeight="1">
      <c r="A509" s="703">
        <v>506</v>
      </c>
      <c r="B509" s="704" t="s">
        <v>2645</v>
      </c>
      <c r="C509" s="705" t="s">
        <v>685</v>
      </c>
      <c r="D509" s="706">
        <v>8000</v>
      </c>
      <c r="E509" s="709">
        <v>10000</v>
      </c>
      <c r="F509" s="707"/>
      <c r="G509" s="699"/>
      <c r="H509" s="700"/>
      <c r="I509" s="700"/>
      <c r="J509" s="700"/>
      <c r="K509" s="700"/>
      <c r="L509" s="700"/>
      <c r="M509" s="701"/>
      <c r="N509" s="701"/>
      <c r="O509" s="701"/>
      <c r="P509" s="701"/>
      <c r="Q509" s="701"/>
      <c r="R509" s="701"/>
      <c r="S509" s="701"/>
      <c r="T509" s="701"/>
      <c r="U509" s="701"/>
      <c r="V509" s="701"/>
      <c r="W509" s="701"/>
      <c r="X509" s="701"/>
      <c r="Y509" s="701"/>
      <c r="Z509" s="701"/>
      <c r="AA509" s="701"/>
      <c r="AB509" s="701"/>
      <c r="AC509" s="701"/>
      <c r="AD509" s="701"/>
      <c r="AE509" s="701"/>
      <c r="AF509" s="701"/>
      <c r="AG509" s="701"/>
      <c r="AH509" s="701"/>
      <c r="AI509" s="701"/>
      <c r="AJ509" s="701"/>
      <c r="AK509" s="701"/>
      <c r="AL509" s="701"/>
      <c r="AM509" s="701"/>
      <c r="AN509" s="701"/>
      <c r="AO509" s="701"/>
      <c r="AP509" s="701"/>
      <c r="AQ509" s="701"/>
      <c r="AR509" s="701"/>
      <c r="AS509" s="701"/>
      <c r="AT509" s="701"/>
      <c r="AU509" s="701"/>
      <c r="AV509" s="701"/>
      <c r="AW509" s="701"/>
      <c r="AX509" s="701"/>
      <c r="AY509" s="701"/>
      <c r="AZ509" s="701"/>
      <c r="BA509" s="701"/>
      <c r="BB509" s="701"/>
      <c r="BC509" s="701"/>
    </row>
    <row r="510" spans="1:55" s="702" customFormat="1" ht="35.1" customHeight="1">
      <c r="A510" s="703">
        <v>507</v>
      </c>
      <c r="B510" s="704" t="s">
        <v>2646</v>
      </c>
      <c r="C510" s="705" t="s">
        <v>655</v>
      </c>
      <c r="D510" s="706">
        <v>5500000</v>
      </c>
      <c r="E510" s="709">
        <v>7000000</v>
      </c>
      <c r="F510" s="707"/>
      <c r="G510" s="699"/>
      <c r="H510" s="700"/>
      <c r="I510" s="700"/>
      <c r="J510" s="700"/>
      <c r="K510" s="700"/>
      <c r="L510" s="700"/>
      <c r="M510" s="701"/>
      <c r="N510" s="701"/>
      <c r="O510" s="701"/>
      <c r="P510" s="701"/>
      <c r="Q510" s="701"/>
      <c r="R510" s="701"/>
      <c r="S510" s="701"/>
      <c r="T510" s="701"/>
      <c r="U510" s="701"/>
      <c r="V510" s="701"/>
      <c r="W510" s="701"/>
      <c r="X510" s="701"/>
      <c r="Y510" s="701"/>
      <c r="Z510" s="701"/>
      <c r="AA510" s="701"/>
      <c r="AB510" s="701"/>
      <c r="AC510" s="701"/>
      <c r="AD510" s="701"/>
      <c r="AE510" s="701"/>
      <c r="AF510" s="701"/>
      <c r="AG510" s="701"/>
      <c r="AH510" s="701"/>
      <c r="AI510" s="701"/>
      <c r="AJ510" s="701"/>
      <c r="AK510" s="701"/>
      <c r="AL510" s="701"/>
      <c r="AM510" s="701"/>
      <c r="AN510" s="701"/>
      <c r="AO510" s="701"/>
      <c r="AP510" s="701"/>
      <c r="AQ510" s="701"/>
      <c r="AR510" s="701"/>
      <c r="AS510" s="701"/>
      <c r="AT510" s="701"/>
      <c r="AU510" s="701"/>
      <c r="AV510" s="701"/>
      <c r="AW510" s="701"/>
      <c r="AX510" s="701"/>
      <c r="AY510" s="701"/>
      <c r="AZ510" s="701"/>
      <c r="BA510" s="701"/>
      <c r="BB510" s="701"/>
      <c r="BC510" s="701"/>
    </row>
    <row r="511" spans="1:55" s="702" customFormat="1" ht="35.1" customHeight="1">
      <c r="A511" s="703">
        <v>508</v>
      </c>
      <c r="B511" s="704" t="s">
        <v>2647</v>
      </c>
      <c r="C511" s="705" t="s">
        <v>655</v>
      </c>
      <c r="D511" s="706">
        <v>5000</v>
      </c>
      <c r="E511" s="709">
        <v>5000</v>
      </c>
      <c r="F511" s="707"/>
      <c r="G511" s="699"/>
      <c r="H511" s="700"/>
      <c r="I511" s="700"/>
      <c r="J511" s="700"/>
      <c r="K511" s="700"/>
      <c r="L511" s="700"/>
      <c r="M511" s="701"/>
      <c r="N511" s="701"/>
      <c r="O511" s="701"/>
      <c r="P511" s="701"/>
      <c r="Q511" s="701"/>
      <c r="R511" s="701"/>
      <c r="S511" s="701"/>
      <c r="T511" s="701"/>
      <c r="U511" s="701"/>
      <c r="V511" s="701"/>
      <c r="W511" s="701"/>
      <c r="X511" s="701"/>
      <c r="Y511" s="701"/>
      <c r="Z511" s="701"/>
      <c r="AA511" s="701"/>
      <c r="AB511" s="701"/>
      <c r="AC511" s="701"/>
      <c r="AD511" s="701"/>
      <c r="AE511" s="701"/>
      <c r="AF511" s="701"/>
      <c r="AG511" s="701"/>
      <c r="AH511" s="701"/>
      <c r="AI511" s="701"/>
      <c r="AJ511" s="701"/>
      <c r="AK511" s="701"/>
      <c r="AL511" s="701"/>
      <c r="AM511" s="701"/>
      <c r="AN511" s="701"/>
      <c r="AO511" s="701"/>
      <c r="AP511" s="701"/>
      <c r="AQ511" s="701"/>
      <c r="AR511" s="701"/>
      <c r="AS511" s="701"/>
      <c r="AT511" s="701"/>
      <c r="AU511" s="701"/>
      <c r="AV511" s="701"/>
      <c r="AW511" s="701"/>
      <c r="AX511" s="701"/>
      <c r="AY511" s="701"/>
      <c r="AZ511" s="701"/>
      <c r="BA511" s="701"/>
      <c r="BB511" s="701"/>
      <c r="BC511" s="701"/>
    </row>
    <row r="512" spans="1:55" s="702" customFormat="1" ht="35.1" customHeight="1">
      <c r="A512" s="703">
        <v>509</v>
      </c>
      <c r="B512" s="704" t="s">
        <v>2648</v>
      </c>
      <c r="C512" s="705" t="s">
        <v>655</v>
      </c>
      <c r="D512" s="706">
        <v>250000</v>
      </c>
      <c r="E512" s="709">
        <v>250000</v>
      </c>
      <c r="F512" s="707"/>
      <c r="G512" s="699"/>
      <c r="H512" s="700"/>
      <c r="I512" s="700"/>
      <c r="J512" s="700"/>
      <c r="K512" s="700"/>
      <c r="L512" s="700"/>
      <c r="M512" s="701"/>
      <c r="N512" s="701"/>
      <c r="O512" s="701"/>
      <c r="P512" s="701"/>
      <c r="Q512" s="701"/>
      <c r="R512" s="701"/>
      <c r="S512" s="701"/>
      <c r="T512" s="701"/>
      <c r="U512" s="701"/>
      <c r="V512" s="701"/>
      <c r="W512" s="701"/>
      <c r="X512" s="701"/>
      <c r="Y512" s="701"/>
      <c r="Z512" s="701"/>
      <c r="AA512" s="701"/>
      <c r="AB512" s="701"/>
      <c r="AC512" s="701"/>
      <c r="AD512" s="701"/>
      <c r="AE512" s="701"/>
      <c r="AF512" s="701"/>
      <c r="AG512" s="701"/>
      <c r="AH512" s="701"/>
      <c r="AI512" s="701"/>
      <c r="AJ512" s="701"/>
      <c r="AK512" s="701"/>
      <c r="AL512" s="701"/>
      <c r="AM512" s="701"/>
      <c r="AN512" s="701"/>
      <c r="AO512" s="701"/>
      <c r="AP512" s="701"/>
      <c r="AQ512" s="701"/>
      <c r="AR512" s="701"/>
      <c r="AS512" s="701"/>
      <c r="AT512" s="701"/>
      <c r="AU512" s="701"/>
      <c r="AV512" s="701"/>
      <c r="AW512" s="701"/>
      <c r="AX512" s="701"/>
      <c r="AY512" s="701"/>
      <c r="AZ512" s="701"/>
      <c r="BA512" s="701"/>
      <c r="BB512" s="701"/>
      <c r="BC512" s="701"/>
    </row>
    <row r="513" spans="1:256" s="702" customFormat="1" ht="35.1" customHeight="1">
      <c r="A513" s="703">
        <v>510</v>
      </c>
      <c r="B513" s="704" t="s">
        <v>2649</v>
      </c>
      <c r="C513" s="705" t="s">
        <v>624</v>
      </c>
      <c r="D513" s="706">
        <v>120000</v>
      </c>
      <c r="E513" s="709">
        <v>120000</v>
      </c>
      <c r="F513" s="707"/>
      <c r="G513" s="699"/>
      <c r="H513" s="700"/>
      <c r="I513" s="700"/>
      <c r="J513" s="700"/>
      <c r="K513" s="700"/>
      <c r="L513" s="700"/>
      <c r="M513" s="701"/>
      <c r="N513" s="701"/>
      <c r="O513" s="701"/>
      <c r="P513" s="701"/>
      <c r="Q513" s="701"/>
      <c r="R513" s="701"/>
      <c r="S513" s="701"/>
      <c r="T513" s="701"/>
      <c r="U513" s="701"/>
      <c r="V513" s="701"/>
      <c r="W513" s="701"/>
      <c r="X513" s="701"/>
      <c r="Y513" s="701"/>
      <c r="Z513" s="701"/>
      <c r="AA513" s="701"/>
      <c r="AB513" s="701"/>
      <c r="AC513" s="701"/>
      <c r="AD513" s="701"/>
      <c r="AE513" s="701"/>
      <c r="AF513" s="701"/>
      <c r="AG513" s="701"/>
      <c r="AH513" s="701"/>
      <c r="AI513" s="701"/>
      <c r="AJ513" s="701"/>
      <c r="AK513" s="701"/>
      <c r="AL513" s="701"/>
      <c r="AM513" s="701"/>
      <c r="AN513" s="701"/>
      <c r="AO513" s="701"/>
      <c r="AP513" s="701"/>
      <c r="AQ513" s="701"/>
      <c r="AR513" s="701"/>
      <c r="AS513" s="701"/>
      <c r="AT513" s="701"/>
      <c r="AU513" s="701"/>
      <c r="AV513" s="701"/>
      <c r="AW513" s="701"/>
      <c r="AX513" s="701"/>
      <c r="AY513" s="701"/>
      <c r="AZ513" s="701"/>
      <c r="BA513" s="701"/>
      <c r="BB513" s="701"/>
      <c r="BC513" s="701"/>
    </row>
    <row r="514" spans="1:256" s="702" customFormat="1" ht="35.1" customHeight="1">
      <c r="A514" s="703">
        <v>511</v>
      </c>
      <c r="B514" s="704" t="s">
        <v>2650</v>
      </c>
      <c r="C514" s="705" t="s">
        <v>655</v>
      </c>
      <c r="D514" s="706">
        <v>0</v>
      </c>
      <c r="E514" s="706">
        <v>50000</v>
      </c>
      <c r="F514" s="707"/>
      <c r="G514" s="699"/>
      <c r="H514" s="700"/>
      <c r="I514" s="700"/>
      <c r="J514" s="700"/>
      <c r="K514" s="700"/>
      <c r="L514" s="700"/>
      <c r="M514" s="701"/>
      <c r="N514" s="701"/>
      <c r="O514" s="701"/>
      <c r="P514" s="701"/>
      <c r="Q514" s="701"/>
      <c r="R514" s="701"/>
      <c r="S514" s="701"/>
      <c r="T514" s="701"/>
      <c r="U514" s="701"/>
      <c r="V514" s="701"/>
      <c r="W514" s="701"/>
      <c r="X514" s="701"/>
      <c r="Y514" s="701"/>
      <c r="Z514" s="701"/>
      <c r="AA514" s="701"/>
      <c r="AB514" s="701"/>
      <c r="AC514" s="701"/>
      <c r="AD514" s="701"/>
      <c r="AE514" s="701"/>
      <c r="AF514" s="701"/>
      <c r="AG514" s="701"/>
      <c r="AH514" s="701"/>
      <c r="AI514" s="701"/>
      <c r="AJ514" s="701"/>
      <c r="AK514" s="701"/>
      <c r="AL514" s="701"/>
      <c r="AM514" s="701"/>
      <c r="AN514" s="701"/>
      <c r="AO514" s="701"/>
      <c r="AP514" s="701"/>
      <c r="AQ514" s="701"/>
      <c r="AR514" s="701"/>
      <c r="AS514" s="701"/>
      <c r="AT514" s="701"/>
      <c r="AU514" s="701"/>
      <c r="AV514" s="701"/>
      <c r="AW514" s="701"/>
      <c r="AX514" s="701"/>
      <c r="AY514" s="701"/>
      <c r="AZ514" s="701"/>
      <c r="BA514" s="701"/>
      <c r="BB514" s="701"/>
      <c r="BC514" s="701"/>
    </row>
    <row r="515" spans="1:256" s="702" customFormat="1" ht="35.1" customHeight="1">
      <c r="A515" s="703">
        <v>512</v>
      </c>
      <c r="B515" s="704" t="s">
        <v>2651</v>
      </c>
      <c r="C515" s="705" t="s">
        <v>2652</v>
      </c>
      <c r="D515" s="706">
        <v>150000</v>
      </c>
      <c r="E515" s="709">
        <v>200000</v>
      </c>
      <c r="F515" s="707"/>
      <c r="G515" s="699"/>
      <c r="H515" s="700"/>
      <c r="I515" s="700"/>
      <c r="J515" s="700"/>
      <c r="K515" s="700"/>
      <c r="L515" s="700"/>
      <c r="M515" s="701"/>
      <c r="N515" s="701"/>
      <c r="O515" s="701"/>
      <c r="P515" s="701"/>
      <c r="Q515" s="701"/>
      <c r="R515" s="701"/>
      <c r="S515" s="701"/>
      <c r="T515" s="701"/>
      <c r="U515" s="701"/>
      <c r="V515" s="701"/>
      <c r="W515" s="701"/>
      <c r="X515" s="701"/>
      <c r="Y515" s="701"/>
      <c r="Z515" s="701"/>
      <c r="AA515" s="701"/>
      <c r="AB515" s="701"/>
      <c r="AC515" s="701"/>
      <c r="AD515" s="701"/>
      <c r="AE515" s="701"/>
      <c r="AF515" s="701"/>
      <c r="AG515" s="701"/>
      <c r="AH515" s="701"/>
      <c r="AI515" s="701"/>
      <c r="AJ515" s="701"/>
      <c r="AK515" s="701"/>
      <c r="AL515" s="701"/>
      <c r="AM515" s="701"/>
      <c r="AN515" s="701"/>
      <c r="AO515" s="701"/>
      <c r="AP515" s="701"/>
      <c r="AQ515" s="701"/>
      <c r="AR515" s="701"/>
      <c r="AS515" s="701"/>
      <c r="AT515" s="701"/>
      <c r="AU515" s="701"/>
      <c r="AV515" s="701"/>
      <c r="AW515" s="701"/>
      <c r="AX515" s="701"/>
      <c r="AY515" s="701"/>
      <c r="AZ515" s="701"/>
      <c r="BA515" s="701"/>
      <c r="BB515" s="701"/>
      <c r="BC515" s="701"/>
    </row>
    <row r="516" spans="1:256" s="702" customFormat="1" ht="35.1" customHeight="1">
      <c r="A516" s="703">
        <v>513</v>
      </c>
      <c r="B516" s="704" t="s">
        <v>2653</v>
      </c>
      <c r="C516" s="705" t="s">
        <v>685</v>
      </c>
      <c r="D516" s="706">
        <v>200000</v>
      </c>
      <c r="E516" s="709">
        <v>220000</v>
      </c>
      <c r="F516" s="707"/>
      <c r="G516" s="699"/>
      <c r="H516" s="700"/>
      <c r="I516" s="700"/>
      <c r="J516" s="700"/>
      <c r="K516" s="700"/>
      <c r="L516" s="700"/>
      <c r="M516" s="701"/>
      <c r="N516" s="701"/>
      <c r="O516" s="701"/>
      <c r="P516" s="701"/>
      <c r="Q516" s="701"/>
      <c r="R516" s="701"/>
      <c r="S516" s="701"/>
      <c r="T516" s="701"/>
      <c r="U516" s="701"/>
      <c r="V516" s="701"/>
      <c r="W516" s="701"/>
      <c r="X516" s="701"/>
      <c r="Y516" s="701"/>
      <c r="Z516" s="701"/>
      <c r="AA516" s="701"/>
      <c r="AB516" s="701"/>
      <c r="AC516" s="701"/>
      <c r="AD516" s="701"/>
      <c r="AE516" s="701"/>
      <c r="AF516" s="701"/>
      <c r="AG516" s="701"/>
      <c r="AH516" s="701"/>
      <c r="AI516" s="701"/>
      <c r="AJ516" s="701"/>
      <c r="AK516" s="701"/>
      <c r="AL516" s="701"/>
      <c r="AM516" s="701"/>
      <c r="AN516" s="701"/>
      <c r="AO516" s="701"/>
      <c r="AP516" s="701"/>
      <c r="AQ516" s="701"/>
      <c r="AR516" s="701"/>
      <c r="AS516" s="701"/>
      <c r="AT516" s="701"/>
      <c r="AU516" s="701"/>
      <c r="AV516" s="701"/>
      <c r="AW516" s="701"/>
      <c r="AX516" s="701"/>
      <c r="AY516" s="701"/>
      <c r="AZ516" s="701"/>
      <c r="BA516" s="701"/>
      <c r="BB516" s="701"/>
      <c r="BC516" s="701"/>
    </row>
    <row r="517" spans="1:256" s="724" customFormat="1" ht="35.1" customHeight="1">
      <c r="A517" s="703">
        <v>514</v>
      </c>
      <c r="B517" s="704" t="s">
        <v>2654</v>
      </c>
      <c r="C517" s="705" t="s">
        <v>2175</v>
      </c>
      <c r="D517" s="706">
        <v>300000</v>
      </c>
      <c r="E517" s="711">
        <v>300000</v>
      </c>
      <c r="F517" s="707"/>
      <c r="G517" s="699" t="s">
        <v>2514</v>
      </c>
      <c r="H517" s="682"/>
      <c r="I517" s="682"/>
      <c r="J517" s="682"/>
      <c r="K517" s="682"/>
      <c r="L517" s="682"/>
      <c r="M517" s="723"/>
      <c r="N517" s="723"/>
      <c r="O517" s="723"/>
      <c r="P517" s="723"/>
      <c r="Q517" s="723"/>
      <c r="R517" s="723"/>
      <c r="S517" s="723"/>
      <c r="T517" s="723"/>
      <c r="U517" s="723"/>
      <c r="V517" s="723"/>
      <c r="W517" s="723"/>
      <c r="X517" s="723"/>
      <c r="Y517" s="723"/>
      <c r="Z517" s="723"/>
      <c r="AA517" s="723"/>
      <c r="AB517" s="723"/>
      <c r="AC517" s="723"/>
      <c r="AD517" s="723"/>
      <c r="AE517" s="723"/>
      <c r="AF517" s="723"/>
      <c r="AG517" s="723"/>
      <c r="AH517" s="723"/>
      <c r="AI517" s="723"/>
      <c r="AJ517" s="723"/>
      <c r="AK517" s="723"/>
      <c r="AL517" s="723"/>
      <c r="AM517" s="723"/>
      <c r="AN517" s="723"/>
      <c r="AO517" s="723"/>
      <c r="AP517" s="723"/>
      <c r="AQ517" s="723"/>
      <c r="AR517" s="723"/>
      <c r="AS517" s="723"/>
      <c r="AT517" s="723"/>
      <c r="AU517" s="723"/>
      <c r="AV517" s="723"/>
      <c r="AW517" s="723"/>
      <c r="AX517" s="723"/>
      <c r="AY517" s="723"/>
      <c r="AZ517" s="723"/>
      <c r="BA517" s="723"/>
      <c r="BB517" s="723"/>
      <c r="BC517" s="723"/>
    </row>
    <row r="518" spans="1:256" ht="35.1" customHeight="1">
      <c r="A518" s="703">
        <v>515</v>
      </c>
      <c r="B518" s="704" t="s">
        <v>2655</v>
      </c>
      <c r="C518" s="705" t="s">
        <v>685</v>
      </c>
      <c r="D518" s="706">
        <v>250000</v>
      </c>
      <c r="E518" s="711">
        <v>250000</v>
      </c>
      <c r="F518" s="707"/>
      <c r="G518" s="712"/>
      <c r="H518" s="725"/>
      <c r="I518" s="726"/>
      <c r="J518" s="727"/>
      <c r="K518" s="727"/>
      <c r="L518" s="728"/>
      <c r="M518" s="729"/>
      <c r="N518" s="730"/>
      <c r="O518" s="731"/>
      <c r="P518" s="732"/>
      <c r="Q518" s="732"/>
      <c r="R518" s="733"/>
      <c r="S518" s="729"/>
      <c r="T518" s="730"/>
      <c r="U518" s="731"/>
      <c r="V518" s="732"/>
      <c r="W518" s="732"/>
      <c r="X518" s="733"/>
      <c r="Y518" s="729"/>
      <c r="Z518" s="730"/>
      <c r="AA518" s="731"/>
      <c r="AB518" s="732"/>
      <c r="AC518" s="732"/>
      <c r="AD518" s="733"/>
      <c r="AE518" s="729"/>
      <c r="AF518" s="730"/>
      <c r="AG518" s="731"/>
      <c r="AH518" s="732"/>
      <c r="AI518" s="732"/>
      <c r="AJ518" s="733"/>
      <c r="AK518" s="729"/>
      <c r="AL518" s="730"/>
      <c r="AM518" s="731"/>
      <c r="AN518" s="732"/>
      <c r="AO518" s="732"/>
      <c r="AP518" s="733"/>
      <c r="AQ518" s="729"/>
      <c r="AR518" s="730"/>
      <c r="AS518" s="731"/>
      <c r="AT518" s="732"/>
      <c r="AU518" s="732"/>
      <c r="AV518" s="733"/>
      <c r="AW518" s="729"/>
      <c r="AX518" s="730"/>
      <c r="AY518" s="731"/>
      <c r="AZ518" s="732"/>
      <c r="BA518" s="732"/>
      <c r="BB518" s="733"/>
      <c r="BC518" s="729"/>
      <c r="BD518" s="734"/>
      <c r="BE518" s="735"/>
      <c r="BF518" s="736"/>
      <c r="BG518" s="736"/>
      <c r="BH518" s="737"/>
      <c r="BI518" s="738"/>
      <c r="BJ518" s="739"/>
      <c r="BK518" s="735"/>
      <c r="BL518" s="736"/>
      <c r="BM518" s="736"/>
      <c r="BN518" s="737"/>
      <c r="BO518" s="738"/>
      <c r="BP518" s="739"/>
      <c r="BQ518" s="735"/>
      <c r="BR518" s="736"/>
      <c r="BS518" s="736"/>
      <c r="BT518" s="737"/>
      <c r="BU518" s="738"/>
      <c r="BV518" s="739"/>
      <c r="BW518" s="735"/>
      <c r="BX518" s="736"/>
      <c r="BY518" s="736"/>
      <c r="BZ518" s="737"/>
      <c r="CA518" s="738"/>
      <c r="CB518" s="739"/>
      <c r="CC518" s="735"/>
      <c r="CD518" s="736"/>
      <c r="CE518" s="736"/>
      <c r="CF518" s="737"/>
      <c r="CG518" s="738"/>
      <c r="CH518" s="739"/>
      <c r="CI518" s="735"/>
      <c r="CJ518" s="736"/>
      <c r="CK518" s="736"/>
      <c r="CL518" s="737"/>
      <c r="CM518" s="738"/>
      <c r="CN518" s="739"/>
      <c r="CO518" s="735"/>
      <c r="CP518" s="736"/>
      <c r="CQ518" s="736"/>
      <c r="CR518" s="737"/>
      <c r="CS518" s="738"/>
      <c r="CT518" s="739"/>
      <c r="CU518" s="735"/>
      <c r="CV518" s="736"/>
      <c r="CW518" s="736"/>
      <c r="CX518" s="737"/>
      <c r="CY518" s="738"/>
      <c r="CZ518" s="739"/>
      <c r="DA518" s="735"/>
      <c r="DB518" s="736"/>
      <c r="DC518" s="736"/>
      <c r="DD518" s="737"/>
      <c r="DE518" s="738"/>
      <c r="DF518" s="739"/>
      <c r="DG518" s="735"/>
      <c r="DH518" s="736"/>
      <c r="DI518" s="736"/>
      <c r="DJ518" s="737"/>
      <c r="DK518" s="738"/>
      <c r="DL518" s="739"/>
      <c r="DM518" s="735"/>
      <c r="DN518" s="736"/>
      <c r="DO518" s="736"/>
      <c r="DP518" s="737"/>
      <c r="DQ518" s="738"/>
      <c r="DR518" s="739"/>
      <c r="DS518" s="735"/>
      <c r="DT518" s="736"/>
      <c r="DU518" s="736"/>
      <c r="DV518" s="737"/>
      <c r="DW518" s="738"/>
      <c r="DX518" s="739"/>
      <c r="DY518" s="735"/>
      <c r="DZ518" s="736"/>
      <c r="EA518" s="736"/>
      <c r="EB518" s="737"/>
      <c r="EC518" s="738"/>
      <c r="ED518" s="739"/>
      <c r="EE518" s="735"/>
      <c r="EF518" s="736"/>
      <c r="EG518" s="736"/>
      <c r="EH518" s="737"/>
      <c r="EI518" s="738"/>
      <c r="EJ518" s="739"/>
      <c r="EK518" s="735"/>
      <c r="EL518" s="736"/>
      <c r="EM518" s="736"/>
      <c r="EN518" s="737"/>
      <c r="EO518" s="738"/>
      <c r="EP518" s="739"/>
      <c r="EQ518" s="735"/>
      <c r="ER518" s="736"/>
      <c r="ES518" s="736"/>
      <c r="ET518" s="737"/>
      <c r="EU518" s="738"/>
      <c r="EV518" s="739"/>
      <c r="EW518" s="735"/>
      <c r="EX518" s="736"/>
      <c r="EY518" s="736"/>
      <c r="EZ518" s="737"/>
      <c r="FA518" s="738"/>
      <c r="FB518" s="739"/>
      <c r="FC518" s="735"/>
      <c r="FD518" s="736"/>
      <c r="FE518" s="736"/>
      <c r="FF518" s="737"/>
      <c r="FG518" s="738"/>
      <c r="FH518" s="739"/>
      <c r="FI518" s="735"/>
      <c r="FJ518" s="736"/>
      <c r="FK518" s="736"/>
      <c r="FL518" s="737"/>
      <c r="FM518" s="738"/>
      <c r="FN518" s="739"/>
      <c r="FO518" s="735"/>
      <c r="FP518" s="736"/>
      <c r="FQ518" s="736"/>
      <c r="FR518" s="737"/>
      <c r="FS518" s="738"/>
      <c r="FT518" s="739"/>
      <c r="FU518" s="735"/>
      <c r="FV518" s="736"/>
      <c r="FW518" s="736"/>
      <c r="FX518" s="737"/>
      <c r="FY518" s="738"/>
      <c r="FZ518" s="739"/>
      <c r="GA518" s="735"/>
      <c r="GB518" s="736"/>
      <c r="GC518" s="736"/>
      <c r="GD518" s="737"/>
      <c r="GE518" s="738"/>
      <c r="GF518" s="739"/>
      <c r="GG518" s="735"/>
      <c r="GH518" s="736"/>
      <c r="GI518" s="736"/>
      <c r="GJ518" s="737"/>
      <c r="GK518" s="738"/>
      <c r="GL518" s="739"/>
      <c r="GM518" s="735"/>
      <c r="GN518" s="736"/>
      <c r="GO518" s="736"/>
      <c r="GP518" s="737"/>
      <c r="GQ518" s="738"/>
      <c r="GR518" s="739"/>
      <c r="GS518" s="735"/>
      <c r="GT518" s="736"/>
      <c r="GU518" s="736"/>
      <c r="GV518" s="737"/>
      <c r="GW518" s="738"/>
      <c r="GX518" s="739"/>
      <c r="GY518" s="735"/>
      <c r="GZ518" s="736"/>
      <c r="HA518" s="736"/>
      <c r="HB518" s="737"/>
      <c r="HC518" s="738"/>
      <c r="HD518" s="739"/>
      <c r="HE518" s="735"/>
      <c r="HF518" s="736"/>
      <c r="HG518" s="736"/>
      <c r="HH518" s="737"/>
      <c r="HI518" s="738"/>
      <c r="HJ518" s="739"/>
      <c r="HK518" s="735"/>
      <c r="HL518" s="736"/>
      <c r="HM518" s="736"/>
      <c r="HN518" s="737"/>
      <c r="HO518" s="738"/>
      <c r="HP518" s="739"/>
      <c r="HQ518" s="735"/>
      <c r="HR518" s="736"/>
      <c r="HS518" s="736"/>
      <c r="HT518" s="737"/>
      <c r="HU518" s="738"/>
      <c r="HV518" s="739"/>
      <c r="HW518" s="735"/>
      <c r="HX518" s="736"/>
      <c r="HY518" s="736"/>
      <c r="HZ518" s="737"/>
      <c r="IA518" s="738"/>
      <c r="IB518" s="739"/>
      <c r="IC518" s="735"/>
      <c r="ID518" s="736"/>
      <c r="IE518" s="736"/>
      <c r="IF518" s="737"/>
      <c r="IG518" s="738"/>
      <c r="IH518" s="739"/>
      <c r="II518" s="735"/>
      <c r="IJ518" s="736"/>
      <c r="IK518" s="736"/>
      <c r="IL518" s="737"/>
      <c r="IM518" s="738"/>
      <c r="IN518" s="739"/>
      <c r="IO518" s="735"/>
      <c r="IP518" s="736"/>
      <c r="IQ518" s="736"/>
      <c r="IR518" s="737"/>
      <c r="IS518" s="738"/>
      <c r="IT518" s="739"/>
      <c r="IU518" s="735"/>
      <c r="IV518" s="736"/>
    </row>
    <row r="519" spans="1:256" ht="35.1" customHeight="1">
      <c r="A519" s="703">
        <v>516</v>
      </c>
      <c r="B519" s="704" t="s">
        <v>2656</v>
      </c>
      <c r="C519" s="705" t="s">
        <v>685</v>
      </c>
      <c r="D519" s="706">
        <v>150000</v>
      </c>
      <c r="E519" s="711">
        <v>150000</v>
      </c>
      <c r="F519" s="707"/>
      <c r="G519" s="712"/>
      <c r="H519" s="725"/>
      <c r="I519" s="726"/>
      <c r="J519" s="727"/>
      <c r="K519" s="727"/>
      <c r="L519" s="728"/>
      <c r="M519" s="729"/>
      <c r="N519" s="730"/>
      <c r="O519" s="731"/>
      <c r="P519" s="732"/>
      <c r="Q519" s="732"/>
      <c r="R519" s="733"/>
      <c r="S519" s="729"/>
      <c r="T519" s="730"/>
      <c r="U519" s="731"/>
      <c r="V519" s="732"/>
      <c r="W519" s="732"/>
      <c r="X519" s="733"/>
      <c r="Y519" s="729"/>
      <c r="Z519" s="730"/>
      <c r="AA519" s="731"/>
      <c r="AB519" s="732"/>
      <c r="AC519" s="732"/>
      <c r="AD519" s="733"/>
      <c r="AE519" s="729"/>
      <c r="AF519" s="730"/>
      <c r="AG519" s="731"/>
      <c r="AH519" s="732"/>
      <c r="AI519" s="732"/>
      <c r="AJ519" s="733"/>
      <c r="AK519" s="729"/>
      <c r="AL519" s="730"/>
      <c r="AM519" s="731"/>
      <c r="AN519" s="732"/>
      <c r="AO519" s="732"/>
      <c r="AP519" s="733"/>
      <c r="AQ519" s="729"/>
      <c r="AR519" s="730"/>
      <c r="AS519" s="731"/>
      <c r="AT519" s="732"/>
      <c r="AU519" s="732"/>
      <c r="AV519" s="733"/>
      <c r="AW519" s="729"/>
      <c r="AX519" s="730"/>
      <c r="AY519" s="731"/>
      <c r="AZ519" s="732"/>
      <c r="BA519" s="732"/>
      <c r="BB519" s="733"/>
      <c r="BC519" s="729"/>
      <c r="BD519" s="734"/>
      <c r="BE519" s="735"/>
      <c r="BF519" s="736"/>
      <c r="BG519" s="736"/>
      <c r="BH519" s="737"/>
      <c r="BI519" s="738"/>
      <c r="BJ519" s="739"/>
      <c r="BK519" s="735"/>
      <c r="BL519" s="736"/>
      <c r="BM519" s="736"/>
      <c r="BN519" s="737"/>
      <c r="BO519" s="738"/>
      <c r="BP519" s="739"/>
      <c r="BQ519" s="735"/>
      <c r="BR519" s="736"/>
      <c r="BS519" s="736"/>
      <c r="BT519" s="737"/>
      <c r="BU519" s="738"/>
      <c r="BV519" s="739"/>
      <c r="BW519" s="735"/>
      <c r="BX519" s="736"/>
      <c r="BY519" s="736"/>
      <c r="BZ519" s="737"/>
      <c r="CA519" s="738"/>
      <c r="CB519" s="739"/>
      <c r="CC519" s="735"/>
      <c r="CD519" s="736"/>
      <c r="CE519" s="736"/>
      <c r="CF519" s="737"/>
      <c r="CG519" s="738"/>
      <c r="CH519" s="739"/>
      <c r="CI519" s="735"/>
      <c r="CJ519" s="736"/>
      <c r="CK519" s="736"/>
      <c r="CL519" s="737"/>
      <c r="CM519" s="738"/>
      <c r="CN519" s="739"/>
      <c r="CO519" s="735"/>
      <c r="CP519" s="736"/>
      <c r="CQ519" s="736"/>
      <c r="CR519" s="737"/>
      <c r="CS519" s="738"/>
      <c r="CT519" s="739"/>
      <c r="CU519" s="735"/>
      <c r="CV519" s="736"/>
      <c r="CW519" s="736"/>
      <c r="CX519" s="737"/>
      <c r="CY519" s="738"/>
      <c r="CZ519" s="739"/>
      <c r="DA519" s="735"/>
      <c r="DB519" s="736"/>
      <c r="DC519" s="736"/>
      <c r="DD519" s="737"/>
      <c r="DE519" s="738"/>
      <c r="DF519" s="739"/>
      <c r="DG519" s="735"/>
      <c r="DH519" s="736"/>
      <c r="DI519" s="736"/>
      <c r="DJ519" s="737"/>
      <c r="DK519" s="738"/>
      <c r="DL519" s="739"/>
      <c r="DM519" s="735"/>
      <c r="DN519" s="736"/>
      <c r="DO519" s="736"/>
      <c r="DP519" s="737"/>
      <c r="DQ519" s="738"/>
      <c r="DR519" s="739"/>
      <c r="DS519" s="735"/>
      <c r="DT519" s="736"/>
      <c r="DU519" s="736"/>
      <c r="DV519" s="737"/>
      <c r="DW519" s="738"/>
      <c r="DX519" s="739"/>
      <c r="DY519" s="735"/>
      <c r="DZ519" s="736"/>
      <c r="EA519" s="736"/>
      <c r="EB519" s="737"/>
      <c r="EC519" s="738"/>
      <c r="ED519" s="739"/>
      <c r="EE519" s="735"/>
      <c r="EF519" s="736"/>
      <c r="EG519" s="736"/>
      <c r="EH519" s="737"/>
      <c r="EI519" s="738"/>
      <c r="EJ519" s="739"/>
      <c r="EK519" s="735"/>
      <c r="EL519" s="736"/>
      <c r="EM519" s="736"/>
      <c r="EN519" s="737"/>
      <c r="EO519" s="738"/>
      <c r="EP519" s="739"/>
      <c r="EQ519" s="735"/>
      <c r="ER519" s="736"/>
      <c r="ES519" s="736"/>
      <c r="ET519" s="737"/>
      <c r="EU519" s="738"/>
      <c r="EV519" s="739"/>
      <c r="EW519" s="735"/>
      <c r="EX519" s="736"/>
      <c r="EY519" s="736"/>
      <c r="EZ519" s="737"/>
      <c r="FA519" s="738"/>
      <c r="FB519" s="739"/>
      <c r="FC519" s="735"/>
      <c r="FD519" s="736"/>
      <c r="FE519" s="736"/>
      <c r="FF519" s="737"/>
      <c r="FG519" s="738"/>
      <c r="FH519" s="739"/>
      <c r="FI519" s="735"/>
      <c r="FJ519" s="736"/>
      <c r="FK519" s="736"/>
      <c r="FL519" s="737"/>
      <c r="FM519" s="738"/>
      <c r="FN519" s="739"/>
      <c r="FO519" s="735"/>
      <c r="FP519" s="736"/>
      <c r="FQ519" s="736"/>
      <c r="FR519" s="737"/>
      <c r="FS519" s="738"/>
      <c r="FT519" s="739"/>
      <c r="FU519" s="735"/>
      <c r="FV519" s="736"/>
      <c r="FW519" s="736"/>
      <c r="FX519" s="737"/>
      <c r="FY519" s="738"/>
      <c r="FZ519" s="739"/>
      <c r="GA519" s="735"/>
      <c r="GB519" s="736"/>
      <c r="GC519" s="736"/>
      <c r="GD519" s="737"/>
      <c r="GE519" s="738"/>
      <c r="GF519" s="739"/>
      <c r="GG519" s="735"/>
      <c r="GH519" s="736"/>
      <c r="GI519" s="736"/>
      <c r="GJ519" s="737"/>
      <c r="GK519" s="738"/>
      <c r="GL519" s="739"/>
      <c r="GM519" s="735"/>
      <c r="GN519" s="736"/>
      <c r="GO519" s="736"/>
      <c r="GP519" s="737"/>
      <c r="GQ519" s="738"/>
      <c r="GR519" s="739"/>
      <c r="GS519" s="735"/>
      <c r="GT519" s="736"/>
      <c r="GU519" s="736"/>
      <c r="GV519" s="737"/>
      <c r="GW519" s="738"/>
      <c r="GX519" s="739"/>
      <c r="GY519" s="735"/>
      <c r="GZ519" s="736"/>
      <c r="HA519" s="736"/>
      <c r="HB519" s="737"/>
      <c r="HC519" s="738"/>
      <c r="HD519" s="739"/>
      <c r="HE519" s="735"/>
      <c r="HF519" s="736"/>
      <c r="HG519" s="736"/>
      <c r="HH519" s="737"/>
      <c r="HI519" s="738"/>
      <c r="HJ519" s="739"/>
      <c r="HK519" s="735"/>
      <c r="HL519" s="736"/>
      <c r="HM519" s="736"/>
      <c r="HN519" s="737"/>
      <c r="HO519" s="738"/>
      <c r="HP519" s="739"/>
      <c r="HQ519" s="735"/>
      <c r="HR519" s="736"/>
      <c r="HS519" s="736"/>
      <c r="HT519" s="737"/>
      <c r="HU519" s="738"/>
      <c r="HV519" s="739"/>
      <c r="HW519" s="735"/>
      <c r="HX519" s="736"/>
      <c r="HY519" s="736"/>
      <c r="HZ519" s="737"/>
      <c r="IA519" s="738"/>
      <c r="IB519" s="739"/>
      <c r="IC519" s="735"/>
      <c r="ID519" s="736"/>
      <c r="IE519" s="736"/>
      <c r="IF519" s="737"/>
      <c r="IG519" s="738"/>
      <c r="IH519" s="739"/>
      <c r="II519" s="735"/>
      <c r="IJ519" s="736"/>
      <c r="IK519" s="736"/>
      <c r="IL519" s="737"/>
      <c r="IM519" s="738"/>
      <c r="IN519" s="739"/>
      <c r="IO519" s="735"/>
      <c r="IP519" s="736"/>
      <c r="IQ519" s="736"/>
      <c r="IR519" s="737"/>
      <c r="IS519" s="738"/>
      <c r="IT519" s="739"/>
      <c r="IU519" s="735"/>
      <c r="IV519" s="736"/>
    </row>
    <row r="520" spans="1:256" ht="35.1" customHeight="1" thickBot="1">
      <c r="A520" s="740"/>
      <c r="B520" s="741"/>
      <c r="C520" s="741"/>
      <c r="D520" s="742"/>
      <c r="E520" s="742"/>
      <c r="F520" s="743"/>
      <c r="G520" s="744"/>
    </row>
  </sheetData>
  <mergeCells count="1">
    <mergeCell ref="A1:G1"/>
  </mergeCells>
  <pageMargins left="0.7" right="0.7" top="0.75" bottom="0.75" header="0.3" footer="0.3"/>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92D050"/>
  </sheetPr>
  <dimension ref="A1:U848"/>
  <sheetViews>
    <sheetView topLeftCell="A28" workbookViewId="0">
      <selection activeCell="R37" sqref="R37"/>
    </sheetView>
  </sheetViews>
  <sheetFormatPr defaultColWidth="9.140625" defaultRowHeight="15.75"/>
  <cols>
    <col min="1" max="1" width="9.140625" style="820" customWidth="1"/>
    <col min="2" max="2" width="9.140625" style="820" hidden="1" customWidth="1"/>
    <col min="3" max="3" width="34.85546875" style="745" customWidth="1"/>
    <col min="4" max="4" width="11.28515625" style="821" customWidth="1"/>
    <col min="5" max="5" width="12.140625" style="822" bestFit="1" customWidth="1"/>
    <col min="6" max="6" width="20.140625" style="822" hidden="1" customWidth="1"/>
    <col min="7" max="7" width="16.140625" style="822" hidden="1" customWidth="1"/>
    <col min="8" max="8" width="41.42578125" style="823" customWidth="1"/>
    <col min="9" max="9" width="21.7109375" style="745" hidden="1" customWidth="1"/>
    <col min="10" max="10" width="13.7109375" style="745" hidden="1" customWidth="1"/>
    <col min="11" max="11" width="15.140625" style="746" hidden="1" customWidth="1"/>
    <col min="12" max="12" width="18.85546875" style="745" hidden="1" customWidth="1"/>
    <col min="13" max="15" width="0" style="745" hidden="1" customWidth="1"/>
    <col min="16" max="18" width="9.140625" style="745"/>
    <col min="19" max="26" width="0" style="745" hidden="1" customWidth="1"/>
    <col min="27" max="16384" width="9.140625" style="745"/>
  </cols>
  <sheetData>
    <row r="1" spans="1:11" ht="49.5" customHeight="1">
      <c r="A1" s="1740" t="s">
        <v>2657</v>
      </c>
      <c r="B1" s="1740"/>
      <c r="C1" s="1740"/>
      <c r="D1" s="1740"/>
      <c r="E1" s="1740"/>
      <c r="F1" s="1740"/>
      <c r="G1" s="1740"/>
      <c r="H1" s="1740"/>
    </row>
    <row r="2" spans="1:11">
      <c r="A2" s="747"/>
      <c r="B2" s="747"/>
      <c r="C2" s="747"/>
      <c r="D2" s="748"/>
      <c r="E2" s="749"/>
      <c r="F2" s="749"/>
      <c r="G2" s="749"/>
      <c r="H2" s="750"/>
    </row>
    <row r="3" spans="1:11">
      <c r="A3" s="751" t="s">
        <v>51</v>
      </c>
      <c r="B3" s="751" t="s">
        <v>2658</v>
      </c>
      <c r="C3" s="751" t="s">
        <v>2659</v>
      </c>
      <c r="D3" s="751" t="s">
        <v>1719</v>
      </c>
      <c r="E3" s="752" t="s">
        <v>2660</v>
      </c>
      <c r="F3" s="752" t="s">
        <v>2661</v>
      </c>
      <c r="G3" s="752" t="s">
        <v>2662</v>
      </c>
      <c r="H3" s="753" t="s">
        <v>401</v>
      </c>
      <c r="I3" s="745" t="s">
        <v>2663</v>
      </c>
      <c r="K3" s="746" t="s">
        <v>2660</v>
      </c>
    </row>
    <row r="4" spans="1:11">
      <c r="A4" s="754"/>
      <c r="B4" s="754"/>
      <c r="C4" s="755" t="s">
        <v>2664</v>
      </c>
      <c r="D4" s="756"/>
      <c r="E4" s="757"/>
      <c r="F4" s="758"/>
      <c r="G4" s="758"/>
      <c r="H4" s="759"/>
    </row>
    <row r="5" spans="1:11">
      <c r="A5" s="754">
        <v>1</v>
      </c>
      <c r="B5" s="754"/>
      <c r="C5" s="760" t="s">
        <v>2665</v>
      </c>
      <c r="D5" s="761" t="s">
        <v>680</v>
      </c>
      <c r="E5" s="762">
        <v>54500000</v>
      </c>
      <c r="F5" s="758"/>
      <c r="G5" s="758"/>
      <c r="H5" s="763" t="s">
        <v>2666</v>
      </c>
      <c r="K5" s="746">
        <v>54500000</v>
      </c>
    </row>
    <row r="6" spans="1:11" ht="31.5">
      <c r="A6" s="754">
        <v>2</v>
      </c>
      <c r="B6" s="754"/>
      <c r="C6" s="760" t="s">
        <v>2667</v>
      </c>
      <c r="D6" s="761" t="s">
        <v>655</v>
      </c>
      <c r="E6" s="762">
        <v>2500</v>
      </c>
      <c r="F6" s="762"/>
      <c r="G6" s="762"/>
      <c r="H6" s="763" t="s">
        <v>2668</v>
      </c>
      <c r="I6" s="764"/>
      <c r="K6" s="746">
        <v>2500</v>
      </c>
    </row>
    <row r="7" spans="1:11">
      <c r="A7" s="754">
        <v>3</v>
      </c>
      <c r="B7" s="754"/>
      <c r="C7" s="760" t="s">
        <v>2669</v>
      </c>
      <c r="D7" s="761" t="s">
        <v>1722</v>
      </c>
      <c r="E7" s="762">
        <v>1348822</v>
      </c>
      <c r="F7" s="762"/>
      <c r="G7" s="762"/>
      <c r="H7" s="765" t="s">
        <v>2670</v>
      </c>
      <c r="K7" s="746">
        <v>1348822</v>
      </c>
    </row>
    <row r="8" spans="1:11">
      <c r="A8" s="754">
        <v>4</v>
      </c>
      <c r="B8" s="754"/>
      <c r="C8" s="760" t="s">
        <v>2671</v>
      </c>
      <c r="D8" s="766" t="s">
        <v>1722</v>
      </c>
      <c r="E8" s="762">
        <v>1385185</v>
      </c>
      <c r="F8" s="762"/>
      <c r="G8" s="762"/>
      <c r="H8" s="765" t="s">
        <v>2670</v>
      </c>
      <c r="K8" s="746">
        <v>1385185</v>
      </c>
    </row>
    <row r="9" spans="1:11">
      <c r="A9" s="754">
        <v>5</v>
      </c>
      <c r="B9" s="754"/>
      <c r="C9" s="760" t="s">
        <v>1724</v>
      </c>
      <c r="D9" s="761" t="s">
        <v>1722</v>
      </c>
      <c r="E9" s="762">
        <v>1439731</v>
      </c>
      <c r="F9" s="762"/>
      <c r="G9" s="762"/>
      <c r="H9" s="765" t="s">
        <v>2670</v>
      </c>
      <c r="K9" s="746">
        <v>1439731</v>
      </c>
    </row>
    <row r="10" spans="1:11">
      <c r="A10" s="754">
        <v>6</v>
      </c>
      <c r="B10" s="754"/>
      <c r="C10" s="760" t="s">
        <v>1726</v>
      </c>
      <c r="D10" s="766" t="s">
        <v>1722</v>
      </c>
      <c r="E10" s="762">
        <v>1494276</v>
      </c>
      <c r="F10" s="762"/>
      <c r="G10" s="762"/>
      <c r="H10" s="765" t="s">
        <v>2670</v>
      </c>
      <c r="K10" s="746">
        <v>1494276</v>
      </c>
    </row>
    <row r="11" spans="1:11">
      <c r="A11" s="754">
        <v>7</v>
      </c>
      <c r="B11" s="754"/>
      <c r="C11" s="760" t="s">
        <v>2672</v>
      </c>
      <c r="D11" s="761" t="s">
        <v>1722</v>
      </c>
      <c r="E11" s="762">
        <v>1548822</v>
      </c>
      <c r="F11" s="762"/>
      <c r="G11" s="762"/>
      <c r="H11" s="765" t="s">
        <v>2670</v>
      </c>
      <c r="K11" s="746">
        <v>1548822</v>
      </c>
    </row>
    <row r="12" spans="1:11">
      <c r="A12" s="754">
        <v>8</v>
      </c>
      <c r="B12" s="754"/>
      <c r="C12" s="760" t="s">
        <v>2673</v>
      </c>
      <c r="D12" s="761" t="s">
        <v>1722</v>
      </c>
      <c r="E12" s="762">
        <v>1657912</v>
      </c>
      <c r="F12" s="762"/>
      <c r="G12" s="762"/>
      <c r="H12" s="765" t="s">
        <v>2670</v>
      </c>
      <c r="I12" s="764"/>
      <c r="K12" s="746">
        <v>1657912</v>
      </c>
    </row>
    <row r="13" spans="1:11">
      <c r="A13" s="754">
        <v>9</v>
      </c>
      <c r="B13" s="754"/>
      <c r="C13" s="760" t="s">
        <v>1759</v>
      </c>
      <c r="D13" s="761" t="s">
        <v>1730</v>
      </c>
      <c r="E13" s="762">
        <v>14735</v>
      </c>
      <c r="F13" s="762"/>
      <c r="G13" s="762"/>
      <c r="H13" s="765" t="s">
        <v>2674</v>
      </c>
      <c r="K13" s="746">
        <v>13880</v>
      </c>
    </row>
    <row r="14" spans="1:11">
      <c r="A14" s="754">
        <v>10</v>
      </c>
      <c r="B14" s="754"/>
      <c r="C14" s="760" t="s">
        <v>1761</v>
      </c>
      <c r="D14" s="761" t="s">
        <v>1730</v>
      </c>
      <c r="E14" s="762">
        <v>13919</v>
      </c>
      <c r="F14" s="762"/>
      <c r="G14" s="757"/>
      <c r="H14" s="765" t="s">
        <v>2674</v>
      </c>
      <c r="K14" s="746">
        <v>11180</v>
      </c>
    </row>
    <row r="15" spans="1:11" ht="31.5">
      <c r="A15" s="754">
        <v>11</v>
      </c>
      <c r="B15" s="754"/>
      <c r="C15" s="760" t="s">
        <v>2675</v>
      </c>
      <c r="D15" s="766" t="s">
        <v>655</v>
      </c>
      <c r="E15" s="762">
        <v>10000</v>
      </c>
      <c r="F15" s="762"/>
      <c r="G15" s="757"/>
      <c r="H15" s="763" t="s">
        <v>2668</v>
      </c>
      <c r="K15" s="746">
        <v>10000</v>
      </c>
    </row>
    <row r="16" spans="1:11" ht="31.5">
      <c r="A16" s="754">
        <v>12</v>
      </c>
      <c r="B16" s="754"/>
      <c r="C16" s="760" t="s">
        <v>2676</v>
      </c>
      <c r="D16" s="761" t="s">
        <v>624</v>
      </c>
      <c r="E16" s="762">
        <v>10000</v>
      </c>
      <c r="F16" s="762"/>
      <c r="G16" s="757"/>
      <c r="H16" s="763" t="s">
        <v>2668</v>
      </c>
      <c r="K16" s="746">
        <v>10000</v>
      </c>
    </row>
    <row r="17" spans="1:11">
      <c r="A17" s="754">
        <v>13</v>
      </c>
      <c r="B17" s="754"/>
      <c r="C17" s="760" t="s">
        <v>2677</v>
      </c>
      <c r="D17" s="761" t="s">
        <v>624</v>
      </c>
      <c r="E17" s="762">
        <v>11800</v>
      </c>
      <c r="F17" s="762"/>
      <c r="G17" s="757"/>
      <c r="H17" s="763"/>
      <c r="K17" s="746">
        <v>10000</v>
      </c>
    </row>
    <row r="18" spans="1:11">
      <c r="A18" s="754">
        <v>14</v>
      </c>
      <c r="B18" s="754"/>
      <c r="C18" s="760" t="s">
        <v>2678</v>
      </c>
      <c r="D18" s="761" t="s">
        <v>624</v>
      </c>
      <c r="E18" s="762">
        <v>27000</v>
      </c>
      <c r="F18" s="762"/>
      <c r="G18" s="757"/>
      <c r="H18" s="763"/>
      <c r="K18" s="746">
        <v>10000</v>
      </c>
    </row>
    <row r="19" spans="1:11">
      <c r="A19" s="754">
        <v>15</v>
      </c>
      <c r="B19" s="754"/>
      <c r="C19" s="760" t="s">
        <v>2679</v>
      </c>
      <c r="D19" s="761" t="s">
        <v>624</v>
      </c>
      <c r="E19" s="762">
        <v>38858</v>
      </c>
      <c r="F19" s="762"/>
      <c r="G19" s="757"/>
      <c r="H19" s="763"/>
      <c r="K19" s="746">
        <v>10000</v>
      </c>
    </row>
    <row r="20" spans="1:11">
      <c r="A20" s="754">
        <v>16</v>
      </c>
      <c r="B20" s="754"/>
      <c r="C20" s="760" t="s">
        <v>2680</v>
      </c>
      <c r="D20" s="761" t="s">
        <v>624</v>
      </c>
      <c r="E20" s="762">
        <v>60300</v>
      </c>
      <c r="F20" s="762"/>
      <c r="G20" s="757"/>
      <c r="H20" s="763"/>
      <c r="K20" s="746">
        <v>10000</v>
      </c>
    </row>
    <row r="21" spans="1:11">
      <c r="A21" s="754">
        <v>17</v>
      </c>
      <c r="B21" s="754"/>
      <c r="C21" s="760" t="s">
        <v>2681</v>
      </c>
      <c r="D21" s="761" t="s">
        <v>624</v>
      </c>
      <c r="E21" s="762">
        <v>104800</v>
      </c>
      <c r="F21" s="762"/>
      <c r="G21" s="757"/>
      <c r="H21" s="763"/>
      <c r="K21" s="746">
        <v>10000</v>
      </c>
    </row>
    <row r="22" spans="1:11">
      <c r="A22" s="754">
        <v>18</v>
      </c>
      <c r="B22" s="754"/>
      <c r="C22" s="760" t="s">
        <v>2682</v>
      </c>
      <c r="D22" s="761" t="s">
        <v>624</v>
      </c>
      <c r="E22" s="762">
        <v>236700</v>
      </c>
      <c r="F22" s="762"/>
      <c r="G22" s="757"/>
      <c r="H22" s="763"/>
      <c r="K22" s="746">
        <v>10000</v>
      </c>
    </row>
    <row r="23" spans="1:11">
      <c r="A23" s="754">
        <v>19</v>
      </c>
      <c r="B23" s="754"/>
      <c r="C23" s="760" t="s">
        <v>2683</v>
      </c>
      <c r="D23" s="761" t="s">
        <v>624</v>
      </c>
      <c r="E23" s="762">
        <v>382300</v>
      </c>
      <c r="F23" s="762"/>
      <c r="G23" s="757"/>
      <c r="H23" s="763"/>
      <c r="K23" s="746">
        <v>10000</v>
      </c>
    </row>
    <row r="24" spans="1:11" ht="31.5">
      <c r="A24" s="754">
        <v>20</v>
      </c>
      <c r="B24" s="754"/>
      <c r="C24" s="760" t="s">
        <v>1764</v>
      </c>
      <c r="D24" s="766" t="s">
        <v>655</v>
      </c>
      <c r="E24" s="762">
        <v>5000</v>
      </c>
      <c r="F24" s="762"/>
      <c r="G24" s="757"/>
      <c r="H24" s="763" t="s">
        <v>2668</v>
      </c>
      <c r="K24" s="746">
        <v>5000</v>
      </c>
    </row>
    <row r="25" spans="1:11" ht="31.5">
      <c r="A25" s="754">
        <v>21</v>
      </c>
      <c r="B25" s="754"/>
      <c r="C25" s="760" t="s">
        <v>2684</v>
      </c>
      <c r="D25" s="766" t="s">
        <v>627</v>
      </c>
      <c r="E25" s="762">
        <v>8000</v>
      </c>
      <c r="F25" s="762"/>
      <c r="G25" s="757"/>
      <c r="H25" s="763" t="s">
        <v>2668</v>
      </c>
      <c r="K25" s="746">
        <v>8000</v>
      </c>
    </row>
    <row r="26" spans="1:11" ht="31.5">
      <c r="A26" s="754">
        <v>22</v>
      </c>
      <c r="B26" s="754"/>
      <c r="C26" s="760" t="s">
        <v>2685</v>
      </c>
      <c r="D26" s="766" t="s">
        <v>627</v>
      </c>
      <c r="E26" s="762">
        <v>7000</v>
      </c>
      <c r="F26" s="762"/>
      <c r="G26" s="757"/>
      <c r="H26" s="763" t="s">
        <v>2668</v>
      </c>
      <c r="K26" s="746">
        <v>7000</v>
      </c>
    </row>
    <row r="27" spans="1:11" ht="31.5">
      <c r="A27" s="754">
        <v>23</v>
      </c>
      <c r="B27" s="754"/>
      <c r="C27" s="760" t="s">
        <v>2686</v>
      </c>
      <c r="D27" s="761" t="s">
        <v>1722</v>
      </c>
      <c r="E27" s="762">
        <v>395000</v>
      </c>
      <c r="F27" s="762"/>
      <c r="G27" s="757"/>
      <c r="H27" s="767" t="s">
        <v>2687</v>
      </c>
      <c r="I27" s="764"/>
      <c r="K27" s="746">
        <v>395000</v>
      </c>
    </row>
    <row r="28" spans="1:11" ht="31.5">
      <c r="A28" s="754">
        <v>24</v>
      </c>
      <c r="B28" s="754"/>
      <c r="C28" s="760" t="s">
        <v>1766</v>
      </c>
      <c r="D28" s="761" t="s">
        <v>1722</v>
      </c>
      <c r="E28" s="762">
        <v>305000</v>
      </c>
      <c r="F28" s="762"/>
      <c r="G28" s="757"/>
      <c r="H28" s="767" t="s">
        <v>2687</v>
      </c>
      <c r="K28" s="746">
        <v>305000</v>
      </c>
    </row>
    <row r="29" spans="1:11" ht="31.5">
      <c r="A29" s="754">
        <v>25</v>
      </c>
      <c r="B29" s="754"/>
      <c r="C29" s="760" t="s">
        <v>1727</v>
      </c>
      <c r="D29" s="761" t="s">
        <v>1722</v>
      </c>
      <c r="E29" s="762">
        <v>410000</v>
      </c>
      <c r="F29" s="762"/>
      <c r="G29" s="757"/>
      <c r="H29" s="767" t="s">
        <v>2687</v>
      </c>
      <c r="K29" s="746">
        <v>410000</v>
      </c>
    </row>
    <row r="30" spans="1:11" ht="31.5">
      <c r="A30" s="754">
        <v>26</v>
      </c>
      <c r="B30" s="754"/>
      <c r="C30" s="760" t="s">
        <v>2688</v>
      </c>
      <c r="D30" s="761" t="s">
        <v>685</v>
      </c>
      <c r="E30" s="762"/>
      <c r="F30" s="762"/>
      <c r="G30" s="757"/>
      <c r="H30" s="767" t="s">
        <v>2689</v>
      </c>
    </row>
    <row r="31" spans="1:11" ht="31.5">
      <c r="A31" s="754">
        <v>27</v>
      </c>
      <c r="B31" s="754"/>
      <c r="C31" s="760" t="s">
        <v>2690</v>
      </c>
      <c r="D31" s="761"/>
      <c r="E31" s="762">
        <v>268000</v>
      </c>
      <c r="F31" s="762"/>
      <c r="G31" s="757"/>
      <c r="H31" s="767" t="s">
        <v>2691</v>
      </c>
      <c r="K31" s="746">
        <v>268000</v>
      </c>
    </row>
    <row r="32" spans="1:11">
      <c r="A32" s="754">
        <v>28</v>
      </c>
      <c r="B32" s="754"/>
      <c r="C32" s="760" t="s">
        <v>1729</v>
      </c>
      <c r="D32" s="761" t="s">
        <v>1730</v>
      </c>
      <c r="E32" s="762">
        <v>18350</v>
      </c>
      <c r="F32" s="762"/>
      <c r="G32" s="757"/>
      <c r="H32" s="763"/>
      <c r="K32" s="746">
        <v>16050</v>
      </c>
    </row>
    <row r="33" spans="1:11" s="774" customFormat="1" ht="30">
      <c r="A33" s="768">
        <v>29</v>
      </c>
      <c r="B33" s="768"/>
      <c r="C33" s="769" t="s">
        <v>2692</v>
      </c>
      <c r="D33" s="770" t="s">
        <v>677</v>
      </c>
      <c r="E33" s="771">
        <v>2500000</v>
      </c>
      <c r="F33" s="771"/>
      <c r="G33" s="772"/>
      <c r="H33" s="773" t="s">
        <v>198</v>
      </c>
      <c r="K33" s="775">
        <v>4500000</v>
      </c>
    </row>
    <row r="34" spans="1:11" ht="31.5">
      <c r="A34" s="754">
        <v>30</v>
      </c>
      <c r="B34" s="754"/>
      <c r="C34" s="760" t="s">
        <v>2693</v>
      </c>
      <c r="D34" s="761" t="s">
        <v>677</v>
      </c>
      <c r="E34" s="762">
        <v>2630000</v>
      </c>
      <c r="F34" s="762"/>
      <c r="G34" s="757"/>
      <c r="H34" s="776" t="s">
        <v>2694</v>
      </c>
      <c r="K34" s="746">
        <v>2650000</v>
      </c>
    </row>
    <row r="35" spans="1:11" ht="31.5">
      <c r="A35" s="754">
        <v>31</v>
      </c>
      <c r="B35" s="754"/>
      <c r="C35" s="760" t="s">
        <v>2695</v>
      </c>
      <c r="D35" s="761" t="s">
        <v>677</v>
      </c>
      <c r="E35" s="762">
        <v>2490000</v>
      </c>
      <c r="F35" s="762"/>
      <c r="G35" s="757"/>
      <c r="H35" s="776" t="s">
        <v>2694</v>
      </c>
      <c r="K35" s="746">
        <v>2150000</v>
      </c>
    </row>
    <row r="36" spans="1:11" ht="31.5">
      <c r="A36" s="754">
        <v>32</v>
      </c>
      <c r="B36" s="754"/>
      <c r="C36" s="760" t="s">
        <v>1734</v>
      </c>
      <c r="D36" s="761" t="s">
        <v>1722</v>
      </c>
      <c r="E36" s="762">
        <v>380000</v>
      </c>
      <c r="F36" s="762"/>
      <c r="G36" s="757"/>
      <c r="H36" s="767" t="s">
        <v>2696</v>
      </c>
      <c r="K36" s="746">
        <v>380000</v>
      </c>
    </row>
    <row r="37" spans="1:11" ht="31.5">
      <c r="A37" s="754">
        <v>33</v>
      </c>
      <c r="B37" s="754"/>
      <c r="C37" s="760" t="s">
        <v>1735</v>
      </c>
      <c r="D37" s="766" t="s">
        <v>1722</v>
      </c>
      <c r="E37" s="762">
        <v>350000</v>
      </c>
      <c r="F37" s="762"/>
      <c r="G37" s="757"/>
      <c r="H37" s="767" t="s">
        <v>2696</v>
      </c>
      <c r="K37" s="746">
        <v>350000</v>
      </c>
    </row>
    <row r="38" spans="1:11">
      <c r="A38" s="754">
        <v>34</v>
      </c>
      <c r="B38" s="754"/>
      <c r="C38" s="760" t="s">
        <v>2697</v>
      </c>
      <c r="D38" s="761" t="s">
        <v>677</v>
      </c>
      <c r="E38" s="762">
        <v>1200000</v>
      </c>
      <c r="F38" s="762"/>
      <c r="G38" s="762"/>
      <c r="H38" s="767"/>
      <c r="K38" s="746">
        <v>1200000</v>
      </c>
    </row>
    <row r="39" spans="1:11" ht="31.5">
      <c r="A39" s="754">
        <v>35</v>
      </c>
      <c r="B39" s="754"/>
      <c r="C39" s="760" t="s">
        <v>2238</v>
      </c>
      <c r="D39" s="761" t="s">
        <v>1808</v>
      </c>
      <c r="E39" s="762">
        <v>13200</v>
      </c>
      <c r="F39" s="762"/>
      <c r="G39" s="757"/>
      <c r="H39" s="763" t="s">
        <v>2668</v>
      </c>
      <c r="I39" s="764"/>
      <c r="K39" s="746">
        <v>13200</v>
      </c>
    </row>
    <row r="40" spans="1:11" ht="30">
      <c r="A40" s="754">
        <v>36</v>
      </c>
      <c r="B40" s="754"/>
      <c r="C40" s="760" t="s">
        <v>2698</v>
      </c>
      <c r="D40" s="761" t="s">
        <v>677</v>
      </c>
      <c r="E40" s="762">
        <v>60000</v>
      </c>
      <c r="F40" s="762"/>
      <c r="G40" s="757"/>
      <c r="H40" s="777" t="s">
        <v>2699</v>
      </c>
      <c r="K40" s="746">
        <v>60000</v>
      </c>
    </row>
    <row r="41" spans="1:11" ht="31.5">
      <c r="A41" s="754">
        <v>37</v>
      </c>
      <c r="B41" s="754"/>
      <c r="C41" s="760" t="s">
        <v>2700</v>
      </c>
      <c r="D41" s="761" t="s">
        <v>1730</v>
      </c>
      <c r="E41" s="762">
        <v>58177</v>
      </c>
      <c r="F41" s="762"/>
      <c r="G41" s="757"/>
      <c r="H41" s="763" t="s">
        <v>2668</v>
      </c>
      <c r="K41" s="746">
        <v>58177</v>
      </c>
    </row>
    <row r="42" spans="1:11" ht="31.5">
      <c r="A42" s="754">
        <v>38</v>
      </c>
      <c r="B42" s="754"/>
      <c r="C42" s="760" t="s">
        <v>1732</v>
      </c>
      <c r="D42" s="761" t="s">
        <v>1730</v>
      </c>
      <c r="E42" s="762">
        <v>17500</v>
      </c>
      <c r="F42" s="762"/>
      <c r="G42" s="757"/>
      <c r="H42" s="763" t="s">
        <v>2668</v>
      </c>
      <c r="K42" s="746">
        <v>17500</v>
      </c>
    </row>
    <row r="43" spans="1:11" ht="31.5">
      <c r="A43" s="754">
        <v>39</v>
      </c>
      <c r="B43" s="754"/>
      <c r="C43" s="760" t="s">
        <v>1736</v>
      </c>
      <c r="D43" s="761" t="s">
        <v>1730</v>
      </c>
      <c r="E43" s="762">
        <v>20000</v>
      </c>
      <c r="F43" s="762"/>
      <c r="G43" s="757"/>
      <c r="H43" s="763" t="s">
        <v>2668</v>
      </c>
      <c r="K43" s="746">
        <v>20000</v>
      </c>
    </row>
    <row r="44" spans="1:11" ht="31.5">
      <c r="A44" s="754">
        <v>40</v>
      </c>
      <c r="B44" s="754"/>
      <c r="C44" s="760" t="s">
        <v>1800</v>
      </c>
      <c r="D44" s="766" t="s">
        <v>655</v>
      </c>
      <c r="E44" s="762">
        <v>500</v>
      </c>
      <c r="F44" s="762"/>
      <c r="G44" s="757"/>
      <c r="H44" s="763" t="s">
        <v>2668</v>
      </c>
      <c r="K44" s="746">
        <v>500</v>
      </c>
    </row>
    <row r="45" spans="1:11" ht="31.5">
      <c r="A45" s="754">
        <v>41</v>
      </c>
      <c r="B45" s="754"/>
      <c r="C45" s="760" t="s">
        <v>1801</v>
      </c>
      <c r="D45" s="766" t="s">
        <v>655</v>
      </c>
      <c r="E45" s="762">
        <v>300</v>
      </c>
      <c r="F45" s="762"/>
      <c r="G45" s="757"/>
      <c r="H45" s="763" t="s">
        <v>2668</v>
      </c>
      <c r="K45" s="746">
        <v>300</v>
      </c>
    </row>
    <row r="46" spans="1:11">
      <c r="A46" s="754">
        <v>42</v>
      </c>
      <c r="B46" s="754"/>
      <c r="C46" s="760" t="s">
        <v>1795</v>
      </c>
      <c r="D46" s="761" t="s">
        <v>1730</v>
      </c>
      <c r="E46" s="762">
        <v>40741</v>
      </c>
      <c r="F46" s="762"/>
      <c r="G46" s="757"/>
      <c r="H46" s="776" t="s">
        <v>1796</v>
      </c>
      <c r="K46" s="746">
        <v>56000</v>
      </c>
    </row>
    <row r="47" spans="1:11" ht="15">
      <c r="A47" s="754">
        <v>43</v>
      </c>
      <c r="B47" s="754"/>
      <c r="C47" s="760" t="s">
        <v>2701</v>
      </c>
      <c r="D47" s="761" t="s">
        <v>1808</v>
      </c>
      <c r="E47" s="762">
        <v>1737</v>
      </c>
      <c r="F47" s="762"/>
      <c r="G47" s="757"/>
      <c r="H47" s="778" t="s">
        <v>2702</v>
      </c>
      <c r="I47" s="764"/>
      <c r="K47" s="746">
        <v>1737</v>
      </c>
    </row>
    <row r="48" spans="1:11" ht="15">
      <c r="A48" s="754">
        <v>44</v>
      </c>
      <c r="B48" s="754"/>
      <c r="C48" s="760" t="s">
        <v>2703</v>
      </c>
      <c r="D48" s="761" t="s">
        <v>1808</v>
      </c>
      <c r="E48" s="762">
        <v>1479</v>
      </c>
      <c r="F48" s="762"/>
      <c r="G48" s="757"/>
      <c r="H48" s="778" t="s">
        <v>2702</v>
      </c>
      <c r="I48" s="764"/>
      <c r="K48" s="746">
        <v>1479</v>
      </c>
    </row>
    <row r="49" spans="1:21">
      <c r="A49" s="754">
        <v>45</v>
      </c>
      <c r="B49" s="754"/>
      <c r="C49" s="760" t="s">
        <v>2704</v>
      </c>
      <c r="D49" s="761" t="s">
        <v>677</v>
      </c>
      <c r="E49" s="762">
        <v>0</v>
      </c>
      <c r="F49" s="762"/>
      <c r="G49" s="757"/>
      <c r="H49" s="767" t="s">
        <v>2705</v>
      </c>
      <c r="I49" s="764"/>
      <c r="K49" s="746">
        <v>0</v>
      </c>
      <c r="L49" s="745" t="s">
        <v>2706</v>
      </c>
    </row>
    <row r="50" spans="1:21">
      <c r="A50" s="754">
        <v>46</v>
      </c>
      <c r="B50" s="754"/>
      <c r="C50" s="760" t="s">
        <v>2707</v>
      </c>
      <c r="D50" s="761" t="s">
        <v>677</v>
      </c>
      <c r="E50" s="762">
        <v>199182</v>
      </c>
      <c r="F50" s="762"/>
      <c r="G50" s="757"/>
      <c r="H50" s="767" t="s">
        <v>2708</v>
      </c>
      <c r="K50" s="746">
        <v>199182</v>
      </c>
    </row>
    <row r="51" spans="1:21">
      <c r="A51" s="754">
        <v>47</v>
      </c>
      <c r="B51" s="754"/>
      <c r="C51" s="760" t="s">
        <v>2709</v>
      </c>
      <c r="D51" s="761" t="s">
        <v>677</v>
      </c>
      <c r="E51" s="762">
        <v>0</v>
      </c>
      <c r="F51" s="762"/>
      <c r="G51" s="757"/>
      <c r="H51" s="767" t="s">
        <v>2705</v>
      </c>
      <c r="K51" s="746">
        <v>0</v>
      </c>
    </row>
    <row r="52" spans="1:21">
      <c r="A52" s="754">
        <v>48</v>
      </c>
      <c r="B52" s="754"/>
      <c r="C52" s="760" t="s">
        <v>2710</v>
      </c>
      <c r="D52" s="761" t="s">
        <v>677</v>
      </c>
      <c r="E52" s="762">
        <v>244000</v>
      </c>
      <c r="F52" s="762"/>
      <c r="G52" s="757"/>
      <c r="H52" s="767" t="s">
        <v>2705</v>
      </c>
      <c r="K52" s="746">
        <v>220000</v>
      </c>
    </row>
    <row r="53" spans="1:21">
      <c r="A53" s="754">
        <v>49</v>
      </c>
      <c r="B53" s="754"/>
      <c r="C53" s="760" t="s">
        <v>2711</v>
      </c>
      <c r="D53" s="761" t="s">
        <v>677</v>
      </c>
      <c r="E53" s="762">
        <v>244000</v>
      </c>
      <c r="F53" s="762"/>
      <c r="G53" s="757"/>
      <c r="H53" s="767" t="s">
        <v>2712</v>
      </c>
      <c r="I53" s="764"/>
      <c r="K53" s="746">
        <v>220000</v>
      </c>
    </row>
    <row r="54" spans="1:21">
      <c r="A54" s="754">
        <v>50</v>
      </c>
      <c r="B54" s="754"/>
      <c r="C54" s="760" t="s">
        <v>2713</v>
      </c>
      <c r="D54" s="761" t="s">
        <v>677</v>
      </c>
      <c r="E54" s="762">
        <v>244545</v>
      </c>
      <c r="F54" s="762"/>
      <c r="G54" s="757"/>
      <c r="H54" s="767" t="s">
        <v>2712</v>
      </c>
      <c r="I54" s="764"/>
      <c r="K54" s="746">
        <v>244545</v>
      </c>
    </row>
    <row r="55" spans="1:21">
      <c r="A55" s="754">
        <v>51</v>
      </c>
      <c r="B55" s="754"/>
      <c r="C55" s="760" t="s">
        <v>2714</v>
      </c>
      <c r="D55" s="761" t="s">
        <v>677</v>
      </c>
      <c r="E55" s="762">
        <v>224000</v>
      </c>
      <c r="F55" s="762"/>
      <c r="G55" s="757"/>
      <c r="H55" s="767" t="s">
        <v>2712</v>
      </c>
      <c r="I55" s="764"/>
      <c r="K55" s="746">
        <v>224000</v>
      </c>
    </row>
    <row r="56" spans="1:21" ht="31.5">
      <c r="A56" s="754">
        <v>52</v>
      </c>
      <c r="B56" s="754"/>
      <c r="C56" s="760" t="s">
        <v>2715</v>
      </c>
      <c r="D56" s="761" t="s">
        <v>1730</v>
      </c>
      <c r="E56" s="762">
        <v>23068</v>
      </c>
      <c r="F56" s="762"/>
      <c r="G56" s="757"/>
      <c r="H56" s="763" t="s">
        <v>2668</v>
      </c>
      <c r="K56" s="746">
        <v>23068</v>
      </c>
    </row>
    <row r="57" spans="1:21" ht="31.5">
      <c r="A57" s="754">
        <v>53</v>
      </c>
      <c r="B57" s="754"/>
      <c r="C57" s="760" t="s">
        <v>1742</v>
      </c>
      <c r="D57" s="761" t="s">
        <v>1730</v>
      </c>
      <c r="E57" s="779">
        <v>18650</v>
      </c>
      <c r="F57" s="762"/>
      <c r="G57" s="757"/>
      <c r="H57" s="763" t="s">
        <v>2668</v>
      </c>
      <c r="K57" s="746">
        <v>16050</v>
      </c>
    </row>
    <row r="58" spans="1:21" ht="31.5">
      <c r="A58" s="754">
        <v>54</v>
      </c>
      <c r="B58" s="754"/>
      <c r="C58" s="760" t="s">
        <v>1820</v>
      </c>
      <c r="D58" s="761" t="s">
        <v>677</v>
      </c>
      <c r="E58" s="762">
        <v>16000</v>
      </c>
      <c r="F58" s="762"/>
      <c r="G58" s="757"/>
      <c r="H58" s="763" t="s">
        <v>2668</v>
      </c>
      <c r="K58" s="746">
        <v>16000</v>
      </c>
    </row>
    <row r="59" spans="1:21" ht="31.5">
      <c r="A59" s="754">
        <v>55</v>
      </c>
      <c r="B59" s="754"/>
      <c r="C59" s="760" t="s">
        <v>1741</v>
      </c>
      <c r="D59" s="761" t="s">
        <v>1722</v>
      </c>
      <c r="E59" s="762">
        <v>3810000</v>
      </c>
      <c r="F59" s="762"/>
      <c r="G59" s="757"/>
      <c r="H59" s="763" t="s">
        <v>2668</v>
      </c>
      <c r="K59" s="746">
        <v>3810000</v>
      </c>
    </row>
    <row r="60" spans="1:21" ht="31.5">
      <c r="A60" s="754">
        <v>56</v>
      </c>
      <c r="B60" s="754"/>
      <c r="C60" s="760" t="s">
        <v>1816</v>
      </c>
      <c r="D60" s="766" t="s">
        <v>1722</v>
      </c>
      <c r="E60" s="762">
        <v>3810000</v>
      </c>
      <c r="F60" s="762"/>
      <c r="G60" s="757"/>
      <c r="H60" s="763" t="s">
        <v>2668</v>
      </c>
      <c r="K60" s="746">
        <v>3810000</v>
      </c>
      <c r="S60" s="745">
        <v>4453.76</v>
      </c>
      <c r="T60" s="745">
        <v>766.7</v>
      </c>
      <c r="U60" s="745">
        <f>S60/T60</f>
        <v>5.8089996087126643</v>
      </c>
    </row>
    <row r="61" spans="1:21" ht="31.5">
      <c r="A61" s="754">
        <v>57</v>
      </c>
      <c r="B61" s="754"/>
      <c r="C61" s="760" t="s">
        <v>2716</v>
      </c>
      <c r="D61" s="766" t="s">
        <v>1722</v>
      </c>
      <c r="E61" s="762">
        <f>'[36]Gia VL 3384'!D2248</f>
        <v>3810000</v>
      </c>
      <c r="F61" s="762"/>
      <c r="G61" s="757"/>
      <c r="H61" s="763" t="s">
        <v>2668</v>
      </c>
      <c r="S61" s="745">
        <f>91000/5.809</f>
        <v>15665.346875537958</v>
      </c>
    </row>
    <row r="62" spans="1:21" ht="31.5">
      <c r="A62" s="754">
        <v>58</v>
      </c>
      <c r="B62" s="754"/>
      <c r="C62" s="760" t="s">
        <v>2717</v>
      </c>
      <c r="D62" s="766" t="s">
        <v>1730</v>
      </c>
      <c r="E62" s="762">
        <v>20000</v>
      </c>
      <c r="F62" s="762"/>
      <c r="G62" s="757"/>
      <c r="H62" s="763" t="s">
        <v>2668</v>
      </c>
      <c r="K62" s="746">
        <v>20000</v>
      </c>
    </row>
    <row r="63" spans="1:21">
      <c r="A63" s="754">
        <v>59</v>
      </c>
      <c r="B63" s="754"/>
      <c r="C63" s="760" t="s">
        <v>2718</v>
      </c>
      <c r="D63" s="766" t="s">
        <v>677</v>
      </c>
      <c r="E63" s="762">
        <v>1500000</v>
      </c>
      <c r="F63" s="762"/>
      <c r="G63" s="757"/>
      <c r="H63" s="763"/>
      <c r="K63" s="746">
        <v>1500000</v>
      </c>
    </row>
    <row r="64" spans="1:21" ht="15">
      <c r="A64" s="754">
        <v>60</v>
      </c>
      <c r="B64" s="754"/>
      <c r="C64" s="760" t="s">
        <v>2719</v>
      </c>
      <c r="D64" s="766" t="s">
        <v>685</v>
      </c>
      <c r="E64" s="762">
        <v>1500000</v>
      </c>
      <c r="F64" s="762"/>
      <c r="G64" s="757"/>
      <c r="H64" s="762" t="s">
        <v>2720</v>
      </c>
      <c r="K64" s="746">
        <v>1500000</v>
      </c>
    </row>
    <row r="65" spans="1:11">
      <c r="A65" s="754">
        <v>61</v>
      </c>
      <c r="B65" s="754"/>
      <c r="C65" s="760" t="s">
        <v>2721</v>
      </c>
      <c r="D65" s="766" t="s">
        <v>677</v>
      </c>
      <c r="E65" s="762">
        <v>1200000</v>
      </c>
      <c r="F65" s="762"/>
      <c r="G65" s="757"/>
      <c r="H65" s="763"/>
      <c r="K65" s="746">
        <v>1200000</v>
      </c>
    </row>
    <row r="66" spans="1:11">
      <c r="A66" s="754">
        <v>62</v>
      </c>
      <c r="B66" s="754"/>
      <c r="C66" s="760" t="s">
        <v>2722</v>
      </c>
      <c r="D66" s="766" t="s">
        <v>677</v>
      </c>
      <c r="E66" s="762">
        <v>850000</v>
      </c>
      <c r="F66" s="762"/>
      <c r="G66" s="757"/>
      <c r="H66" s="776"/>
      <c r="K66" s="746">
        <v>850000</v>
      </c>
    </row>
    <row r="67" spans="1:11">
      <c r="A67" s="754">
        <v>63</v>
      </c>
      <c r="B67" s="754"/>
      <c r="C67" s="760" t="s">
        <v>2723</v>
      </c>
      <c r="D67" s="761" t="s">
        <v>1730</v>
      </c>
      <c r="E67" s="762">
        <v>20000</v>
      </c>
      <c r="F67" s="762"/>
      <c r="G67" s="757"/>
      <c r="H67" s="780"/>
      <c r="I67" s="764"/>
      <c r="K67" s="746">
        <v>20000</v>
      </c>
    </row>
    <row r="68" spans="1:11" ht="30">
      <c r="A68" s="754">
        <v>64</v>
      </c>
      <c r="B68" s="754"/>
      <c r="C68" s="760" t="s">
        <v>2724</v>
      </c>
      <c r="D68" s="761" t="s">
        <v>677</v>
      </c>
      <c r="E68" s="762">
        <v>1550000</v>
      </c>
      <c r="F68" s="762"/>
      <c r="G68" s="757"/>
      <c r="H68" s="780"/>
      <c r="K68" s="746">
        <v>1550000</v>
      </c>
    </row>
    <row r="69" spans="1:11" s="774" customFormat="1" ht="15">
      <c r="A69" s="768">
        <v>65</v>
      </c>
      <c r="B69" s="768"/>
      <c r="C69" s="769" t="s">
        <v>2725</v>
      </c>
      <c r="D69" s="770" t="s">
        <v>677</v>
      </c>
      <c r="E69" s="771">
        <v>650000</v>
      </c>
      <c r="F69" s="771"/>
      <c r="G69" s="772"/>
      <c r="H69" s="762" t="s">
        <v>2726</v>
      </c>
      <c r="I69" s="781"/>
      <c r="K69" s="775">
        <v>450000</v>
      </c>
    </row>
    <row r="70" spans="1:11">
      <c r="A70" s="754">
        <v>66</v>
      </c>
      <c r="B70" s="754"/>
      <c r="C70" s="760" t="s">
        <v>2727</v>
      </c>
      <c r="D70" s="761" t="s">
        <v>677</v>
      </c>
      <c r="E70" s="762">
        <v>850000</v>
      </c>
      <c r="F70" s="762"/>
      <c r="G70" s="757"/>
      <c r="H70" s="780"/>
      <c r="K70" s="746">
        <v>850000</v>
      </c>
    </row>
    <row r="71" spans="1:11" ht="30">
      <c r="A71" s="754">
        <v>67</v>
      </c>
      <c r="B71" s="754"/>
      <c r="C71" s="760" t="s">
        <v>2728</v>
      </c>
      <c r="D71" s="761" t="s">
        <v>677</v>
      </c>
      <c r="E71" s="762">
        <v>625000</v>
      </c>
      <c r="F71" s="762"/>
      <c r="G71" s="757"/>
      <c r="H71" s="780" t="s">
        <v>2666</v>
      </c>
      <c r="K71" s="746">
        <v>625000</v>
      </c>
    </row>
    <row r="72" spans="1:11" ht="31.5">
      <c r="A72" s="754">
        <v>68</v>
      </c>
      <c r="B72" s="754"/>
      <c r="C72" s="760" t="s">
        <v>2729</v>
      </c>
      <c r="D72" s="761" t="s">
        <v>677</v>
      </c>
      <c r="E72" s="762">
        <v>29091</v>
      </c>
      <c r="F72" s="762"/>
      <c r="G72" s="757"/>
      <c r="H72" s="763" t="s">
        <v>2668</v>
      </c>
      <c r="I72" s="764"/>
      <c r="K72" s="746">
        <v>29091</v>
      </c>
    </row>
    <row r="73" spans="1:11">
      <c r="A73" s="754">
        <v>69</v>
      </c>
      <c r="B73" s="754"/>
      <c r="C73" s="760" t="s">
        <v>2730</v>
      </c>
      <c r="D73" s="761" t="s">
        <v>677</v>
      </c>
      <c r="E73" s="762">
        <v>127149</v>
      </c>
      <c r="F73" s="762"/>
      <c r="G73" s="757"/>
      <c r="H73" s="763"/>
      <c r="I73" s="764"/>
    </row>
    <row r="74" spans="1:11" ht="30">
      <c r="A74" s="754">
        <v>70</v>
      </c>
      <c r="B74" s="754"/>
      <c r="C74" s="760" t="s">
        <v>2731</v>
      </c>
      <c r="D74" s="761" t="s">
        <v>677</v>
      </c>
      <c r="E74" s="762"/>
      <c r="F74" s="762"/>
      <c r="G74" s="757"/>
      <c r="H74" s="763"/>
      <c r="I74" s="764"/>
      <c r="K74" s="746">
        <v>408636.36363636359</v>
      </c>
    </row>
    <row r="75" spans="1:11" ht="30">
      <c r="A75" s="754">
        <v>71</v>
      </c>
      <c r="B75" s="754"/>
      <c r="C75" s="760" t="s">
        <v>2732</v>
      </c>
      <c r="D75" s="766" t="s">
        <v>677</v>
      </c>
      <c r="E75" s="762">
        <v>310118</v>
      </c>
      <c r="F75" s="762"/>
      <c r="G75" s="757"/>
      <c r="H75" s="763" t="s">
        <v>2733</v>
      </c>
      <c r="K75" s="746">
        <v>127149</v>
      </c>
    </row>
    <row r="76" spans="1:11" ht="30">
      <c r="A76" s="754">
        <v>72</v>
      </c>
      <c r="B76" s="754"/>
      <c r="C76" s="760" t="s">
        <v>2734</v>
      </c>
      <c r="D76" s="766" t="s">
        <v>677</v>
      </c>
      <c r="E76" s="762">
        <v>287206</v>
      </c>
      <c r="F76" s="762"/>
      <c r="G76" s="757"/>
      <c r="H76" s="763" t="s">
        <v>2733</v>
      </c>
      <c r="I76" s="764"/>
      <c r="K76" s="746">
        <v>180000</v>
      </c>
    </row>
    <row r="77" spans="1:11">
      <c r="A77" s="754">
        <v>73</v>
      </c>
      <c r="B77" s="754"/>
      <c r="C77" s="760" t="s">
        <v>2735</v>
      </c>
      <c r="D77" s="761" t="s">
        <v>1730</v>
      </c>
      <c r="E77" s="762">
        <v>100000</v>
      </c>
      <c r="F77" s="762"/>
      <c r="G77" s="757"/>
      <c r="H77" s="780"/>
      <c r="K77" s="746">
        <v>100000</v>
      </c>
    </row>
    <row r="78" spans="1:11">
      <c r="A78" s="754">
        <v>74</v>
      </c>
      <c r="B78" s="754"/>
      <c r="C78" s="760" t="s">
        <v>2736</v>
      </c>
      <c r="D78" s="761" t="s">
        <v>1730</v>
      </c>
      <c r="E78" s="762">
        <v>15700</v>
      </c>
      <c r="F78" s="762"/>
      <c r="G78" s="757"/>
      <c r="H78" s="765" t="s">
        <v>2737</v>
      </c>
      <c r="K78" s="746">
        <v>15700</v>
      </c>
    </row>
    <row r="79" spans="1:11" ht="31.5">
      <c r="A79" s="754">
        <v>75</v>
      </c>
      <c r="B79" s="754"/>
      <c r="C79" s="760" t="s">
        <v>1744</v>
      </c>
      <c r="D79" s="761" t="s">
        <v>1745</v>
      </c>
      <c r="E79" s="762">
        <v>10</v>
      </c>
      <c r="F79" s="762"/>
      <c r="G79" s="757"/>
      <c r="H79" s="763" t="s">
        <v>2668</v>
      </c>
      <c r="K79" s="746">
        <v>10</v>
      </c>
    </row>
    <row r="80" spans="1:11" ht="31.5">
      <c r="A80" s="754">
        <v>76</v>
      </c>
      <c r="B80" s="754"/>
      <c r="C80" s="760" t="s">
        <v>1833</v>
      </c>
      <c r="D80" s="761" t="s">
        <v>1834</v>
      </c>
      <c r="E80" s="762">
        <v>72000</v>
      </c>
      <c r="F80" s="757"/>
      <c r="G80" s="757"/>
      <c r="H80" s="763" t="s">
        <v>2668</v>
      </c>
      <c r="K80" s="746">
        <v>72000</v>
      </c>
    </row>
    <row r="81" spans="1:11" ht="31.5">
      <c r="A81" s="754">
        <v>77</v>
      </c>
      <c r="B81" s="754"/>
      <c r="C81" s="760" t="s">
        <v>1746</v>
      </c>
      <c r="D81" s="761" t="s">
        <v>1730</v>
      </c>
      <c r="E81" s="762">
        <v>19091</v>
      </c>
      <c r="F81" s="757"/>
      <c r="G81" s="757"/>
      <c r="H81" s="763" t="s">
        <v>2668</v>
      </c>
      <c r="K81" s="746">
        <v>19091</v>
      </c>
    </row>
    <row r="82" spans="1:11">
      <c r="A82" s="754">
        <v>78</v>
      </c>
      <c r="B82" s="754"/>
      <c r="C82" s="760" t="s">
        <v>1837</v>
      </c>
      <c r="D82" s="766" t="s">
        <v>1730</v>
      </c>
      <c r="E82" s="762">
        <v>130239</v>
      </c>
      <c r="F82" s="757"/>
      <c r="G82" s="757"/>
      <c r="H82" s="765" t="s">
        <v>2738</v>
      </c>
      <c r="K82" s="746">
        <v>138000</v>
      </c>
    </row>
    <row r="83" spans="1:11">
      <c r="A83" s="754">
        <v>79</v>
      </c>
      <c r="B83" s="754"/>
      <c r="C83" s="760" t="s">
        <v>1843</v>
      </c>
      <c r="D83" s="766" t="s">
        <v>1730</v>
      </c>
      <c r="E83" s="762">
        <v>160267</v>
      </c>
      <c r="F83" s="757"/>
      <c r="G83" s="757"/>
      <c r="H83" s="765" t="s">
        <v>2738</v>
      </c>
      <c r="K83" s="746">
        <v>138000</v>
      </c>
    </row>
    <row r="84" spans="1:11">
      <c r="A84" s="754">
        <v>80</v>
      </c>
      <c r="B84" s="754"/>
      <c r="C84" s="760" t="s">
        <v>1841</v>
      </c>
      <c r="D84" s="761" t="s">
        <v>1745</v>
      </c>
      <c r="E84" s="762">
        <v>114961</v>
      </c>
      <c r="F84" s="762"/>
      <c r="G84" s="757"/>
      <c r="H84" s="765" t="s">
        <v>2739</v>
      </c>
      <c r="I84" s="764"/>
      <c r="K84" s="746">
        <v>89636.363636363632</v>
      </c>
    </row>
    <row r="85" spans="1:11">
      <c r="A85" s="754">
        <v>81</v>
      </c>
      <c r="B85" s="754"/>
      <c r="C85" s="760" t="s">
        <v>1839</v>
      </c>
      <c r="D85" s="761" t="s">
        <v>1745</v>
      </c>
      <c r="E85" s="762">
        <v>105306</v>
      </c>
      <c r="F85" s="762"/>
      <c r="G85" s="757"/>
      <c r="H85" s="765" t="s">
        <v>2739</v>
      </c>
      <c r="K85" s="746">
        <v>89636.363636363632</v>
      </c>
    </row>
    <row r="86" spans="1:11">
      <c r="A86" s="754">
        <v>82</v>
      </c>
      <c r="B86" s="754"/>
      <c r="C86" s="760" t="s">
        <v>1846</v>
      </c>
      <c r="D86" s="761" t="s">
        <v>1745</v>
      </c>
      <c r="E86" s="762">
        <v>179682</v>
      </c>
      <c r="F86" s="762"/>
      <c r="G86" s="757"/>
      <c r="H86" s="765" t="s">
        <v>2739</v>
      </c>
      <c r="K86" s="746">
        <v>171818.18181818179</v>
      </c>
    </row>
    <row r="87" spans="1:11">
      <c r="A87" s="754">
        <v>83</v>
      </c>
      <c r="B87" s="754"/>
      <c r="C87" s="760" t="s">
        <v>1844</v>
      </c>
      <c r="D87" s="761" t="s">
        <v>1745</v>
      </c>
      <c r="E87" s="762">
        <v>98631</v>
      </c>
      <c r="F87" s="762"/>
      <c r="G87" s="757"/>
      <c r="H87" s="765" t="s">
        <v>2739</v>
      </c>
      <c r="K87" s="746">
        <v>104645.45454545454</v>
      </c>
    </row>
    <row r="88" spans="1:11">
      <c r="A88" s="754">
        <v>84</v>
      </c>
      <c r="B88" s="754"/>
      <c r="C88" s="760" t="s">
        <v>2740</v>
      </c>
      <c r="D88" s="761" t="s">
        <v>1730</v>
      </c>
      <c r="E88" s="762">
        <v>217818</v>
      </c>
      <c r="F88" s="762"/>
      <c r="G88" s="757"/>
      <c r="H88" s="765" t="s">
        <v>2741</v>
      </c>
      <c r="K88" s="746">
        <v>157636</v>
      </c>
    </row>
    <row r="89" spans="1:11">
      <c r="A89" s="754">
        <v>85</v>
      </c>
      <c r="B89" s="754"/>
      <c r="C89" s="760" t="s">
        <v>2742</v>
      </c>
      <c r="D89" s="761" t="s">
        <v>1730</v>
      </c>
      <c r="E89" s="762">
        <v>393636</v>
      </c>
      <c r="F89" s="762"/>
      <c r="G89" s="757"/>
      <c r="H89" s="765" t="s">
        <v>2741</v>
      </c>
      <c r="K89" s="746">
        <v>399273</v>
      </c>
    </row>
    <row r="90" spans="1:11">
      <c r="A90" s="754">
        <v>86</v>
      </c>
      <c r="B90" s="754"/>
      <c r="C90" s="760" t="s">
        <v>2743</v>
      </c>
      <c r="D90" s="761" t="s">
        <v>627</v>
      </c>
      <c r="E90" s="762">
        <v>28000</v>
      </c>
      <c r="F90" s="762"/>
      <c r="G90" s="757"/>
      <c r="H90" s="765"/>
    </row>
    <row r="91" spans="1:11">
      <c r="A91" s="754">
        <v>87</v>
      </c>
      <c r="B91" s="754"/>
      <c r="C91" s="760" t="s">
        <v>1747</v>
      </c>
      <c r="D91" s="761" t="s">
        <v>1730</v>
      </c>
      <c r="E91" s="762">
        <v>18100</v>
      </c>
      <c r="F91" s="762"/>
      <c r="G91" s="757"/>
      <c r="H91" s="765" t="s">
        <v>2744</v>
      </c>
      <c r="K91" s="746">
        <v>18350</v>
      </c>
    </row>
    <row r="92" spans="1:11" ht="15">
      <c r="A92" s="754">
        <v>88</v>
      </c>
      <c r="B92" s="754"/>
      <c r="C92" s="760" t="s">
        <v>2745</v>
      </c>
      <c r="D92" s="761" t="s">
        <v>1730</v>
      </c>
      <c r="E92" s="779">
        <v>23000</v>
      </c>
      <c r="F92" s="762" t="s">
        <v>2666</v>
      </c>
      <c r="G92" s="757"/>
      <c r="H92" s="762" t="s">
        <v>2666</v>
      </c>
    </row>
    <row r="93" spans="1:11">
      <c r="A93" s="754">
        <v>89</v>
      </c>
      <c r="B93" s="754"/>
      <c r="C93" s="760" t="s">
        <v>1748</v>
      </c>
      <c r="D93" s="761" t="s">
        <v>1730</v>
      </c>
      <c r="E93" s="762">
        <v>18100</v>
      </c>
      <c r="F93" s="762"/>
      <c r="G93" s="757"/>
      <c r="H93" s="765" t="s">
        <v>2744</v>
      </c>
      <c r="K93" s="746">
        <v>18350</v>
      </c>
    </row>
    <row r="94" spans="1:11">
      <c r="A94" s="754">
        <v>90</v>
      </c>
      <c r="B94" s="754"/>
      <c r="C94" s="760" t="s">
        <v>1852</v>
      </c>
      <c r="D94" s="761" t="s">
        <v>1730</v>
      </c>
      <c r="E94" s="762">
        <v>17900</v>
      </c>
      <c r="F94" s="762"/>
      <c r="G94" s="757"/>
      <c r="H94" s="765" t="s">
        <v>2746</v>
      </c>
      <c r="K94" s="746">
        <v>17900</v>
      </c>
    </row>
    <row r="95" spans="1:11">
      <c r="A95" s="754">
        <v>91</v>
      </c>
      <c r="B95" s="754"/>
      <c r="C95" s="760" t="s">
        <v>1749</v>
      </c>
      <c r="D95" s="761" t="s">
        <v>1730</v>
      </c>
      <c r="E95" s="762">
        <v>17900</v>
      </c>
      <c r="F95" s="762"/>
      <c r="G95" s="757"/>
      <c r="H95" s="765" t="s">
        <v>2746</v>
      </c>
      <c r="K95" s="746">
        <v>17900</v>
      </c>
    </row>
    <row r="96" spans="1:11">
      <c r="A96" s="754">
        <v>92</v>
      </c>
      <c r="B96" s="754"/>
      <c r="C96" s="760" t="s">
        <v>1751</v>
      </c>
      <c r="D96" s="761" t="s">
        <v>1730</v>
      </c>
      <c r="E96" s="762">
        <v>18050</v>
      </c>
      <c r="F96" s="762"/>
      <c r="G96" s="757"/>
      <c r="H96" s="765" t="s">
        <v>2746</v>
      </c>
      <c r="K96" s="746">
        <v>18050</v>
      </c>
    </row>
    <row r="97" spans="1:11">
      <c r="A97" s="754">
        <v>93</v>
      </c>
      <c r="B97" s="754"/>
      <c r="C97" s="760" t="s">
        <v>1752</v>
      </c>
      <c r="D97" s="761" t="s">
        <v>1730</v>
      </c>
      <c r="E97" s="762">
        <v>17900</v>
      </c>
      <c r="F97" s="762"/>
      <c r="G97" s="757"/>
      <c r="H97" s="765" t="s">
        <v>2746</v>
      </c>
      <c r="K97" s="746">
        <v>17900</v>
      </c>
    </row>
    <row r="98" spans="1:11">
      <c r="A98" s="754">
        <v>94</v>
      </c>
      <c r="B98" s="754"/>
      <c r="C98" s="760" t="s">
        <v>1753</v>
      </c>
      <c r="D98" s="761" t="s">
        <v>1730</v>
      </c>
      <c r="E98" s="762">
        <v>18050</v>
      </c>
      <c r="F98" s="762"/>
      <c r="G98" s="757"/>
      <c r="H98" s="765" t="s">
        <v>2746</v>
      </c>
      <c r="K98" s="746">
        <v>18050</v>
      </c>
    </row>
    <row r="99" spans="1:11" s="774" customFormat="1">
      <c r="A99" s="768">
        <v>95</v>
      </c>
      <c r="B99" s="768"/>
      <c r="C99" s="769" t="s">
        <v>2747</v>
      </c>
      <c r="D99" s="770" t="s">
        <v>677</v>
      </c>
      <c r="E99" s="771">
        <v>180000</v>
      </c>
      <c r="F99" s="771"/>
      <c r="G99" s="772"/>
      <c r="H99" s="782" t="s">
        <v>2748</v>
      </c>
      <c r="K99" s="775">
        <v>165000</v>
      </c>
    </row>
    <row r="100" spans="1:11" s="774" customFormat="1">
      <c r="A100" s="768">
        <v>96</v>
      </c>
      <c r="B100" s="768"/>
      <c r="C100" s="769" t="s">
        <v>2749</v>
      </c>
      <c r="D100" s="770" t="s">
        <v>677</v>
      </c>
      <c r="E100" s="771">
        <v>180000</v>
      </c>
      <c r="F100" s="771"/>
      <c r="G100" s="772"/>
      <c r="H100" s="782"/>
      <c r="K100" s="775">
        <v>165000</v>
      </c>
    </row>
    <row r="101" spans="1:11">
      <c r="A101" s="754">
        <v>97</v>
      </c>
      <c r="B101" s="754"/>
      <c r="C101" s="760" t="s">
        <v>2750</v>
      </c>
      <c r="D101" s="761" t="s">
        <v>677</v>
      </c>
      <c r="E101" s="771">
        <v>180000</v>
      </c>
      <c r="F101" s="762"/>
      <c r="G101" s="757"/>
      <c r="H101" s="780"/>
      <c r="K101" s="746">
        <v>165000</v>
      </c>
    </row>
    <row r="102" spans="1:11" ht="30">
      <c r="A102" s="754">
        <v>98</v>
      </c>
      <c r="B102" s="754"/>
      <c r="C102" s="760" t="s">
        <v>2751</v>
      </c>
      <c r="D102" s="761" t="s">
        <v>677</v>
      </c>
      <c r="E102" s="771">
        <v>2350000</v>
      </c>
      <c r="F102" s="762"/>
      <c r="G102" s="757"/>
      <c r="H102" s="776" t="s">
        <v>2752</v>
      </c>
      <c r="K102" s="746">
        <v>2050000</v>
      </c>
    </row>
    <row r="103" spans="1:11" ht="30">
      <c r="A103" s="754">
        <v>99</v>
      </c>
      <c r="B103" s="754"/>
      <c r="C103" s="760" t="s">
        <v>2753</v>
      </c>
      <c r="D103" s="761" t="s">
        <v>677</v>
      </c>
      <c r="E103" s="762">
        <v>1500000</v>
      </c>
      <c r="F103" s="762"/>
      <c r="G103" s="757"/>
      <c r="H103" s="776"/>
      <c r="K103" s="746">
        <v>1200000</v>
      </c>
    </row>
    <row r="104" spans="1:11">
      <c r="A104" s="754">
        <v>100</v>
      </c>
      <c r="B104" s="754"/>
      <c r="C104" s="760" t="s">
        <v>1754</v>
      </c>
      <c r="D104" s="761" t="s">
        <v>677</v>
      </c>
      <c r="E104" s="762">
        <v>124294.54447729106</v>
      </c>
      <c r="F104" s="762"/>
      <c r="G104" s="757"/>
      <c r="H104" s="776" t="s">
        <v>2754</v>
      </c>
      <c r="I104" s="764"/>
      <c r="K104" s="746">
        <v>124294.54447729106</v>
      </c>
    </row>
    <row r="105" spans="1:11" ht="15">
      <c r="A105" s="754">
        <v>101</v>
      </c>
      <c r="B105" s="754"/>
      <c r="C105" s="760" t="s">
        <v>1755</v>
      </c>
      <c r="D105" s="761" t="s">
        <v>1730</v>
      </c>
      <c r="E105" s="779">
        <v>1792</v>
      </c>
      <c r="F105" s="762"/>
      <c r="G105" s="757"/>
      <c r="H105" s="762" t="s">
        <v>2755</v>
      </c>
      <c r="I105" s="764"/>
      <c r="K105" s="746">
        <v>1685</v>
      </c>
    </row>
    <row r="106" spans="1:11" ht="31.5">
      <c r="A106" s="754">
        <v>102</v>
      </c>
      <c r="B106" s="754"/>
      <c r="C106" s="760" t="s">
        <v>1860</v>
      </c>
      <c r="D106" s="761" t="s">
        <v>1730</v>
      </c>
      <c r="E106" s="762">
        <v>3000</v>
      </c>
      <c r="F106" s="762"/>
      <c r="G106" s="757"/>
      <c r="H106" s="763" t="s">
        <v>2668</v>
      </c>
      <c r="I106" s="764"/>
      <c r="K106" s="746">
        <v>3000</v>
      </c>
    </row>
    <row r="107" spans="1:11">
      <c r="A107" s="754">
        <v>103</v>
      </c>
      <c r="B107" s="754"/>
      <c r="C107" s="760" t="s">
        <v>2756</v>
      </c>
      <c r="D107" s="761" t="s">
        <v>2026</v>
      </c>
      <c r="E107" s="762">
        <v>1460000</v>
      </c>
      <c r="F107" s="762"/>
      <c r="G107" s="757"/>
      <c r="H107" s="767" t="s">
        <v>2737</v>
      </c>
      <c r="I107" s="764"/>
      <c r="K107" s="746">
        <v>1460000</v>
      </c>
    </row>
    <row r="108" spans="1:11" ht="31.5">
      <c r="A108" s="754">
        <v>104</v>
      </c>
      <c r="B108" s="754"/>
      <c r="C108" s="760" t="s">
        <v>2757</v>
      </c>
      <c r="D108" s="761" t="s">
        <v>1722</v>
      </c>
      <c r="E108" s="762">
        <v>350000</v>
      </c>
      <c r="F108" s="762"/>
      <c r="G108" s="757"/>
      <c r="H108" s="767" t="s">
        <v>2687</v>
      </c>
      <c r="I108" s="764"/>
      <c r="K108" s="746">
        <v>350000</v>
      </c>
    </row>
    <row r="109" spans="1:11" ht="31.5">
      <c r="A109" s="754">
        <v>105</v>
      </c>
      <c r="B109" s="754"/>
      <c r="C109" s="760" t="s">
        <v>2758</v>
      </c>
      <c r="D109" s="761" t="s">
        <v>1722</v>
      </c>
      <c r="E109" s="762">
        <v>350000</v>
      </c>
      <c r="F109" s="762"/>
      <c r="G109" s="757"/>
      <c r="H109" s="767" t="s">
        <v>2687</v>
      </c>
      <c r="K109" s="746">
        <v>350000</v>
      </c>
    </row>
    <row r="110" spans="1:11" ht="30">
      <c r="A110" s="754">
        <v>106</v>
      </c>
      <c r="B110" s="754"/>
      <c r="C110" s="760" t="s">
        <v>2759</v>
      </c>
      <c r="D110" s="761" t="s">
        <v>2149</v>
      </c>
      <c r="E110" s="762">
        <v>1500000</v>
      </c>
      <c r="F110" s="762"/>
      <c r="G110" s="757"/>
      <c r="H110" s="776"/>
      <c r="K110" s="746">
        <v>1500000</v>
      </c>
    </row>
    <row r="111" spans="1:11">
      <c r="A111" s="754">
        <v>107</v>
      </c>
      <c r="B111" s="754"/>
      <c r="C111" s="760" t="s">
        <v>2760</v>
      </c>
      <c r="D111" s="761" t="s">
        <v>2149</v>
      </c>
      <c r="E111" s="762">
        <v>1000000</v>
      </c>
      <c r="F111" s="762"/>
      <c r="G111" s="757"/>
      <c r="H111" s="776"/>
      <c r="K111" s="746">
        <v>1000000</v>
      </c>
    </row>
    <row r="112" spans="1:11">
      <c r="A112" s="754">
        <v>108</v>
      </c>
      <c r="B112" s="754"/>
      <c r="C112" s="760" t="s">
        <v>2761</v>
      </c>
      <c r="D112" s="761" t="s">
        <v>677</v>
      </c>
      <c r="E112" s="762">
        <v>50000</v>
      </c>
      <c r="F112" s="762"/>
      <c r="G112" s="757"/>
      <c r="H112" s="776"/>
      <c r="K112" s="746">
        <v>50000</v>
      </c>
    </row>
    <row r="113" spans="1:11" ht="30">
      <c r="A113" s="754">
        <v>109</v>
      </c>
      <c r="B113" s="754"/>
      <c r="C113" s="760" t="s">
        <v>2762</v>
      </c>
      <c r="D113" s="761" t="s">
        <v>2149</v>
      </c>
      <c r="E113" s="762">
        <v>5000</v>
      </c>
      <c r="F113" s="762"/>
      <c r="G113" s="757"/>
      <c r="H113" s="776"/>
      <c r="K113" s="746">
        <v>5000</v>
      </c>
    </row>
    <row r="114" spans="1:11">
      <c r="A114" s="754">
        <v>110</v>
      </c>
      <c r="B114" s="754"/>
      <c r="C114" s="760" t="s">
        <v>2763</v>
      </c>
      <c r="D114" s="761" t="s">
        <v>1730</v>
      </c>
      <c r="E114" s="762">
        <v>19480</v>
      </c>
      <c r="F114" s="762"/>
      <c r="G114" s="757"/>
      <c r="H114" s="776" t="s">
        <v>2764</v>
      </c>
      <c r="I114" s="764"/>
      <c r="K114" s="746">
        <v>19480</v>
      </c>
    </row>
    <row r="115" spans="1:11">
      <c r="A115" s="754">
        <v>111</v>
      </c>
      <c r="B115" s="754"/>
      <c r="C115" s="760" t="s">
        <v>2765</v>
      </c>
      <c r="D115" s="761" t="s">
        <v>1730</v>
      </c>
      <c r="E115" s="762">
        <v>10000</v>
      </c>
      <c r="F115" s="762"/>
      <c r="G115" s="757"/>
      <c r="H115" s="776"/>
      <c r="K115" s="746">
        <v>10000</v>
      </c>
    </row>
    <row r="116" spans="1:11" s="774" customFormat="1">
      <c r="A116" s="768">
        <v>112</v>
      </c>
      <c r="B116" s="768"/>
      <c r="C116" s="769" t="s">
        <v>2766</v>
      </c>
      <c r="D116" s="770" t="s">
        <v>677</v>
      </c>
      <c r="E116" s="771">
        <v>65000</v>
      </c>
      <c r="F116" s="771"/>
      <c r="G116" s="772"/>
      <c r="H116" s="773"/>
      <c r="K116" s="775">
        <v>50000</v>
      </c>
    </row>
    <row r="117" spans="1:11">
      <c r="A117" s="754">
        <v>113</v>
      </c>
      <c r="B117" s="754"/>
      <c r="C117" s="760" t="s">
        <v>2767</v>
      </c>
      <c r="D117" s="761" t="s">
        <v>1730</v>
      </c>
      <c r="E117" s="762">
        <v>15700</v>
      </c>
      <c r="F117" s="762"/>
      <c r="G117" s="757"/>
      <c r="H117" s="765" t="s">
        <v>2737</v>
      </c>
      <c r="K117" s="746">
        <v>15700</v>
      </c>
    </row>
    <row r="118" spans="1:11">
      <c r="A118" s="754">
        <v>114</v>
      </c>
      <c r="B118" s="754"/>
      <c r="C118" s="760" t="s">
        <v>2768</v>
      </c>
      <c r="D118" s="761" t="s">
        <v>1730</v>
      </c>
      <c r="E118" s="762">
        <v>2000</v>
      </c>
      <c r="F118" s="762"/>
      <c r="G118" s="757"/>
      <c r="H118" s="776"/>
      <c r="K118" s="746">
        <v>2000</v>
      </c>
    </row>
    <row r="119" spans="1:11" ht="30">
      <c r="A119" s="754">
        <v>115</v>
      </c>
      <c r="B119" s="754"/>
      <c r="C119" s="760" t="s">
        <v>2769</v>
      </c>
      <c r="D119" s="761" t="s">
        <v>677</v>
      </c>
      <c r="E119" s="762">
        <v>190000</v>
      </c>
      <c r="F119" s="762"/>
      <c r="G119" s="757"/>
      <c r="H119" s="776" t="s">
        <v>2770</v>
      </c>
      <c r="K119" s="746">
        <v>190000</v>
      </c>
    </row>
    <row r="120" spans="1:11">
      <c r="A120" s="754">
        <v>116</v>
      </c>
      <c r="B120" s="754"/>
      <c r="C120" s="760" t="s">
        <v>2771</v>
      </c>
      <c r="D120" s="761" t="s">
        <v>680</v>
      </c>
      <c r="E120" s="762">
        <v>13100000</v>
      </c>
      <c r="F120" s="762"/>
      <c r="G120" s="757"/>
      <c r="H120" s="776"/>
      <c r="K120" s="746">
        <v>8100000</v>
      </c>
    </row>
    <row r="121" spans="1:11">
      <c r="A121" s="754">
        <v>117</v>
      </c>
      <c r="B121" s="754"/>
      <c r="C121" s="760" t="s">
        <v>2772</v>
      </c>
      <c r="D121" s="761" t="s">
        <v>677</v>
      </c>
      <c r="E121" s="762">
        <v>95000</v>
      </c>
      <c r="F121" s="762"/>
      <c r="G121" s="757"/>
      <c r="H121" s="776"/>
      <c r="K121" s="746">
        <v>95000</v>
      </c>
    </row>
    <row r="122" spans="1:11" s="774" customFormat="1">
      <c r="A122" s="768">
        <v>118</v>
      </c>
      <c r="B122" s="768"/>
      <c r="C122" s="769" t="s">
        <v>2773</v>
      </c>
      <c r="D122" s="770" t="s">
        <v>677</v>
      </c>
      <c r="E122" s="771">
        <v>1900000</v>
      </c>
      <c r="F122" s="771"/>
      <c r="G122" s="772"/>
      <c r="H122" s="773" t="s">
        <v>198</v>
      </c>
      <c r="K122" s="775">
        <v>1450000</v>
      </c>
    </row>
    <row r="123" spans="1:11" s="774" customFormat="1">
      <c r="A123" s="768">
        <v>119</v>
      </c>
      <c r="B123" s="768"/>
      <c r="C123" s="769" t="s">
        <v>2774</v>
      </c>
      <c r="D123" s="770" t="s">
        <v>677</v>
      </c>
      <c r="E123" s="771">
        <v>2200000</v>
      </c>
      <c r="F123" s="771"/>
      <c r="G123" s="772"/>
      <c r="H123" s="773" t="s">
        <v>198</v>
      </c>
      <c r="K123" s="775">
        <v>1650000</v>
      </c>
    </row>
    <row r="124" spans="1:11" ht="31.5">
      <c r="A124" s="754">
        <v>120</v>
      </c>
      <c r="B124" s="754"/>
      <c r="C124" s="760" t="s">
        <v>2775</v>
      </c>
      <c r="D124" s="761" t="s">
        <v>624</v>
      </c>
      <c r="E124" s="762">
        <v>25877</v>
      </c>
      <c r="F124" s="762"/>
      <c r="G124" s="757"/>
      <c r="H124" s="763" t="s">
        <v>2668</v>
      </c>
      <c r="I124" s="764"/>
      <c r="K124" s="746">
        <v>7000</v>
      </c>
    </row>
    <row r="125" spans="1:11">
      <c r="A125" s="754">
        <v>121</v>
      </c>
      <c r="B125" s="754"/>
      <c r="C125" s="760" t="s">
        <v>2776</v>
      </c>
      <c r="D125" s="761" t="s">
        <v>677</v>
      </c>
      <c r="E125" s="762">
        <v>5000</v>
      </c>
      <c r="F125" s="762"/>
      <c r="G125" s="757"/>
      <c r="H125" s="776"/>
      <c r="K125" s="746">
        <v>5000</v>
      </c>
    </row>
    <row r="126" spans="1:11">
      <c r="A126" s="754">
        <v>122</v>
      </c>
      <c r="B126" s="754"/>
      <c r="C126" s="760" t="s">
        <v>2777</v>
      </c>
      <c r="D126" s="761" t="s">
        <v>685</v>
      </c>
      <c r="E126" s="762">
        <v>350000</v>
      </c>
      <c r="F126" s="762"/>
      <c r="G126" s="757"/>
      <c r="H126" s="776"/>
      <c r="K126" s="746">
        <v>350000</v>
      </c>
    </row>
    <row r="127" spans="1:11">
      <c r="A127" s="754">
        <v>123</v>
      </c>
      <c r="B127" s="754"/>
      <c r="C127" s="760" t="s">
        <v>2778</v>
      </c>
      <c r="D127" s="766" t="s">
        <v>685</v>
      </c>
      <c r="E127" s="762">
        <v>146000</v>
      </c>
      <c r="F127" s="762"/>
      <c r="G127" s="757"/>
      <c r="H127" s="776"/>
      <c r="K127" s="746">
        <v>146000</v>
      </c>
    </row>
    <row r="128" spans="1:11">
      <c r="A128" s="754">
        <v>124</v>
      </c>
      <c r="B128" s="754"/>
      <c r="C128" s="760" t="s">
        <v>2779</v>
      </c>
      <c r="D128" s="766" t="s">
        <v>1730</v>
      </c>
      <c r="E128" s="762">
        <v>18350</v>
      </c>
      <c r="F128" s="762"/>
      <c r="G128" s="757"/>
      <c r="H128" s="765"/>
      <c r="K128" s="746">
        <v>16660</v>
      </c>
    </row>
    <row r="129" spans="1:11">
      <c r="A129" s="754">
        <v>125</v>
      </c>
      <c r="B129" s="754"/>
      <c r="C129" s="760" t="s">
        <v>2780</v>
      </c>
      <c r="D129" s="766" t="s">
        <v>1745</v>
      </c>
      <c r="E129" s="762">
        <v>0</v>
      </c>
      <c r="F129" s="762"/>
      <c r="G129" s="757"/>
      <c r="H129" s="776"/>
      <c r="K129" s="746">
        <v>0</v>
      </c>
    </row>
    <row r="130" spans="1:11" ht="31.5">
      <c r="A130" s="754">
        <v>126</v>
      </c>
      <c r="B130" s="754"/>
      <c r="C130" s="760" t="s">
        <v>2781</v>
      </c>
      <c r="D130" s="766" t="s">
        <v>1730</v>
      </c>
      <c r="E130" s="762">
        <v>31818</v>
      </c>
      <c r="F130" s="762"/>
      <c r="G130" s="757"/>
      <c r="H130" s="763" t="s">
        <v>2782</v>
      </c>
      <c r="K130" s="746">
        <v>31818</v>
      </c>
    </row>
    <row r="131" spans="1:11">
      <c r="A131" s="754">
        <v>127</v>
      </c>
      <c r="B131" s="754"/>
      <c r="C131" s="760" t="s">
        <v>2783</v>
      </c>
      <c r="D131" s="766" t="s">
        <v>1730</v>
      </c>
      <c r="E131" s="762">
        <v>18350</v>
      </c>
      <c r="F131" s="762"/>
      <c r="G131" s="757"/>
      <c r="H131" s="765" t="s">
        <v>2784</v>
      </c>
      <c r="K131" s="746">
        <v>16660</v>
      </c>
    </row>
    <row r="132" spans="1:11">
      <c r="A132" s="754">
        <v>128</v>
      </c>
      <c r="B132" s="754"/>
      <c r="C132" s="760" t="s">
        <v>2785</v>
      </c>
      <c r="D132" s="766" t="s">
        <v>677</v>
      </c>
      <c r="E132" s="762">
        <v>5000</v>
      </c>
      <c r="F132" s="762"/>
      <c r="G132" s="757"/>
      <c r="H132" s="763"/>
      <c r="K132" s="746">
        <v>5000</v>
      </c>
    </row>
    <row r="133" spans="1:11">
      <c r="A133" s="754">
        <v>129</v>
      </c>
      <c r="B133" s="754"/>
      <c r="C133" s="760" t="s">
        <v>2786</v>
      </c>
      <c r="D133" s="766"/>
      <c r="E133" s="762">
        <v>1000000</v>
      </c>
      <c r="F133" s="762"/>
      <c r="G133" s="757"/>
      <c r="H133" s="763"/>
      <c r="K133" s="746">
        <v>1000000</v>
      </c>
    </row>
    <row r="134" spans="1:11" ht="28.5">
      <c r="A134" s="754">
        <v>130</v>
      </c>
      <c r="B134" s="754"/>
      <c r="C134" s="783" t="s">
        <v>2787</v>
      </c>
      <c r="D134" s="766"/>
      <c r="E134" s="762"/>
      <c r="F134" s="762"/>
      <c r="G134" s="757"/>
      <c r="H134" s="763"/>
    </row>
    <row r="135" spans="1:11">
      <c r="A135" s="754">
        <v>131</v>
      </c>
      <c r="B135" s="754"/>
      <c r="C135" s="760" t="s">
        <v>2064</v>
      </c>
      <c r="D135" s="766" t="s">
        <v>685</v>
      </c>
      <c r="E135" s="762">
        <v>2000</v>
      </c>
      <c r="F135" s="762"/>
      <c r="G135" s="757"/>
      <c r="H135" s="763"/>
      <c r="K135" s="746">
        <v>2000</v>
      </c>
    </row>
    <row r="136" spans="1:11">
      <c r="A136" s="754">
        <v>132</v>
      </c>
      <c r="B136" s="754"/>
      <c r="C136" s="760" t="s">
        <v>2788</v>
      </c>
      <c r="D136" s="766" t="s">
        <v>655</v>
      </c>
      <c r="E136" s="784">
        <v>280000</v>
      </c>
      <c r="F136" s="762"/>
      <c r="G136" s="757"/>
      <c r="H136" s="763" t="s">
        <v>2789</v>
      </c>
      <c r="K136" s="746">
        <v>316000</v>
      </c>
    </row>
    <row r="137" spans="1:11">
      <c r="A137" s="754">
        <v>133</v>
      </c>
      <c r="B137" s="754"/>
      <c r="C137" s="760" t="s">
        <v>2790</v>
      </c>
      <c r="D137" s="766" t="s">
        <v>655</v>
      </c>
      <c r="E137" s="784">
        <v>280000</v>
      </c>
      <c r="F137" s="762"/>
      <c r="G137" s="757"/>
      <c r="H137" s="763" t="s">
        <v>2789</v>
      </c>
      <c r="K137" s="746">
        <v>316000</v>
      </c>
    </row>
    <row r="138" spans="1:11">
      <c r="A138" s="754">
        <v>134</v>
      </c>
      <c r="B138" s="754"/>
      <c r="C138" s="760" t="s">
        <v>2791</v>
      </c>
      <c r="D138" s="766" t="s">
        <v>655</v>
      </c>
      <c r="E138" s="762">
        <v>24000</v>
      </c>
      <c r="F138" s="762"/>
      <c r="G138" s="757"/>
      <c r="H138" s="763" t="s">
        <v>2789</v>
      </c>
      <c r="K138" s="746">
        <v>26000</v>
      </c>
    </row>
    <row r="139" spans="1:11">
      <c r="A139" s="754">
        <v>135</v>
      </c>
      <c r="B139" s="754"/>
      <c r="C139" s="760" t="s">
        <v>2792</v>
      </c>
      <c r="D139" s="766" t="s">
        <v>655</v>
      </c>
      <c r="E139" s="762">
        <v>24000</v>
      </c>
      <c r="F139" s="762"/>
      <c r="G139" s="757"/>
      <c r="H139" s="763" t="s">
        <v>2789</v>
      </c>
      <c r="K139" s="746">
        <v>26000</v>
      </c>
    </row>
    <row r="140" spans="1:11">
      <c r="A140" s="754">
        <v>136</v>
      </c>
      <c r="B140" s="754"/>
      <c r="C140" s="760" t="s">
        <v>2793</v>
      </c>
      <c r="D140" s="766" t="s">
        <v>655</v>
      </c>
      <c r="E140" s="762">
        <v>36000</v>
      </c>
      <c r="F140" s="762"/>
      <c r="G140" s="757"/>
      <c r="H140" s="763" t="s">
        <v>2789</v>
      </c>
      <c r="K140" s="746">
        <v>39000</v>
      </c>
    </row>
    <row r="141" spans="1:11">
      <c r="A141" s="754">
        <v>137</v>
      </c>
      <c r="B141" s="754"/>
      <c r="C141" s="760" t="s">
        <v>2794</v>
      </c>
      <c r="D141" s="766" t="s">
        <v>655</v>
      </c>
      <c r="E141" s="762">
        <v>36000</v>
      </c>
      <c r="F141" s="762"/>
      <c r="G141" s="757"/>
      <c r="H141" s="763" t="s">
        <v>2789</v>
      </c>
      <c r="K141" s="746">
        <v>39000</v>
      </c>
    </row>
    <row r="142" spans="1:11">
      <c r="A142" s="754">
        <v>138</v>
      </c>
      <c r="B142" s="754"/>
      <c r="C142" s="760" t="s">
        <v>2795</v>
      </c>
      <c r="D142" s="766" t="s">
        <v>655</v>
      </c>
      <c r="E142" s="762">
        <v>85000</v>
      </c>
      <c r="F142" s="762"/>
      <c r="G142" s="757"/>
      <c r="H142" s="763" t="s">
        <v>2789</v>
      </c>
      <c r="K142" s="746">
        <v>122000</v>
      </c>
    </row>
    <row r="143" spans="1:11">
      <c r="A143" s="754">
        <v>139</v>
      </c>
      <c r="B143" s="754"/>
      <c r="C143" s="760" t="s">
        <v>2796</v>
      </c>
      <c r="D143" s="766" t="s">
        <v>655</v>
      </c>
      <c r="E143" s="762">
        <v>130000</v>
      </c>
      <c r="F143" s="762"/>
      <c r="G143" s="757"/>
      <c r="H143" s="763" t="s">
        <v>2789</v>
      </c>
      <c r="K143" s="746">
        <v>170000</v>
      </c>
    </row>
    <row r="144" spans="1:11">
      <c r="A144" s="754">
        <v>140</v>
      </c>
      <c r="B144" s="754"/>
      <c r="C144" s="760" t="s">
        <v>2797</v>
      </c>
      <c r="D144" s="766" t="s">
        <v>655</v>
      </c>
      <c r="E144" s="762">
        <v>135000</v>
      </c>
      <c r="F144" s="762"/>
      <c r="G144" s="757"/>
      <c r="H144" s="763" t="s">
        <v>2789</v>
      </c>
      <c r="K144" s="746">
        <v>170000</v>
      </c>
    </row>
    <row r="145" spans="1:11">
      <c r="A145" s="754">
        <v>141</v>
      </c>
      <c r="B145" s="754"/>
      <c r="C145" s="760" t="s">
        <v>2798</v>
      </c>
      <c r="D145" s="766" t="s">
        <v>726</v>
      </c>
      <c r="E145" s="784">
        <v>770000</v>
      </c>
      <c r="F145" s="762"/>
      <c r="G145" s="757"/>
      <c r="H145" s="763" t="s">
        <v>2789</v>
      </c>
      <c r="K145" s="746">
        <v>788000</v>
      </c>
    </row>
    <row r="146" spans="1:11">
      <c r="A146" s="754">
        <v>142</v>
      </c>
      <c r="B146" s="754"/>
      <c r="C146" s="760" t="s">
        <v>2799</v>
      </c>
      <c r="D146" s="766" t="s">
        <v>726</v>
      </c>
      <c r="E146" s="784">
        <v>1110000</v>
      </c>
      <c r="F146" s="762"/>
      <c r="G146" s="757"/>
      <c r="H146" s="763" t="s">
        <v>2789</v>
      </c>
      <c r="K146" s="746">
        <v>1238000</v>
      </c>
    </row>
    <row r="147" spans="1:11" ht="31.5">
      <c r="A147" s="754">
        <v>143</v>
      </c>
      <c r="B147" s="754"/>
      <c r="C147" s="760" t="s">
        <v>2800</v>
      </c>
      <c r="D147" s="766" t="s">
        <v>624</v>
      </c>
      <c r="E147" s="784">
        <v>5000</v>
      </c>
      <c r="F147" s="762"/>
      <c r="G147" s="757"/>
      <c r="H147" s="763" t="s">
        <v>2668</v>
      </c>
      <c r="K147" s="746">
        <v>7000</v>
      </c>
    </row>
    <row r="148" spans="1:11" ht="31.5">
      <c r="A148" s="754">
        <v>144</v>
      </c>
      <c r="B148" s="754"/>
      <c r="C148" s="760" t="s">
        <v>2801</v>
      </c>
      <c r="D148" s="766" t="s">
        <v>624</v>
      </c>
      <c r="E148" s="784">
        <v>5000</v>
      </c>
      <c r="F148" s="762"/>
      <c r="G148" s="757"/>
      <c r="H148" s="763" t="s">
        <v>2668</v>
      </c>
      <c r="K148" s="746">
        <v>7000</v>
      </c>
    </row>
    <row r="149" spans="1:11">
      <c r="A149" s="754">
        <v>145</v>
      </c>
      <c r="B149" s="754"/>
      <c r="C149" s="760" t="s">
        <v>2802</v>
      </c>
      <c r="D149" s="766" t="s">
        <v>2803</v>
      </c>
      <c r="E149" s="784">
        <v>15000</v>
      </c>
      <c r="F149" s="762"/>
      <c r="G149" s="757"/>
      <c r="H149" s="763" t="s">
        <v>2789</v>
      </c>
      <c r="K149" s="746">
        <v>23000</v>
      </c>
    </row>
    <row r="150" spans="1:11" ht="31.5">
      <c r="A150" s="754">
        <v>146</v>
      </c>
      <c r="B150" s="754"/>
      <c r="C150" s="760" t="s">
        <v>2804</v>
      </c>
      <c r="D150" s="766" t="s">
        <v>677</v>
      </c>
      <c r="E150" s="784">
        <v>70000</v>
      </c>
      <c r="F150" s="762"/>
      <c r="G150" s="757"/>
      <c r="H150" s="763" t="s">
        <v>2668</v>
      </c>
      <c r="K150" s="746">
        <v>100000</v>
      </c>
    </row>
    <row r="151" spans="1:11" ht="31.5">
      <c r="A151" s="754">
        <v>147</v>
      </c>
      <c r="B151" s="754"/>
      <c r="C151" s="760" t="s">
        <v>2805</v>
      </c>
      <c r="D151" s="766" t="s">
        <v>677</v>
      </c>
      <c r="E151" s="784">
        <v>70000</v>
      </c>
      <c r="F151" s="762"/>
      <c r="G151" s="757"/>
      <c r="H151" s="763" t="s">
        <v>2668</v>
      </c>
      <c r="K151" s="746">
        <v>100000</v>
      </c>
    </row>
    <row r="152" spans="1:11">
      <c r="A152" s="754">
        <v>148</v>
      </c>
      <c r="B152" s="754"/>
      <c r="C152" s="760" t="s">
        <v>2806</v>
      </c>
      <c r="D152" s="766" t="s">
        <v>685</v>
      </c>
      <c r="E152" s="784">
        <v>18500</v>
      </c>
      <c r="F152" s="762"/>
      <c r="G152" s="757"/>
      <c r="H152" s="763" t="s">
        <v>1896</v>
      </c>
      <c r="K152" s="746">
        <v>20040</v>
      </c>
    </row>
    <row r="153" spans="1:11">
      <c r="A153" s="754">
        <v>149</v>
      </c>
      <c r="B153" s="754"/>
      <c r="C153" s="760" t="s">
        <v>2807</v>
      </c>
      <c r="D153" s="766" t="s">
        <v>685</v>
      </c>
      <c r="E153" s="784">
        <v>330000</v>
      </c>
      <c r="F153" s="762"/>
      <c r="G153" s="757"/>
      <c r="H153" s="763" t="s">
        <v>2789</v>
      </c>
      <c r="K153" s="746">
        <v>338000</v>
      </c>
    </row>
    <row r="154" spans="1:11">
      <c r="A154" s="754">
        <v>150</v>
      </c>
      <c r="B154" s="754"/>
      <c r="C154" s="760" t="s">
        <v>2808</v>
      </c>
      <c r="D154" s="766" t="s">
        <v>685</v>
      </c>
      <c r="E154" s="762">
        <v>15410</v>
      </c>
      <c r="F154" s="762"/>
      <c r="G154" s="757"/>
      <c r="H154" s="763" t="s">
        <v>1896</v>
      </c>
      <c r="K154" s="746">
        <v>15410</v>
      </c>
    </row>
    <row r="155" spans="1:11">
      <c r="A155" s="754">
        <v>151</v>
      </c>
      <c r="B155" s="754"/>
      <c r="C155" s="760" t="s">
        <v>2809</v>
      </c>
      <c r="D155" s="766" t="s">
        <v>685</v>
      </c>
      <c r="E155" s="762">
        <v>8000</v>
      </c>
      <c r="F155" s="762"/>
      <c r="G155" s="757"/>
      <c r="H155" s="763" t="s">
        <v>2789</v>
      </c>
      <c r="K155" s="746">
        <v>12000</v>
      </c>
    </row>
    <row r="156" spans="1:11">
      <c r="A156" s="754">
        <v>152</v>
      </c>
      <c r="B156" s="754"/>
      <c r="C156" s="760" t="s">
        <v>2810</v>
      </c>
      <c r="D156" s="766" t="s">
        <v>624</v>
      </c>
      <c r="E156" s="784">
        <v>1280000</v>
      </c>
      <c r="F156" s="762"/>
      <c r="G156" s="757"/>
      <c r="H156" s="763" t="s">
        <v>2789</v>
      </c>
      <c r="K156" s="746">
        <v>835000</v>
      </c>
    </row>
    <row r="157" spans="1:11">
      <c r="A157" s="754">
        <v>153</v>
      </c>
      <c r="B157" s="754"/>
      <c r="C157" s="760" t="s">
        <v>2811</v>
      </c>
      <c r="D157" s="766" t="s">
        <v>655</v>
      </c>
      <c r="E157" s="784">
        <v>285000</v>
      </c>
      <c r="F157" s="762"/>
      <c r="G157" s="757"/>
      <c r="H157" s="763" t="s">
        <v>2789</v>
      </c>
      <c r="K157" s="746">
        <v>441000</v>
      </c>
    </row>
    <row r="158" spans="1:11">
      <c r="A158" s="754">
        <v>154</v>
      </c>
      <c r="B158" s="754"/>
      <c r="C158" s="760" t="s">
        <v>2812</v>
      </c>
      <c r="D158" s="766" t="s">
        <v>655</v>
      </c>
      <c r="E158" s="784">
        <v>20000</v>
      </c>
      <c r="F158" s="762"/>
      <c r="G158" s="757"/>
      <c r="H158" s="763" t="s">
        <v>2789</v>
      </c>
      <c r="K158" s="746">
        <v>12000</v>
      </c>
    </row>
    <row r="159" spans="1:11">
      <c r="A159" s="754">
        <v>155</v>
      </c>
      <c r="B159" s="754"/>
      <c r="C159" s="760" t="s">
        <v>2813</v>
      </c>
      <c r="D159" s="766" t="s">
        <v>655</v>
      </c>
      <c r="E159" s="784">
        <v>22000</v>
      </c>
      <c r="F159" s="762"/>
      <c r="G159" s="757"/>
      <c r="H159" s="763" t="s">
        <v>2789</v>
      </c>
      <c r="K159" s="746">
        <v>18000</v>
      </c>
    </row>
    <row r="160" spans="1:11">
      <c r="A160" s="754">
        <v>156</v>
      </c>
      <c r="B160" s="754"/>
      <c r="C160" s="760" t="s">
        <v>2814</v>
      </c>
      <c r="D160" s="766" t="s">
        <v>655</v>
      </c>
      <c r="E160" s="784">
        <v>42000</v>
      </c>
      <c r="F160" s="762"/>
      <c r="G160" s="757"/>
      <c r="H160" s="763" t="s">
        <v>2789</v>
      </c>
      <c r="K160" s="746">
        <v>50000</v>
      </c>
    </row>
    <row r="161" spans="1:11">
      <c r="A161" s="754">
        <v>157</v>
      </c>
      <c r="B161" s="754"/>
      <c r="C161" s="760" t="s">
        <v>2815</v>
      </c>
      <c r="D161" s="766" t="s">
        <v>655</v>
      </c>
      <c r="E161" s="784">
        <v>96000</v>
      </c>
      <c r="F161" s="762"/>
      <c r="G161" s="757"/>
      <c r="H161" s="763" t="s">
        <v>2789</v>
      </c>
      <c r="K161" s="746">
        <v>103000</v>
      </c>
    </row>
    <row r="162" spans="1:11">
      <c r="A162" s="754">
        <v>158</v>
      </c>
      <c r="B162" s="754"/>
      <c r="C162" s="760" t="s">
        <v>2816</v>
      </c>
      <c r="D162" s="766" t="s">
        <v>655</v>
      </c>
      <c r="E162" s="784">
        <v>158000</v>
      </c>
      <c r="F162" s="762"/>
      <c r="G162" s="757"/>
      <c r="H162" s="763" t="s">
        <v>2789</v>
      </c>
      <c r="K162" s="746">
        <v>176000</v>
      </c>
    </row>
    <row r="163" spans="1:11">
      <c r="A163" s="754">
        <v>159</v>
      </c>
      <c r="B163" s="754"/>
      <c r="C163" s="760" t="s">
        <v>2817</v>
      </c>
      <c r="D163" s="766" t="s">
        <v>655</v>
      </c>
      <c r="E163" s="784">
        <v>220000</v>
      </c>
      <c r="F163" s="762"/>
      <c r="G163" s="757"/>
      <c r="H163" s="763" t="s">
        <v>2789</v>
      </c>
      <c r="K163" s="746">
        <v>225000</v>
      </c>
    </row>
    <row r="164" spans="1:11" ht="31.5">
      <c r="A164" s="754">
        <v>160</v>
      </c>
      <c r="B164" s="754"/>
      <c r="C164" s="760" t="s">
        <v>2200</v>
      </c>
      <c r="D164" s="766" t="s">
        <v>1730</v>
      </c>
      <c r="E164" s="784">
        <v>12000</v>
      </c>
      <c r="F164" s="762"/>
      <c r="G164" s="757"/>
      <c r="H164" s="763" t="s">
        <v>2668</v>
      </c>
      <c r="K164" s="746">
        <v>30000</v>
      </c>
    </row>
    <row r="165" spans="1:11" ht="31.5">
      <c r="A165" s="754">
        <v>161</v>
      </c>
      <c r="B165" s="754"/>
      <c r="C165" s="760" t="s">
        <v>1873</v>
      </c>
      <c r="D165" s="766" t="s">
        <v>1730</v>
      </c>
      <c r="E165" s="784">
        <v>25000</v>
      </c>
      <c r="F165" s="762"/>
      <c r="G165" s="757"/>
      <c r="H165" s="763" t="s">
        <v>2668</v>
      </c>
      <c r="K165" s="746">
        <v>30000</v>
      </c>
    </row>
    <row r="166" spans="1:11">
      <c r="A166" s="754">
        <v>162</v>
      </c>
      <c r="B166" s="754"/>
      <c r="C166" s="760" t="s">
        <v>2818</v>
      </c>
      <c r="D166" s="766" t="s">
        <v>655</v>
      </c>
      <c r="E166" s="784">
        <v>1850000</v>
      </c>
      <c r="F166" s="762"/>
      <c r="G166" s="757"/>
      <c r="H166" s="763" t="s">
        <v>2789</v>
      </c>
      <c r="K166" s="746">
        <v>1395000</v>
      </c>
    </row>
    <row r="167" spans="1:11">
      <c r="A167" s="754">
        <v>163</v>
      </c>
      <c r="B167" s="754"/>
      <c r="C167" s="760" t="s">
        <v>2819</v>
      </c>
      <c r="D167" s="766" t="s">
        <v>624</v>
      </c>
      <c r="E167" s="784">
        <v>380000</v>
      </c>
      <c r="F167" s="762"/>
      <c r="G167" s="757"/>
      <c r="H167" s="763" t="s">
        <v>2789</v>
      </c>
      <c r="K167" s="746">
        <v>466000</v>
      </c>
    </row>
    <row r="168" spans="1:11">
      <c r="A168" s="754">
        <v>164</v>
      </c>
      <c r="B168" s="754"/>
      <c r="C168" s="760" t="s">
        <v>2820</v>
      </c>
      <c r="D168" s="766" t="s">
        <v>624</v>
      </c>
      <c r="E168" s="784">
        <v>5000</v>
      </c>
      <c r="F168" s="762"/>
      <c r="G168" s="757"/>
      <c r="H168" s="763" t="s">
        <v>2789</v>
      </c>
      <c r="K168" s="746">
        <v>6000</v>
      </c>
    </row>
    <row r="169" spans="1:11">
      <c r="A169" s="754">
        <v>165</v>
      </c>
      <c r="B169" s="754"/>
      <c r="C169" s="760" t="s">
        <v>2821</v>
      </c>
      <c r="D169" s="766" t="s">
        <v>624</v>
      </c>
      <c r="E169" s="784">
        <v>8000</v>
      </c>
      <c r="F169" s="762"/>
      <c r="G169" s="757"/>
      <c r="H169" s="763" t="s">
        <v>2789</v>
      </c>
      <c r="K169" s="746">
        <v>10000</v>
      </c>
    </row>
    <row r="170" spans="1:11">
      <c r="A170" s="754">
        <v>166</v>
      </c>
      <c r="B170" s="754"/>
      <c r="C170" s="760" t="s">
        <v>2822</v>
      </c>
      <c r="D170" s="766" t="s">
        <v>624</v>
      </c>
      <c r="E170" s="784">
        <v>8000</v>
      </c>
      <c r="F170" s="762"/>
      <c r="G170" s="757"/>
      <c r="H170" s="763" t="s">
        <v>2789</v>
      </c>
      <c r="K170" s="746">
        <v>17000</v>
      </c>
    </row>
    <row r="171" spans="1:11">
      <c r="A171" s="754">
        <v>167</v>
      </c>
      <c r="B171" s="754"/>
      <c r="C171" s="760" t="s">
        <v>2823</v>
      </c>
      <c r="D171" s="766" t="s">
        <v>624</v>
      </c>
      <c r="E171" s="784">
        <v>18000</v>
      </c>
      <c r="F171" s="762"/>
      <c r="G171" s="757"/>
      <c r="H171" s="763" t="s">
        <v>2789</v>
      </c>
      <c r="K171" s="746">
        <v>23000</v>
      </c>
    </row>
    <row r="172" spans="1:11">
      <c r="A172" s="754">
        <v>168</v>
      </c>
      <c r="B172" s="754"/>
      <c r="C172" s="760" t="s">
        <v>2824</v>
      </c>
      <c r="D172" s="766" t="s">
        <v>624</v>
      </c>
      <c r="E172" s="784">
        <v>10000</v>
      </c>
      <c r="F172" s="762"/>
      <c r="G172" s="757"/>
      <c r="H172" s="763" t="s">
        <v>2789</v>
      </c>
      <c r="K172" s="746">
        <v>14000</v>
      </c>
    </row>
    <row r="173" spans="1:11">
      <c r="A173" s="754">
        <v>169</v>
      </c>
      <c r="B173" s="754"/>
      <c r="C173" s="760" t="s">
        <v>2825</v>
      </c>
      <c r="D173" s="766" t="s">
        <v>655</v>
      </c>
      <c r="E173" s="784">
        <v>880000</v>
      </c>
      <c r="F173" s="762"/>
      <c r="G173" s="757"/>
      <c r="H173" s="763" t="s">
        <v>2789</v>
      </c>
      <c r="K173" s="746">
        <v>900000</v>
      </c>
    </row>
    <row r="174" spans="1:11">
      <c r="A174" s="754">
        <v>170</v>
      </c>
      <c r="B174" s="754"/>
      <c r="C174" s="760" t="s">
        <v>2826</v>
      </c>
      <c r="D174" s="766" t="s">
        <v>655</v>
      </c>
      <c r="E174" s="784">
        <v>1180000</v>
      </c>
      <c r="F174" s="762"/>
      <c r="G174" s="757"/>
      <c r="H174" s="763" t="s">
        <v>2789</v>
      </c>
      <c r="K174" s="746">
        <v>1125000</v>
      </c>
    </row>
    <row r="175" spans="1:11">
      <c r="A175" s="754">
        <v>171</v>
      </c>
      <c r="B175" s="754"/>
      <c r="C175" s="760" t="s">
        <v>2827</v>
      </c>
      <c r="D175" s="766" t="s">
        <v>624</v>
      </c>
      <c r="E175" s="784">
        <v>1080000</v>
      </c>
      <c r="F175" s="762"/>
      <c r="G175" s="757"/>
      <c r="H175" s="763" t="s">
        <v>2789</v>
      </c>
      <c r="K175" s="746">
        <v>689000</v>
      </c>
    </row>
    <row r="176" spans="1:11">
      <c r="A176" s="754">
        <v>172</v>
      </c>
      <c r="B176" s="754"/>
      <c r="C176" s="760" t="s">
        <v>2828</v>
      </c>
      <c r="D176" s="766" t="s">
        <v>655</v>
      </c>
      <c r="E176" s="784">
        <v>190000</v>
      </c>
      <c r="F176" s="762"/>
      <c r="G176" s="757"/>
      <c r="H176" s="763" t="s">
        <v>2789</v>
      </c>
      <c r="K176" s="746">
        <v>207000</v>
      </c>
    </row>
    <row r="177" spans="1:11">
      <c r="A177" s="754">
        <v>173</v>
      </c>
      <c r="B177" s="754"/>
      <c r="C177" s="760" t="s">
        <v>2829</v>
      </c>
      <c r="D177" s="766" t="s">
        <v>655</v>
      </c>
      <c r="E177" s="784">
        <v>190000</v>
      </c>
      <c r="F177" s="762"/>
      <c r="G177" s="757"/>
      <c r="H177" s="763" t="s">
        <v>2789</v>
      </c>
      <c r="K177" s="746">
        <v>207000</v>
      </c>
    </row>
    <row r="178" spans="1:11">
      <c r="A178" s="754">
        <v>174</v>
      </c>
      <c r="B178" s="754"/>
      <c r="C178" s="760" t="s">
        <v>2830</v>
      </c>
      <c r="D178" s="766" t="s">
        <v>685</v>
      </c>
      <c r="E178" s="762">
        <v>42860</v>
      </c>
      <c r="F178" s="762"/>
      <c r="G178" s="757"/>
      <c r="H178" s="763" t="s">
        <v>1896</v>
      </c>
      <c r="K178" s="746">
        <v>42860</v>
      </c>
    </row>
    <row r="179" spans="1:11">
      <c r="A179" s="754">
        <v>175</v>
      </c>
      <c r="B179" s="754"/>
      <c r="C179" s="760" t="s">
        <v>2831</v>
      </c>
      <c r="D179" s="766" t="s">
        <v>685</v>
      </c>
      <c r="E179" s="762">
        <v>37130</v>
      </c>
      <c r="F179" s="762"/>
      <c r="G179" s="757"/>
      <c r="H179" s="763" t="s">
        <v>1896</v>
      </c>
      <c r="K179" s="746">
        <v>37130</v>
      </c>
    </row>
    <row r="180" spans="1:11">
      <c r="A180" s="754">
        <v>176</v>
      </c>
      <c r="B180" s="754"/>
      <c r="C180" s="760" t="s">
        <v>2832</v>
      </c>
      <c r="D180" s="766" t="s">
        <v>624</v>
      </c>
      <c r="E180" s="785">
        <v>780000</v>
      </c>
      <c r="F180" s="762"/>
      <c r="G180" s="757"/>
      <c r="H180" s="763" t="s">
        <v>2789</v>
      </c>
      <c r="I180" s="764"/>
      <c r="K180" s="746">
        <v>400000</v>
      </c>
    </row>
    <row r="181" spans="1:11">
      <c r="A181" s="754">
        <v>177</v>
      </c>
      <c r="B181" s="754"/>
      <c r="C181" s="760" t="s">
        <v>2833</v>
      </c>
      <c r="D181" s="766" t="s">
        <v>624</v>
      </c>
      <c r="E181" s="785">
        <v>810000</v>
      </c>
      <c r="F181" s="762"/>
      <c r="G181" s="757"/>
      <c r="H181" s="763" t="s">
        <v>2789</v>
      </c>
      <c r="I181" s="764"/>
      <c r="K181" s="746">
        <v>525000</v>
      </c>
    </row>
    <row r="182" spans="1:11">
      <c r="A182" s="754">
        <v>178</v>
      </c>
      <c r="B182" s="754"/>
      <c r="C182" s="760" t="s">
        <v>2834</v>
      </c>
      <c r="D182" s="766" t="s">
        <v>624</v>
      </c>
      <c r="E182" s="785">
        <v>810000</v>
      </c>
      <c r="F182" s="762"/>
      <c r="G182" s="757"/>
      <c r="H182" s="763" t="s">
        <v>2789</v>
      </c>
      <c r="K182" s="746">
        <v>525000</v>
      </c>
    </row>
    <row r="183" spans="1:11">
      <c r="A183" s="754">
        <v>179</v>
      </c>
      <c r="B183" s="754"/>
      <c r="C183" s="760" t="s">
        <v>2835</v>
      </c>
      <c r="D183" s="766" t="s">
        <v>624</v>
      </c>
      <c r="E183" s="784">
        <v>220000</v>
      </c>
      <c r="F183" s="762"/>
      <c r="G183" s="757"/>
      <c r="H183" s="763" t="s">
        <v>2789</v>
      </c>
      <c r="K183" s="746">
        <v>225000</v>
      </c>
    </row>
    <row r="184" spans="1:11" ht="31.5">
      <c r="A184" s="754">
        <v>180</v>
      </c>
      <c r="B184" s="754"/>
      <c r="C184" s="760" t="s">
        <v>2836</v>
      </c>
      <c r="D184" s="766" t="s">
        <v>624</v>
      </c>
      <c r="E184" s="784">
        <v>150</v>
      </c>
      <c r="F184" s="762"/>
      <c r="G184" s="757"/>
      <c r="H184" s="763" t="s">
        <v>2668</v>
      </c>
      <c r="K184" s="746">
        <v>165</v>
      </c>
    </row>
    <row r="185" spans="1:11" ht="31.5">
      <c r="A185" s="754">
        <v>181</v>
      </c>
      <c r="B185" s="754"/>
      <c r="C185" s="760" t="s">
        <v>2837</v>
      </c>
      <c r="D185" s="766" t="s">
        <v>624</v>
      </c>
      <c r="E185" s="784">
        <v>250</v>
      </c>
      <c r="F185" s="762"/>
      <c r="G185" s="757"/>
      <c r="H185" s="763" t="s">
        <v>2668</v>
      </c>
      <c r="K185" s="746">
        <v>300</v>
      </c>
    </row>
    <row r="186" spans="1:11">
      <c r="A186" s="754">
        <v>182</v>
      </c>
      <c r="B186" s="754"/>
      <c r="C186" s="760" t="s">
        <v>2838</v>
      </c>
      <c r="D186" s="766" t="s">
        <v>655</v>
      </c>
      <c r="E186" s="784">
        <v>550000</v>
      </c>
      <c r="F186" s="762"/>
      <c r="G186" s="757"/>
      <c r="H186" s="763" t="s">
        <v>2789</v>
      </c>
      <c r="K186" s="746">
        <v>675000</v>
      </c>
    </row>
    <row r="187" spans="1:11">
      <c r="A187" s="754">
        <v>183</v>
      </c>
      <c r="B187" s="754"/>
      <c r="C187" s="760" t="s">
        <v>2839</v>
      </c>
      <c r="D187" s="766" t="s">
        <v>655</v>
      </c>
      <c r="E187" s="784">
        <v>1280000</v>
      </c>
      <c r="F187" s="762"/>
      <c r="G187" s="757"/>
      <c r="H187" s="763" t="s">
        <v>2789</v>
      </c>
      <c r="K187" s="746">
        <v>1125000</v>
      </c>
    </row>
    <row r="188" spans="1:11">
      <c r="A188" s="754">
        <v>184</v>
      </c>
      <c r="B188" s="754"/>
      <c r="C188" s="760" t="s">
        <v>2840</v>
      </c>
      <c r="D188" s="766" t="s">
        <v>655</v>
      </c>
      <c r="E188" s="785">
        <v>950000</v>
      </c>
      <c r="F188" s="762"/>
      <c r="G188" s="757"/>
      <c r="H188" s="763" t="s">
        <v>2789</v>
      </c>
      <c r="K188" s="746">
        <v>788000</v>
      </c>
    </row>
    <row r="189" spans="1:11">
      <c r="A189" s="754">
        <v>185</v>
      </c>
      <c r="B189" s="754"/>
      <c r="C189" s="760" t="s">
        <v>2841</v>
      </c>
      <c r="D189" s="766" t="s">
        <v>655</v>
      </c>
      <c r="E189" s="785">
        <v>860000</v>
      </c>
      <c r="F189" s="762"/>
      <c r="G189" s="757"/>
      <c r="H189" s="763" t="s">
        <v>2789</v>
      </c>
      <c r="K189" s="746">
        <v>473000</v>
      </c>
    </row>
    <row r="190" spans="1:11">
      <c r="A190" s="754">
        <v>186</v>
      </c>
      <c r="B190" s="754"/>
      <c r="C190" s="760" t="s">
        <v>2842</v>
      </c>
      <c r="D190" s="766" t="s">
        <v>655</v>
      </c>
      <c r="E190" s="784">
        <v>21000</v>
      </c>
      <c r="F190" s="762"/>
      <c r="G190" s="757"/>
      <c r="H190" s="763" t="s">
        <v>2789</v>
      </c>
      <c r="K190" s="746">
        <v>30000</v>
      </c>
    </row>
    <row r="191" spans="1:11">
      <c r="A191" s="754">
        <v>187</v>
      </c>
      <c r="B191" s="754"/>
      <c r="C191" s="760" t="s">
        <v>2843</v>
      </c>
      <c r="D191" s="766" t="s">
        <v>655</v>
      </c>
      <c r="E191" s="784">
        <v>32000</v>
      </c>
      <c r="F191" s="762"/>
      <c r="G191" s="757"/>
      <c r="H191" s="763" t="s">
        <v>2789</v>
      </c>
      <c r="K191" s="746">
        <v>49000</v>
      </c>
    </row>
    <row r="192" spans="1:11">
      <c r="A192" s="754">
        <v>188</v>
      </c>
      <c r="B192" s="754"/>
      <c r="C192" s="760" t="s">
        <v>2844</v>
      </c>
      <c r="D192" s="766" t="s">
        <v>655</v>
      </c>
      <c r="E192" s="784">
        <v>45000</v>
      </c>
      <c r="F192" s="762"/>
      <c r="G192" s="757"/>
      <c r="H192" s="763" t="s">
        <v>2789</v>
      </c>
      <c r="K192" s="746">
        <v>80000</v>
      </c>
    </row>
    <row r="193" spans="1:11">
      <c r="A193" s="754">
        <v>189</v>
      </c>
      <c r="B193" s="754"/>
      <c r="C193" s="760" t="s">
        <v>2845</v>
      </c>
      <c r="D193" s="766" t="s">
        <v>655</v>
      </c>
      <c r="E193" s="784">
        <v>48000</v>
      </c>
      <c r="F193" s="762"/>
      <c r="G193" s="757"/>
      <c r="H193" s="763" t="s">
        <v>2789</v>
      </c>
      <c r="K193" s="746">
        <v>122000</v>
      </c>
    </row>
    <row r="194" spans="1:11">
      <c r="A194" s="754">
        <v>190</v>
      </c>
      <c r="B194" s="754"/>
      <c r="C194" s="760" t="s">
        <v>2846</v>
      </c>
      <c r="D194" s="766" t="s">
        <v>655</v>
      </c>
      <c r="E194" s="784">
        <v>70000</v>
      </c>
      <c r="F194" s="762"/>
      <c r="G194" s="757"/>
      <c r="H194" s="763" t="s">
        <v>2789</v>
      </c>
      <c r="K194" s="746">
        <v>234000</v>
      </c>
    </row>
    <row r="195" spans="1:11">
      <c r="A195" s="754">
        <v>191</v>
      </c>
      <c r="B195" s="754"/>
      <c r="C195" s="760" t="s">
        <v>2847</v>
      </c>
      <c r="D195" s="766" t="s">
        <v>655</v>
      </c>
      <c r="E195" s="784">
        <v>25000</v>
      </c>
      <c r="F195" s="762"/>
      <c r="G195" s="757"/>
      <c r="H195" s="763" t="s">
        <v>2789</v>
      </c>
      <c r="K195" s="746">
        <v>34000</v>
      </c>
    </row>
    <row r="196" spans="1:11">
      <c r="A196" s="754">
        <v>192</v>
      </c>
      <c r="B196" s="754"/>
      <c r="C196" s="760" t="s">
        <v>2848</v>
      </c>
      <c r="D196" s="766" t="s">
        <v>655</v>
      </c>
      <c r="E196" s="784">
        <v>35000</v>
      </c>
      <c r="F196" s="762"/>
      <c r="G196" s="757"/>
      <c r="H196" s="763" t="s">
        <v>2789</v>
      </c>
      <c r="K196" s="746">
        <v>45000</v>
      </c>
    </row>
    <row r="197" spans="1:11" ht="30">
      <c r="A197" s="754">
        <v>193</v>
      </c>
      <c r="B197" s="754"/>
      <c r="C197" s="760" t="s">
        <v>2849</v>
      </c>
      <c r="D197" s="766" t="s">
        <v>655</v>
      </c>
      <c r="E197" s="785">
        <v>5200000</v>
      </c>
      <c r="F197" s="762"/>
      <c r="G197" s="757"/>
      <c r="H197" s="763" t="s">
        <v>2789</v>
      </c>
      <c r="K197" s="746">
        <v>4500000</v>
      </c>
    </row>
    <row r="198" spans="1:11">
      <c r="A198" s="754">
        <v>194</v>
      </c>
      <c r="B198" s="754"/>
      <c r="C198" s="760" t="s">
        <v>718</v>
      </c>
      <c r="D198" s="766" t="s">
        <v>655</v>
      </c>
      <c r="E198" s="784">
        <v>135000</v>
      </c>
      <c r="F198" s="762"/>
      <c r="G198" s="757"/>
      <c r="H198" s="763" t="s">
        <v>2789</v>
      </c>
      <c r="K198" s="746">
        <v>180000</v>
      </c>
    </row>
    <row r="199" spans="1:11">
      <c r="A199" s="754">
        <v>195</v>
      </c>
      <c r="B199" s="754"/>
      <c r="C199" s="760" t="s">
        <v>2850</v>
      </c>
      <c r="D199" s="766" t="s">
        <v>655</v>
      </c>
      <c r="E199" s="784">
        <v>20000</v>
      </c>
      <c r="F199" s="762"/>
      <c r="G199" s="757"/>
      <c r="H199" s="763" t="s">
        <v>2789</v>
      </c>
      <c r="K199" s="746">
        <v>23000</v>
      </c>
    </row>
    <row r="200" spans="1:11">
      <c r="A200" s="754">
        <v>196</v>
      </c>
      <c r="B200" s="754"/>
      <c r="C200" s="760" t="s">
        <v>2851</v>
      </c>
      <c r="D200" s="766" t="s">
        <v>655</v>
      </c>
      <c r="E200" s="784">
        <v>458000</v>
      </c>
      <c r="F200" s="762"/>
      <c r="G200" s="757"/>
      <c r="H200" s="763" t="s">
        <v>2789</v>
      </c>
      <c r="K200" s="746">
        <v>563000</v>
      </c>
    </row>
    <row r="201" spans="1:11" ht="17.25" customHeight="1">
      <c r="A201" s="754">
        <v>197</v>
      </c>
      <c r="B201" s="754"/>
      <c r="C201" s="760" t="s">
        <v>2852</v>
      </c>
      <c r="D201" s="766" t="s">
        <v>655</v>
      </c>
      <c r="E201" s="784">
        <v>125000</v>
      </c>
      <c r="F201" s="762"/>
      <c r="G201" s="757"/>
      <c r="H201" s="763" t="s">
        <v>2789</v>
      </c>
      <c r="K201" s="746">
        <v>183000</v>
      </c>
    </row>
    <row r="202" spans="1:11">
      <c r="A202" s="754">
        <v>198</v>
      </c>
      <c r="B202" s="754"/>
      <c r="C202" s="760" t="s">
        <v>2853</v>
      </c>
      <c r="D202" s="766" t="s">
        <v>655</v>
      </c>
      <c r="E202" s="784">
        <v>145000</v>
      </c>
      <c r="F202" s="762"/>
      <c r="G202" s="757"/>
      <c r="H202" s="763" t="s">
        <v>2789</v>
      </c>
      <c r="K202" s="746">
        <v>124000</v>
      </c>
    </row>
    <row r="203" spans="1:11">
      <c r="A203" s="754">
        <v>199</v>
      </c>
      <c r="B203" s="754"/>
      <c r="C203" s="760" t="s">
        <v>2854</v>
      </c>
      <c r="D203" s="766" t="s">
        <v>655</v>
      </c>
      <c r="E203" s="785">
        <v>4300000</v>
      </c>
      <c r="F203" s="762"/>
      <c r="G203" s="757"/>
      <c r="H203" s="763" t="s">
        <v>2789</v>
      </c>
      <c r="K203" s="746">
        <v>4050000</v>
      </c>
    </row>
    <row r="204" spans="1:11">
      <c r="A204" s="754">
        <v>200</v>
      </c>
      <c r="B204" s="754"/>
      <c r="C204" s="760" t="s">
        <v>2855</v>
      </c>
      <c r="D204" s="766" t="s">
        <v>655</v>
      </c>
      <c r="E204" s="785">
        <v>2400000</v>
      </c>
      <c r="F204" s="762"/>
      <c r="G204" s="757"/>
      <c r="H204" s="763" t="s">
        <v>2789</v>
      </c>
      <c r="K204" s="746">
        <v>2138000</v>
      </c>
    </row>
    <row r="205" spans="1:11">
      <c r="A205" s="754">
        <v>201</v>
      </c>
      <c r="B205" s="754"/>
      <c r="C205" s="760" t="s">
        <v>2856</v>
      </c>
      <c r="D205" s="766" t="s">
        <v>655</v>
      </c>
      <c r="E205" s="784">
        <v>22000</v>
      </c>
      <c r="F205" s="762"/>
      <c r="G205" s="757"/>
      <c r="H205" s="763" t="s">
        <v>2789</v>
      </c>
      <c r="K205" s="746">
        <v>30000</v>
      </c>
    </row>
    <row r="206" spans="1:11">
      <c r="A206" s="754">
        <v>202</v>
      </c>
      <c r="B206" s="754"/>
      <c r="C206" s="760" t="s">
        <v>2857</v>
      </c>
      <c r="D206" s="766" t="s">
        <v>655</v>
      </c>
      <c r="E206" s="784">
        <v>320000</v>
      </c>
      <c r="F206" s="762"/>
      <c r="G206" s="757"/>
      <c r="H206" s="763" t="s">
        <v>2789</v>
      </c>
      <c r="K206" s="746">
        <v>338000</v>
      </c>
    </row>
    <row r="207" spans="1:11">
      <c r="A207" s="754">
        <v>203</v>
      </c>
      <c r="B207" s="754"/>
      <c r="C207" s="760" t="s">
        <v>2858</v>
      </c>
      <c r="D207" s="766" t="s">
        <v>655</v>
      </c>
      <c r="E207" s="784">
        <v>180000</v>
      </c>
      <c r="F207" s="762"/>
      <c r="G207" s="757"/>
      <c r="H207" s="763" t="s">
        <v>2789</v>
      </c>
      <c r="K207" s="746">
        <v>194000</v>
      </c>
    </row>
    <row r="208" spans="1:11">
      <c r="A208" s="754">
        <v>204</v>
      </c>
      <c r="B208" s="754"/>
      <c r="C208" s="760" t="s">
        <v>2859</v>
      </c>
      <c r="D208" s="766" t="s">
        <v>655</v>
      </c>
      <c r="E208" s="784">
        <v>280000</v>
      </c>
      <c r="F208" s="762"/>
      <c r="G208" s="757"/>
      <c r="H208" s="763" t="s">
        <v>2789</v>
      </c>
      <c r="K208" s="746">
        <v>338000</v>
      </c>
    </row>
    <row r="209" spans="1:11">
      <c r="A209" s="754">
        <v>205</v>
      </c>
      <c r="B209" s="754"/>
      <c r="C209" s="760" t="s">
        <v>2860</v>
      </c>
      <c r="D209" s="766" t="s">
        <v>655</v>
      </c>
      <c r="E209" s="784">
        <v>480000</v>
      </c>
      <c r="F209" s="762"/>
      <c r="G209" s="757"/>
      <c r="H209" s="763" t="s">
        <v>2789</v>
      </c>
      <c r="K209" s="746">
        <v>495000</v>
      </c>
    </row>
    <row r="210" spans="1:11">
      <c r="A210" s="754">
        <v>206</v>
      </c>
      <c r="B210" s="754"/>
      <c r="C210" s="760" t="s">
        <v>2861</v>
      </c>
      <c r="D210" s="766" t="s">
        <v>655</v>
      </c>
      <c r="E210" s="784">
        <v>32000</v>
      </c>
      <c r="F210" s="762"/>
      <c r="G210" s="757"/>
      <c r="H210" s="763" t="s">
        <v>2789</v>
      </c>
      <c r="K210" s="746">
        <v>41000</v>
      </c>
    </row>
    <row r="211" spans="1:11">
      <c r="A211" s="754">
        <v>207</v>
      </c>
      <c r="B211" s="754"/>
      <c r="C211" s="760" t="s">
        <v>2862</v>
      </c>
      <c r="D211" s="766" t="s">
        <v>624</v>
      </c>
      <c r="E211" s="784">
        <v>95000</v>
      </c>
      <c r="F211" s="762"/>
      <c r="G211" s="757"/>
      <c r="H211" s="763" t="s">
        <v>2789</v>
      </c>
      <c r="K211" s="746">
        <v>122000</v>
      </c>
    </row>
    <row r="212" spans="1:11" ht="31.5">
      <c r="A212" s="754">
        <v>208</v>
      </c>
      <c r="B212" s="754"/>
      <c r="C212" s="760" t="s">
        <v>2863</v>
      </c>
      <c r="D212" s="766" t="s">
        <v>2803</v>
      </c>
      <c r="E212" s="784">
        <v>5000</v>
      </c>
      <c r="F212" s="762"/>
      <c r="G212" s="757"/>
      <c r="H212" s="763" t="s">
        <v>2668</v>
      </c>
      <c r="K212" s="746">
        <v>7000</v>
      </c>
    </row>
    <row r="213" spans="1:11" ht="31.5">
      <c r="A213" s="754">
        <v>209</v>
      </c>
      <c r="B213" s="754"/>
      <c r="C213" s="760" t="s">
        <v>2864</v>
      </c>
      <c r="D213" s="766" t="s">
        <v>655</v>
      </c>
      <c r="E213" s="784">
        <v>5000</v>
      </c>
      <c r="F213" s="762"/>
      <c r="G213" s="757"/>
      <c r="H213" s="763" t="s">
        <v>2668</v>
      </c>
      <c r="K213" s="746">
        <v>7000</v>
      </c>
    </row>
    <row r="214" spans="1:11">
      <c r="A214" s="754">
        <v>210</v>
      </c>
      <c r="B214" s="754"/>
      <c r="C214" s="760" t="s">
        <v>2865</v>
      </c>
      <c r="D214" s="766" t="s">
        <v>685</v>
      </c>
      <c r="E214" s="784">
        <v>35000</v>
      </c>
      <c r="F214" s="762"/>
      <c r="G214" s="757"/>
      <c r="H214" s="763" t="s">
        <v>2866</v>
      </c>
      <c r="K214" s="746">
        <v>43300</v>
      </c>
    </row>
    <row r="215" spans="1:11">
      <c r="A215" s="754">
        <v>211</v>
      </c>
      <c r="B215" s="754"/>
      <c r="C215" s="760" t="s">
        <v>2867</v>
      </c>
      <c r="D215" s="766" t="s">
        <v>655</v>
      </c>
      <c r="E215" s="784">
        <v>45000</v>
      </c>
      <c r="F215" s="762"/>
      <c r="G215" s="757"/>
      <c r="H215" s="763" t="s">
        <v>2789</v>
      </c>
      <c r="K215" s="746">
        <v>48000</v>
      </c>
    </row>
    <row r="216" spans="1:11">
      <c r="A216" s="754">
        <v>212</v>
      </c>
      <c r="B216" s="754"/>
      <c r="C216" s="760" t="s">
        <v>2868</v>
      </c>
      <c r="D216" s="766" t="s">
        <v>685</v>
      </c>
      <c r="E216" s="784">
        <v>385000</v>
      </c>
      <c r="F216" s="762"/>
      <c r="G216" s="757"/>
      <c r="H216" s="763" t="s">
        <v>2869</v>
      </c>
    </row>
    <row r="217" spans="1:11">
      <c r="A217" s="754">
        <v>213</v>
      </c>
      <c r="B217" s="754"/>
      <c r="C217" s="760" t="s">
        <v>2870</v>
      </c>
      <c r="D217" s="766" t="s">
        <v>685</v>
      </c>
      <c r="E217" s="784">
        <v>385000</v>
      </c>
      <c r="F217" s="762"/>
      <c r="G217" s="757"/>
      <c r="H217" s="763" t="s">
        <v>2871</v>
      </c>
      <c r="K217" s="746">
        <v>160379</v>
      </c>
    </row>
    <row r="218" spans="1:11">
      <c r="A218" s="754">
        <v>214</v>
      </c>
      <c r="B218" s="754"/>
      <c r="C218" s="760" t="s">
        <v>2872</v>
      </c>
      <c r="D218" s="766" t="s">
        <v>685</v>
      </c>
      <c r="E218" s="784">
        <v>55000</v>
      </c>
      <c r="F218" s="762"/>
      <c r="G218" s="757"/>
      <c r="H218" s="763"/>
      <c r="K218" s="746">
        <v>19451</v>
      </c>
    </row>
    <row r="219" spans="1:11">
      <c r="A219" s="754">
        <v>215</v>
      </c>
      <c r="B219" s="754"/>
      <c r="C219" s="760" t="s">
        <v>2873</v>
      </c>
      <c r="D219" s="766" t="s">
        <v>685</v>
      </c>
      <c r="E219" s="784">
        <v>68000</v>
      </c>
      <c r="F219" s="762"/>
      <c r="G219" s="757"/>
      <c r="H219" s="763"/>
      <c r="K219" s="746">
        <v>25690</v>
      </c>
    </row>
    <row r="220" spans="1:11">
      <c r="A220" s="754">
        <v>216</v>
      </c>
      <c r="B220" s="754"/>
      <c r="C220" s="760" t="s">
        <v>2874</v>
      </c>
      <c r="D220" s="766" t="s">
        <v>685</v>
      </c>
      <c r="E220" s="784">
        <v>112000</v>
      </c>
      <c r="F220" s="762"/>
      <c r="G220" s="757"/>
      <c r="H220" s="763"/>
      <c r="K220" s="746">
        <v>46425.5</v>
      </c>
    </row>
    <row r="221" spans="1:11">
      <c r="A221" s="754">
        <v>217</v>
      </c>
      <c r="B221" s="754"/>
      <c r="C221" s="760" t="s">
        <v>2875</v>
      </c>
      <c r="D221" s="766" t="s">
        <v>685</v>
      </c>
      <c r="E221" s="784">
        <v>165000</v>
      </c>
      <c r="F221" s="762"/>
      <c r="G221" s="757"/>
      <c r="H221" s="763"/>
      <c r="K221" s="746">
        <v>67528</v>
      </c>
    </row>
    <row r="222" spans="1:11">
      <c r="A222" s="754">
        <v>218</v>
      </c>
      <c r="B222" s="754"/>
      <c r="C222" s="760" t="s">
        <v>2876</v>
      </c>
      <c r="D222" s="766" t="s">
        <v>685</v>
      </c>
      <c r="E222" s="784">
        <v>210000</v>
      </c>
      <c r="F222" s="762"/>
      <c r="G222" s="757"/>
      <c r="H222" s="763"/>
      <c r="K222" s="746">
        <v>95970.500000000015</v>
      </c>
    </row>
    <row r="223" spans="1:11">
      <c r="A223" s="754">
        <v>219</v>
      </c>
      <c r="B223" s="754"/>
      <c r="C223" s="760" t="s">
        <v>2877</v>
      </c>
      <c r="D223" s="766" t="s">
        <v>685</v>
      </c>
      <c r="E223" s="784">
        <v>285000</v>
      </c>
      <c r="F223" s="762"/>
      <c r="G223" s="757"/>
      <c r="H223" s="763"/>
      <c r="K223" s="746">
        <v>114320.50000000001</v>
      </c>
    </row>
    <row r="224" spans="1:11">
      <c r="A224" s="754">
        <v>220</v>
      </c>
      <c r="B224" s="754"/>
      <c r="C224" s="760" t="s">
        <v>2878</v>
      </c>
      <c r="D224" s="766" t="s">
        <v>685</v>
      </c>
      <c r="E224" s="784">
        <v>285000</v>
      </c>
      <c r="F224" s="762"/>
      <c r="G224" s="757"/>
      <c r="H224" s="763" t="s">
        <v>2879</v>
      </c>
    </row>
    <row r="225" spans="1:11">
      <c r="A225" s="754">
        <v>221</v>
      </c>
      <c r="B225" s="754"/>
      <c r="C225" s="760" t="s">
        <v>2880</v>
      </c>
      <c r="D225" s="766" t="s">
        <v>685</v>
      </c>
      <c r="E225" s="762">
        <v>42572</v>
      </c>
      <c r="F225" s="762"/>
      <c r="G225" s="757"/>
      <c r="H225" s="763"/>
      <c r="K225" s="746">
        <v>42572</v>
      </c>
    </row>
    <row r="226" spans="1:11">
      <c r="A226" s="754">
        <v>222</v>
      </c>
      <c r="B226" s="754"/>
      <c r="C226" s="760" t="s">
        <v>2881</v>
      </c>
      <c r="D226" s="766" t="s">
        <v>2882</v>
      </c>
      <c r="E226" s="762">
        <v>25000</v>
      </c>
      <c r="F226" s="762"/>
      <c r="G226" s="757"/>
      <c r="H226" s="763"/>
    </row>
    <row r="227" spans="1:11">
      <c r="A227" s="754">
        <v>223</v>
      </c>
      <c r="B227" s="754"/>
      <c r="C227" s="760" t="s">
        <v>2883</v>
      </c>
      <c r="D227" s="766"/>
      <c r="E227" s="762">
        <v>125000</v>
      </c>
      <c r="F227" s="762"/>
      <c r="G227" s="757"/>
      <c r="H227" s="763"/>
    </row>
    <row r="228" spans="1:11">
      <c r="A228" s="754">
        <v>224</v>
      </c>
      <c r="B228" s="754"/>
      <c r="C228" s="760"/>
      <c r="D228" s="766"/>
      <c r="E228" s="762"/>
      <c r="F228" s="762"/>
      <c r="G228" s="757"/>
      <c r="H228" s="763"/>
    </row>
    <row r="229" spans="1:11">
      <c r="A229" s="754">
        <v>225</v>
      </c>
      <c r="B229" s="754"/>
      <c r="C229" s="760" t="s">
        <v>2884</v>
      </c>
      <c r="D229" s="766" t="s">
        <v>1730</v>
      </c>
      <c r="E229" s="762">
        <v>130239</v>
      </c>
      <c r="F229" s="762"/>
      <c r="G229" s="757"/>
      <c r="H229" s="763"/>
      <c r="K229" s="746">
        <v>138000</v>
      </c>
    </row>
    <row r="230" spans="1:11">
      <c r="A230" s="754">
        <v>226</v>
      </c>
      <c r="B230" s="754"/>
      <c r="C230" s="760" t="s">
        <v>2885</v>
      </c>
      <c r="D230" s="766" t="s">
        <v>1730</v>
      </c>
      <c r="E230" s="762">
        <v>160267</v>
      </c>
      <c r="F230" s="762"/>
      <c r="G230" s="757"/>
      <c r="H230" s="763"/>
      <c r="K230" s="746">
        <v>138000</v>
      </c>
    </row>
    <row r="231" spans="1:11">
      <c r="A231" s="754">
        <v>227</v>
      </c>
      <c r="B231" s="754"/>
      <c r="C231" s="760" t="s">
        <v>2886</v>
      </c>
      <c r="D231" s="766" t="s">
        <v>2887</v>
      </c>
      <c r="E231" s="784">
        <v>150000</v>
      </c>
      <c r="F231" s="762"/>
      <c r="G231" s="757"/>
      <c r="H231" s="763" t="s">
        <v>2789</v>
      </c>
      <c r="K231" s="746">
        <v>162000</v>
      </c>
    </row>
    <row r="232" spans="1:11">
      <c r="A232" s="754">
        <v>228</v>
      </c>
      <c r="B232" s="754"/>
      <c r="C232" s="760" t="s">
        <v>2888</v>
      </c>
      <c r="D232" s="766" t="s">
        <v>655</v>
      </c>
      <c r="E232" s="784">
        <v>8000</v>
      </c>
      <c r="F232" s="762"/>
      <c r="G232" s="757"/>
      <c r="H232" s="763" t="s">
        <v>2789</v>
      </c>
      <c r="K232" s="746">
        <v>14000</v>
      </c>
    </row>
    <row r="233" spans="1:11">
      <c r="A233" s="754">
        <v>229</v>
      </c>
      <c r="B233" s="754"/>
      <c r="C233" s="760" t="s">
        <v>2889</v>
      </c>
      <c r="D233" s="766" t="s">
        <v>655</v>
      </c>
      <c r="E233" s="785">
        <v>420000</v>
      </c>
      <c r="F233" s="762"/>
      <c r="G233" s="757"/>
      <c r="H233" s="763" t="s">
        <v>2789</v>
      </c>
      <c r="K233" s="746">
        <v>568000</v>
      </c>
    </row>
    <row r="234" spans="1:11">
      <c r="A234" s="754">
        <v>230</v>
      </c>
      <c r="B234" s="754"/>
      <c r="C234" s="760" t="s">
        <v>2890</v>
      </c>
      <c r="D234" s="766" t="s">
        <v>655</v>
      </c>
      <c r="E234" s="785">
        <v>420000</v>
      </c>
      <c r="F234" s="762"/>
      <c r="G234" s="757"/>
      <c r="H234" s="763" t="s">
        <v>2789</v>
      </c>
      <c r="K234" s="746">
        <v>585000</v>
      </c>
    </row>
    <row r="235" spans="1:11">
      <c r="A235" s="754">
        <v>231</v>
      </c>
      <c r="B235" s="754"/>
      <c r="C235" s="760" t="s">
        <v>2891</v>
      </c>
      <c r="D235" s="766" t="s">
        <v>655</v>
      </c>
      <c r="E235" s="785">
        <v>420000</v>
      </c>
      <c r="F235" s="762"/>
      <c r="G235" s="757"/>
      <c r="H235" s="763" t="s">
        <v>2789</v>
      </c>
      <c r="K235" s="746">
        <v>585000</v>
      </c>
    </row>
    <row r="236" spans="1:11">
      <c r="A236" s="754">
        <v>232</v>
      </c>
      <c r="B236" s="754"/>
      <c r="C236" s="760" t="s">
        <v>2892</v>
      </c>
      <c r="D236" s="766" t="s">
        <v>655</v>
      </c>
      <c r="E236" s="785">
        <v>420000</v>
      </c>
      <c r="F236" s="762"/>
      <c r="G236" s="757"/>
      <c r="H236" s="763" t="s">
        <v>2789</v>
      </c>
      <c r="K236" s="746">
        <v>585000</v>
      </c>
    </row>
    <row r="237" spans="1:11">
      <c r="A237" s="754">
        <v>233</v>
      </c>
      <c r="B237" s="754"/>
      <c r="C237" s="760" t="s">
        <v>2893</v>
      </c>
      <c r="D237" s="766" t="s">
        <v>655</v>
      </c>
      <c r="E237" s="762">
        <v>25000</v>
      </c>
      <c r="F237" s="762"/>
      <c r="G237" s="757"/>
      <c r="H237" s="763" t="s">
        <v>2789</v>
      </c>
      <c r="K237" s="746">
        <v>27000</v>
      </c>
    </row>
    <row r="238" spans="1:11">
      <c r="A238" s="754">
        <v>234</v>
      </c>
      <c r="B238" s="754"/>
      <c r="C238" s="760" t="s">
        <v>2894</v>
      </c>
      <c r="D238" s="766" t="s">
        <v>655</v>
      </c>
      <c r="E238" s="762">
        <v>25000</v>
      </c>
      <c r="F238" s="762"/>
      <c r="G238" s="757"/>
      <c r="H238" s="763" t="s">
        <v>2789</v>
      </c>
      <c r="K238" s="746">
        <v>27000</v>
      </c>
    </row>
    <row r="239" spans="1:11">
      <c r="A239" s="754">
        <v>235</v>
      </c>
      <c r="B239" s="754"/>
      <c r="C239" s="760" t="s">
        <v>2895</v>
      </c>
      <c r="D239" s="766" t="s">
        <v>655</v>
      </c>
      <c r="E239" s="762">
        <v>35000</v>
      </c>
      <c r="F239" s="762"/>
      <c r="G239" s="757"/>
      <c r="H239" s="763" t="s">
        <v>2789</v>
      </c>
      <c r="K239" s="746">
        <v>39000</v>
      </c>
    </row>
    <row r="240" spans="1:11">
      <c r="A240" s="754">
        <v>236</v>
      </c>
      <c r="B240" s="754"/>
      <c r="C240" s="760" t="s">
        <v>2896</v>
      </c>
      <c r="D240" s="766" t="s">
        <v>655</v>
      </c>
      <c r="E240" s="762">
        <v>35000</v>
      </c>
      <c r="F240" s="762"/>
      <c r="G240" s="757"/>
      <c r="H240" s="763" t="s">
        <v>2789</v>
      </c>
      <c r="K240" s="746">
        <v>39000</v>
      </c>
    </row>
    <row r="241" spans="1:11">
      <c r="A241" s="754">
        <v>237</v>
      </c>
      <c r="B241" s="754"/>
      <c r="C241" s="760" t="s">
        <v>2897</v>
      </c>
      <c r="D241" s="766" t="s">
        <v>655</v>
      </c>
      <c r="E241" s="762">
        <v>35000</v>
      </c>
      <c r="F241" s="762"/>
      <c r="G241" s="757"/>
      <c r="H241" s="763" t="s">
        <v>2789</v>
      </c>
      <c r="K241" s="746">
        <v>39000</v>
      </c>
    </row>
    <row r="242" spans="1:11">
      <c r="A242" s="754">
        <v>238</v>
      </c>
      <c r="B242" s="754"/>
      <c r="C242" s="760" t="s">
        <v>2898</v>
      </c>
      <c r="D242" s="766" t="s">
        <v>655</v>
      </c>
      <c r="E242" s="784">
        <v>175000</v>
      </c>
      <c r="F242" s="762"/>
      <c r="G242" s="757"/>
      <c r="H242" s="763" t="s">
        <v>2789</v>
      </c>
      <c r="K242" s="746">
        <v>189000</v>
      </c>
    </row>
    <row r="243" spans="1:11">
      <c r="A243" s="754">
        <v>239</v>
      </c>
      <c r="B243" s="754"/>
      <c r="C243" s="760" t="s">
        <v>2899</v>
      </c>
      <c r="D243" s="766" t="s">
        <v>655</v>
      </c>
      <c r="E243" s="784">
        <v>180000</v>
      </c>
      <c r="F243" s="762"/>
      <c r="G243" s="757"/>
      <c r="H243" s="763" t="s">
        <v>2789</v>
      </c>
      <c r="K243" s="746">
        <v>216000</v>
      </c>
    </row>
    <row r="244" spans="1:11">
      <c r="A244" s="754">
        <v>240</v>
      </c>
      <c r="B244" s="754"/>
      <c r="C244" s="760" t="s">
        <v>2900</v>
      </c>
      <c r="D244" s="766" t="s">
        <v>655</v>
      </c>
      <c r="E244" s="784">
        <v>180000</v>
      </c>
      <c r="F244" s="762"/>
      <c r="G244" s="757"/>
      <c r="H244" s="763" t="s">
        <v>2789</v>
      </c>
      <c r="K244" s="746">
        <v>222000</v>
      </c>
    </row>
    <row r="245" spans="1:11">
      <c r="A245" s="754">
        <v>241</v>
      </c>
      <c r="B245" s="754"/>
      <c r="C245" s="760" t="s">
        <v>2901</v>
      </c>
      <c r="D245" s="766" t="s">
        <v>655</v>
      </c>
      <c r="E245" s="784">
        <v>180000</v>
      </c>
      <c r="F245" s="762"/>
      <c r="G245" s="757"/>
      <c r="H245" s="763" t="s">
        <v>2789</v>
      </c>
      <c r="K245" s="746">
        <v>220000</v>
      </c>
    </row>
    <row r="246" spans="1:11">
      <c r="A246" s="754">
        <v>242</v>
      </c>
      <c r="B246" s="754"/>
      <c r="C246" s="760" t="s">
        <v>2902</v>
      </c>
      <c r="D246" s="766" t="s">
        <v>655</v>
      </c>
      <c r="E246" s="784">
        <v>180000</v>
      </c>
      <c r="F246" s="762"/>
      <c r="G246" s="757"/>
      <c r="H246" s="763" t="s">
        <v>2789</v>
      </c>
      <c r="K246" s="746">
        <v>222000</v>
      </c>
    </row>
    <row r="247" spans="1:11" ht="30">
      <c r="A247" s="754">
        <v>243</v>
      </c>
      <c r="B247" s="754"/>
      <c r="C247" s="760" t="s">
        <v>2903</v>
      </c>
      <c r="D247" s="766" t="s">
        <v>2904</v>
      </c>
      <c r="E247" s="784">
        <v>2850000</v>
      </c>
      <c r="F247" s="762"/>
      <c r="G247" s="757"/>
      <c r="H247" s="763" t="s">
        <v>2789</v>
      </c>
      <c r="K247" s="746">
        <v>3375000</v>
      </c>
    </row>
    <row r="248" spans="1:11">
      <c r="A248" s="754">
        <v>244</v>
      </c>
      <c r="B248" s="754"/>
      <c r="C248" s="760" t="s">
        <v>2905</v>
      </c>
      <c r="D248" s="766" t="s">
        <v>2904</v>
      </c>
      <c r="E248" s="784">
        <v>1500000</v>
      </c>
      <c r="F248" s="762"/>
      <c r="G248" s="757"/>
      <c r="H248" s="763" t="s">
        <v>2789</v>
      </c>
      <c r="K248" s="746">
        <v>1913000</v>
      </c>
    </row>
    <row r="249" spans="1:11">
      <c r="A249" s="754">
        <v>245</v>
      </c>
      <c r="B249" s="754"/>
      <c r="C249" s="760" t="s">
        <v>2906</v>
      </c>
      <c r="D249" s="766" t="s">
        <v>2904</v>
      </c>
      <c r="E249" s="785">
        <v>3200000</v>
      </c>
      <c r="F249" s="762"/>
      <c r="G249" s="757"/>
      <c r="H249" s="763" t="s">
        <v>2789</v>
      </c>
      <c r="K249" s="746">
        <v>3375000</v>
      </c>
    </row>
    <row r="250" spans="1:11" ht="30">
      <c r="A250" s="754">
        <v>246</v>
      </c>
      <c r="B250" s="754"/>
      <c r="C250" s="760" t="s">
        <v>2907</v>
      </c>
      <c r="D250" s="766" t="s">
        <v>655</v>
      </c>
      <c r="E250" s="785">
        <v>3180000</v>
      </c>
      <c r="F250" s="762"/>
      <c r="G250" s="757"/>
      <c r="H250" s="763" t="s">
        <v>2789</v>
      </c>
      <c r="K250" s="746">
        <v>3375000</v>
      </c>
    </row>
    <row r="251" spans="1:11">
      <c r="A251" s="754">
        <v>247</v>
      </c>
      <c r="B251" s="754"/>
      <c r="C251" s="760" t="s">
        <v>2908</v>
      </c>
      <c r="D251" s="766" t="s">
        <v>655</v>
      </c>
      <c r="E251" s="785">
        <v>880000</v>
      </c>
      <c r="F251" s="762"/>
      <c r="G251" s="757"/>
      <c r="H251" s="763" t="s">
        <v>2789</v>
      </c>
      <c r="K251" s="746">
        <v>765000</v>
      </c>
    </row>
    <row r="252" spans="1:11">
      <c r="A252" s="754">
        <v>248</v>
      </c>
      <c r="B252" s="754"/>
      <c r="C252" s="760" t="s">
        <v>2909</v>
      </c>
      <c r="D252" s="766" t="s">
        <v>685</v>
      </c>
      <c r="E252" s="784">
        <v>16000</v>
      </c>
      <c r="F252" s="762"/>
      <c r="G252" s="757"/>
      <c r="H252" s="763" t="s">
        <v>2789</v>
      </c>
      <c r="K252" s="746">
        <v>54000</v>
      </c>
    </row>
    <row r="253" spans="1:11">
      <c r="A253" s="754">
        <v>249</v>
      </c>
      <c r="B253" s="754"/>
      <c r="C253" s="760" t="s">
        <v>2910</v>
      </c>
      <c r="D253" s="766" t="s">
        <v>655</v>
      </c>
      <c r="E253" s="784">
        <v>16150000</v>
      </c>
      <c r="F253" s="762"/>
      <c r="G253" s="757"/>
      <c r="H253" s="763" t="s">
        <v>2789</v>
      </c>
      <c r="K253" s="746">
        <v>16124000</v>
      </c>
    </row>
    <row r="254" spans="1:11">
      <c r="A254" s="754">
        <v>250</v>
      </c>
      <c r="B254" s="754"/>
      <c r="C254" s="760" t="s">
        <v>2911</v>
      </c>
      <c r="D254" s="766" t="s">
        <v>655</v>
      </c>
      <c r="E254" s="784">
        <v>180000</v>
      </c>
      <c r="F254" s="762"/>
      <c r="G254" s="757"/>
      <c r="H254" s="763" t="s">
        <v>2789</v>
      </c>
      <c r="K254" s="746">
        <v>104000</v>
      </c>
    </row>
    <row r="255" spans="1:11">
      <c r="A255" s="754">
        <v>251</v>
      </c>
      <c r="B255" s="754"/>
      <c r="C255" s="760" t="s">
        <v>2912</v>
      </c>
      <c r="D255" s="766" t="s">
        <v>655</v>
      </c>
      <c r="E255" s="786">
        <v>820000</v>
      </c>
      <c r="F255" s="762"/>
      <c r="G255" s="757"/>
      <c r="H255" s="763" t="s">
        <v>2789</v>
      </c>
      <c r="K255" s="746">
        <v>729000</v>
      </c>
    </row>
    <row r="256" spans="1:11">
      <c r="A256" s="754">
        <v>252</v>
      </c>
      <c r="B256" s="754"/>
      <c r="C256" s="760" t="s">
        <v>2913</v>
      </c>
      <c r="D256" s="766" t="s">
        <v>655</v>
      </c>
      <c r="E256" s="784">
        <v>4841000</v>
      </c>
      <c r="F256" s="762"/>
      <c r="G256" s="757"/>
      <c r="H256" s="763" t="s">
        <v>2789</v>
      </c>
      <c r="K256" s="746">
        <v>5279000</v>
      </c>
    </row>
    <row r="257" spans="1:11">
      <c r="A257" s="754">
        <v>253</v>
      </c>
      <c r="B257" s="754"/>
      <c r="C257" s="760" t="s">
        <v>2914</v>
      </c>
      <c r="D257" s="766" t="s">
        <v>655</v>
      </c>
      <c r="E257" s="784">
        <v>420000</v>
      </c>
      <c r="F257" s="762"/>
      <c r="G257" s="757"/>
      <c r="H257" s="763" t="s">
        <v>2789</v>
      </c>
      <c r="K257" s="746">
        <v>2250000</v>
      </c>
    </row>
    <row r="258" spans="1:11">
      <c r="A258" s="754">
        <v>254</v>
      </c>
      <c r="B258" s="754"/>
      <c r="C258" s="760" t="s">
        <v>2915</v>
      </c>
      <c r="D258" s="766" t="s">
        <v>655</v>
      </c>
      <c r="E258" s="784">
        <v>682000</v>
      </c>
      <c r="F258" s="762"/>
      <c r="G258" s="757"/>
      <c r="H258" s="763" t="s">
        <v>2789</v>
      </c>
      <c r="I258" s="764"/>
      <c r="K258" s="746">
        <v>2700000</v>
      </c>
    </row>
    <row r="259" spans="1:11">
      <c r="A259" s="754">
        <v>255</v>
      </c>
      <c r="B259" s="754"/>
      <c r="C259" s="760" t="s">
        <v>2916</v>
      </c>
      <c r="D259" s="766" t="s">
        <v>655</v>
      </c>
      <c r="E259" s="784">
        <v>2250000</v>
      </c>
      <c r="F259" s="762"/>
      <c r="G259" s="757"/>
      <c r="H259" s="763" t="s">
        <v>2789</v>
      </c>
      <c r="K259" s="746">
        <v>3096000</v>
      </c>
    </row>
    <row r="260" spans="1:11">
      <c r="A260" s="754">
        <v>256</v>
      </c>
      <c r="B260" s="754"/>
      <c r="C260" s="760" t="s">
        <v>2917</v>
      </c>
      <c r="D260" s="766" t="s">
        <v>655</v>
      </c>
      <c r="E260" s="784">
        <v>3250000</v>
      </c>
      <c r="F260" s="762"/>
      <c r="G260" s="757"/>
      <c r="H260" s="763" t="s">
        <v>2789</v>
      </c>
      <c r="I260" s="787"/>
      <c r="K260" s="746">
        <v>3600000</v>
      </c>
    </row>
    <row r="261" spans="1:11">
      <c r="A261" s="754">
        <v>257</v>
      </c>
      <c r="B261" s="754"/>
      <c r="C261" s="760" t="s">
        <v>2918</v>
      </c>
      <c r="D261" s="766" t="s">
        <v>655</v>
      </c>
      <c r="E261" s="784">
        <v>4880000</v>
      </c>
      <c r="F261" s="762"/>
      <c r="G261" s="757"/>
      <c r="H261" s="763" t="s">
        <v>2789</v>
      </c>
      <c r="I261" s="788"/>
      <c r="K261" s="746">
        <v>4725000</v>
      </c>
    </row>
    <row r="262" spans="1:11">
      <c r="A262" s="754">
        <v>258</v>
      </c>
      <c r="B262" s="754"/>
      <c r="C262" s="760" t="s">
        <v>2919</v>
      </c>
      <c r="D262" s="766" t="s">
        <v>655</v>
      </c>
      <c r="E262" s="784">
        <v>1850000</v>
      </c>
      <c r="F262" s="762"/>
      <c r="G262" s="757"/>
      <c r="H262" s="763" t="s">
        <v>2789</v>
      </c>
      <c r="I262" s="788"/>
      <c r="K262" s="746">
        <v>2700000</v>
      </c>
    </row>
    <row r="263" spans="1:11">
      <c r="A263" s="754">
        <v>259</v>
      </c>
      <c r="B263" s="754"/>
      <c r="C263" s="760" t="s">
        <v>2920</v>
      </c>
      <c r="D263" s="766" t="s">
        <v>655</v>
      </c>
      <c r="E263" s="784">
        <v>750000</v>
      </c>
      <c r="F263" s="762"/>
      <c r="G263" s="757"/>
      <c r="H263" s="763" t="s">
        <v>2789</v>
      </c>
      <c r="K263" s="746">
        <v>788000</v>
      </c>
    </row>
    <row r="264" spans="1:11">
      <c r="A264" s="754">
        <v>260</v>
      </c>
      <c r="B264" s="754"/>
      <c r="C264" s="760" t="s">
        <v>2921</v>
      </c>
      <c r="D264" s="766" t="s">
        <v>655</v>
      </c>
      <c r="E264" s="784">
        <v>3540000</v>
      </c>
      <c r="F264" s="762"/>
      <c r="G264" s="757"/>
      <c r="H264" s="763" t="s">
        <v>2789</v>
      </c>
      <c r="K264" s="746">
        <v>5407000</v>
      </c>
    </row>
    <row r="265" spans="1:11">
      <c r="A265" s="754">
        <v>261</v>
      </c>
      <c r="B265" s="754"/>
      <c r="C265" s="760" t="s">
        <v>2922</v>
      </c>
      <c r="D265" s="766" t="s">
        <v>655</v>
      </c>
      <c r="E265" s="784">
        <v>1850000</v>
      </c>
      <c r="F265" s="762"/>
      <c r="G265" s="757"/>
      <c r="H265" s="763" t="s">
        <v>2789</v>
      </c>
      <c r="K265" s="746">
        <v>2250000</v>
      </c>
    </row>
    <row r="266" spans="1:11">
      <c r="A266" s="754">
        <v>262</v>
      </c>
      <c r="B266" s="754"/>
      <c r="C266" s="789" t="s">
        <v>2923</v>
      </c>
      <c r="D266" s="766"/>
      <c r="E266" s="762"/>
      <c r="F266" s="762"/>
      <c r="G266" s="757"/>
      <c r="H266" s="763"/>
    </row>
    <row r="267" spans="1:11" ht="30">
      <c r="A267" s="754">
        <v>263</v>
      </c>
      <c r="B267" s="754"/>
      <c r="C267" s="760" t="s">
        <v>2924</v>
      </c>
      <c r="D267" s="766" t="s">
        <v>655</v>
      </c>
      <c r="E267" s="790">
        <v>388096</v>
      </c>
      <c r="F267" s="762"/>
      <c r="G267" s="757"/>
      <c r="H267" s="763" t="s">
        <v>2789</v>
      </c>
      <c r="K267" s="746">
        <v>468000</v>
      </c>
    </row>
    <row r="268" spans="1:11" ht="30">
      <c r="A268" s="754">
        <v>264</v>
      </c>
      <c r="B268" s="754"/>
      <c r="C268" s="760" t="s">
        <v>2925</v>
      </c>
      <c r="D268" s="766" t="s">
        <v>655</v>
      </c>
      <c r="E268" s="790">
        <v>425136</v>
      </c>
      <c r="F268" s="762"/>
      <c r="G268" s="757"/>
      <c r="H268" s="763" t="s">
        <v>2789</v>
      </c>
      <c r="K268" s="746">
        <v>575000</v>
      </c>
    </row>
    <row r="269" spans="1:11" ht="30">
      <c r="A269" s="754">
        <v>265</v>
      </c>
      <c r="B269" s="754"/>
      <c r="C269" s="760" t="s">
        <v>2926</v>
      </c>
      <c r="D269" s="766" t="s">
        <v>655</v>
      </c>
      <c r="E269" s="790">
        <v>425136</v>
      </c>
      <c r="F269" s="762"/>
      <c r="G269" s="757"/>
      <c r="H269" s="763" t="s">
        <v>2789</v>
      </c>
      <c r="K269" s="746">
        <v>575000</v>
      </c>
    </row>
    <row r="270" spans="1:11" ht="30">
      <c r="A270" s="754">
        <v>266</v>
      </c>
      <c r="B270" s="754"/>
      <c r="C270" s="760" t="s">
        <v>2927</v>
      </c>
      <c r="D270" s="766" t="s">
        <v>655</v>
      </c>
      <c r="E270" s="762">
        <v>442176</v>
      </c>
      <c r="F270" s="762"/>
      <c r="G270" s="757"/>
      <c r="H270" s="763" t="s">
        <v>2789</v>
      </c>
      <c r="K270" s="746">
        <v>599000</v>
      </c>
    </row>
    <row r="271" spans="1:11" ht="31.5">
      <c r="A271" s="754">
        <v>267</v>
      </c>
      <c r="B271" s="754"/>
      <c r="C271" s="760" t="s">
        <v>2928</v>
      </c>
      <c r="D271" s="766" t="s">
        <v>655</v>
      </c>
      <c r="E271" s="762">
        <v>5000</v>
      </c>
      <c r="F271" s="762"/>
      <c r="G271" s="757"/>
      <c r="H271" s="763" t="s">
        <v>2668</v>
      </c>
      <c r="K271" s="746">
        <v>5000</v>
      </c>
    </row>
    <row r="272" spans="1:11" ht="30">
      <c r="A272" s="754">
        <v>268</v>
      </c>
      <c r="B272" s="754"/>
      <c r="C272" s="760" t="s">
        <v>2929</v>
      </c>
      <c r="D272" s="766" t="s">
        <v>655</v>
      </c>
      <c r="E272" s="762">
        <v>448000</v>
      </c>
      <c r="F272" s="762"/>
      <c r="G272" s="757"/>
      <c r="H272" s="763" t="s">
        <v>2789</v>
      </c>
      <c r="K272" s="746">
        <v>2357000</v>
      </c>
    </row>
    <row r="273" spans="1:11" ht="30">
      <c r="A273" s="754">
        <v>269</v>
      </c>
      <c r="B273" s="754"/>
      <c r="C273" s="760" t="s">
        <v>2930</v>
      </c>
      <c r="D273" s="766" t="s">
        <v>655</v>
      </c>
      <c r="E273" s="762">
        <v>492800</v>
      </c>
      <c r="F273" s="762"/>
      <c r="G273" s="757"/>
      <c r="H273" s="763" t="s">
        <v>2789</v>
      </c>
      <c r="K273" s="746">
        <v>2564000</v>
      </c>
    </row>
    <row r="274" spans="1:11" ht="30">
      <c r="A274" s="754">
        <v>270</v>
      </c>
      <c r="B274" s="754"/>
      <c r="C274" s="760" t="s">
        <v>2931</v>
      </c>
      <c r="D274" s="766" t="s">
        <v>655</v>
      </c>
      <c r="E274" s="762">
        <v>582400</v>
      </c>
      <c r="F274" s="762"/>
      <c r="G274" s="757"/>
      <c r="H274" s="763" t="s">
        <v>2789</v>
      </c>
      <c r="K274" s="746">
        <v>2975000</v>
      </c>
    </row>
    <row r="275" spans="1:11">
      <c r="A275" s="754">
        <v>271</v>
      </c>
      <c r="B275" s="754"/>
      <c r="C275" s="760" t="s">
        <v>2932</v>
      </c>
      <c r="D275" s="766" t="s">
        <v>655</v>
      </c>
      <c r="E275" s="790">
        <v>1510400</v>
      </c>
      <c r="F275" s="762"/>
      <c r="G275" s="757"/>
      <c r="H275" s="763" t="s">
        <v>2789</v>
      </c>
      <c r="K275" s="746">
        <v>3342000</v>
      </c>
    </row>
    <row r="276" spans="1:11">
      <c r="A276" s="754">
        <v>272</v>
      </c>
      <c r="B276" s="754"/>
      <c r="C276" s="760" t="s">
        <v>2933</v>
      </c>
      <c r="D276" s="766" t="s">
        <v>655</v>
      </c>
      <c r="E276" s="790">
        <v>2350400</v>
      </c>
      <c r="F276" s="762"/>
      <c r="G276" s="757"/>
      <c r="H276" s="763" t="s">
        <v>2789</v>
      </c>
      <c r="K276" s="746">
        <v>4766000</v>
      </c>
    </row>
    <row r="277" spans="1:11">
      <c r="A277" s="754">
        <v>273</v>
      </c>
      <c r="B277" s="754"/>
      <c r="C277" s="760" t="s">
        <v>2934</v>
      </c>
      <c r="D277" s="766" t="s">
        <v>655</v>
      </c>
      <c r="E277" s="790">
        <v>2350400</v>
      </c>
      <c r="F277" s="762"/>
      <c r="G277" s="757"/>
      <c r="H277" s="763" t="s">
        <v>2789</v>
      </c>
      <c r="K277" s="746">
        <v>4766000</v>
      </c>
    </row>
    <row r="278" spans="1:11">
      <c r="A278" s="754">
        <v>274</v>
      </c>
      <c r="B278" s="754"/>
      <c r="C278" s="760" t="s">
        <v>2935</v>
      </c>
      <c r="D278" s="766" t="s">
        <v>655</v>
      </c>
      <c r="E278" s="790">
        <v>2708800</v>
      </c>
      <c r="F278" s="762"/>
      <c r="G278" s="757"/>
      <c r="H278" s="763" t="s">
        <v>2789</v>
      </c>
      <c r="K278" s="746">
        <v>5633000</v>
      </c>
    </row>
    <row r="279" spans="1:11">
      <c r="A279" s="754">
        <v>275</v>
      </c>
      <c r="B279" s="754"/>
      <c r="C279" s="760" t="s">
        <v>2936</v>
      </c>
      <c r="D279" s="766" t="s">
        <v>655</v>
      </c>
      <c r="E279" s="790">
        <v>2708800</v>
      </c>
      <c r="F279" s="762"/>
      <c r="G279" s="757"/>
      <c r="H279" s="763" t="s">
        <v>2789</v>
      </c>
      <c r="K279" s="746">
        <v>5633000</v>
      </c>
    </row>
    <row r="280" spans="1:11" ht="30">
      <c r="A280" s="754">
        <v>276</v>
      </c>
      <c r="B280" s="754"/>
      <c r="C280" s="760" t="s">
        <v>2937</v>
      </c>
      <c r="D280" s="766" t="s">
        <v>655</v>
      </c>
      <c r="E280" s="790">
        <v>2350400</v>
      </c>
      <c r="F280" s="762"/>
      <c r="G280" s="757"/>
      <c r="H280" s="763" t="s">
        <v>2789</v>
      </c>
      <c r="K280" s="746">
        <v>4947000</v>
      </c>
    </row>
    <row r="281" spans="1:11" ht="30">
      <c r="A281" s="754">
        <v>277</v>
      </c>
      <c r="B281" s="754"/>
      <c r="C281" s="760" t="s">
        <v>2938</v>
      </c>
      <c r="D281" s="766" t="s">
        <v>648</v>
      </c>
      <c r="E281" s="790">
        <v>5000000</v>
      </c>
      <c r="F281" s="762"/>
      <c r="G281" s="757"/>
      <c r="H281" s="763" t="s">
        <v>2789</v>
      </c>
      <c r="K281" s="746">
        <v>5000000</v>
      </c>
    </row>
    <row r="282" spans="1:11" ht="30">
      <c r="A282" s="754">
        <v>278</v>
      </c>
      <c r="B282" s="754"/>
      <c r="C282" s="760" t="s">
        <v>2939</v>
      </c>
      <c r="D282" s="766" t="s">
        <v>655</v>
      </c>
      <c r="E282" s="790">
        <v>548000</v>
      </c>
      <c r="F282" s="762"/>
      <c r="G282" s="757"/>
      <c r="H282" s="763" t="s">
        <v>2789</v>
      </c>
      <c r="K282" s="746">
        <v>947000</v>
      </c>
    </row>
    <row r="283" spans="1:11" ht="30">
      <c r="A283" s="754">
        <v>279</v>
      </c>
      <c r="B283" s="754"/>
      <c r="C283" s="760" t="s">
        <v>2940</v>
      </c>
      <c r="D283" s="766" t="s">
        <v>655</v>
      </c>
      <c r="E283" s="790">
        <v>584000</v>
      </c>
      <c r="F283" s="762"/>
      <c r="G283" s="757"/>
      <c r="H283" s="763" t="s">
        <v>2789</v>
      </c>
      <c r="K283" s="746">
        <v>1065000</v>
      </c>
    </row>
    <row r="284" spans="1:11" ht="30">
      <c r="A284" s="754">
        <v>280</v>
      </c>
      <c r="B284" s="754"/>
      <c r="C284" s="760" t="s">
        <v>2941</v>
      </c>
      <c r="D284" s="766" t="s">
        <v>655</v>
      </c>
      <c r="E284" s="790">
        <v>584000</v>
      </c>
      <c r="F284" s="762"/>
      <c r="G284" s="757"/>
      <c r="H284" s="763" t="s">
        <v>2789</v>
      </c>
      <c r="K284" s="746">
        <v>2423000</v>
      </c>
    </row>
    <row r="285" spans="1:11" ht="30">
      <c r="A285" s="754">
        <v>281</v>
      </c>
      <c r="B285" s="754"/>
      <c r="C285" s="760" t="s">
        <v>2942</v>
      </c>
      <c r="D285" s="766" t="s">
        <v>655</v>
      </c>
      <c r="E285" s="790">
        <v>1812800</v>
      </c>
      <c r="F285" s="762"/>
      <c r="G285" s="757"/>
      <c r="H285" s="763" t="s">
        <v>2789</v>
      </c>
      <c r="K285" s="746">
        <v>2513000</v>
      </c>
    </row>
    <row r="286" spans="1:11" ht="30">
      <c r="A286" s="754">
        <v>282</v>
      </c>
      <c r="B286" s="754"/>
      <c r="C286" s="760" t="s">
        <v>2943</v>
      </c>
      <c r="D286" s="766" t="s">
        <v>655</v>
      </c>
      <c r="E286" s="790">
        <v>660000</v>
      </c>
      <c r="F286" s="762"/>
      <c r="G286" s="757"/>
      <c r="H286" s="763" t="s">
        <v>2789</v>
      </c>
      <c r="K286" s="746">
        <v>1183000</v>
      </c>
    </row>
    <row r="287" spans="1:11" ht="30">
      <c r="A287" s="754">
        <v>283</v>
      </c>
      <c r="B287" s="754"/>
      <c r="C287" s="760" t="s">
        <v>2944</v>
      </c>
      <c r="D287" s="766" t="s">
        <v>655</v>
      </c>
      <c r="E287" s="790">
        <v>660000</v>
      </c>
      <c r="F287" s="762"/>
      <c r="G287" s="757"/>
      <c r="H287" s="763" t="s">
        <v>2789</v>
      </c>
      <c r="K287" s="746">
        <v>1183000</v>
      </c>
    </row>
    <row r="288" spans="1:11" ht="30">
      <c r="A288" s="754">
        <v>284</v>
      </c>
      <c r="B288" s="754"/>
      <c r="C288" s="760" t="s">
        <v>2945</v>
      </c>
      <c r="D288" s="766" t="s">
        <v>655</v>
      </c>
      <c r="E288" s="790">
        <v>1814400.0000000002</v>
      </c>
      <c r="F288" s="762"/>
      <c r="G288" s="757"/>
      <c r="H288" s="763" t="s">
        <v>2789</v>
      </c>
      <c r="K288" s="746">
        <v>2513000</v>
      </c>
    </row>
    <row r="289" spans="1:11" ht="30">
      <c r="A289" s="754">
        <v>285</v>
      </c>
      <c r="B289" s="754"/>
      <c r="C289" s="760" t="s">
        <v>2946</v>
      </c>
      <c r="D289" s="766" t="s">
        <v>655</v>
      </c>
      <c r="E289" s="790">
        <v>1814400.0000000002</v>
      </c>
      <c r="F289" s="762"/>
      <c r="G289" s="757"/>
      <c r="H289" s="763" t="s">
        <v>2789</v>
      </c>
      <c r="K289" s="746">
        <v>2051000</v>
      </c>
    </row>
    <row r="290" spans="1:11" ht="30">
      <c r="A290" s="754">
        <v>286</v>
      </c>
      <c r="B290" s="754"/>
      <c r="C290" s="760" t="s">
        <v>2947</v>
      </c>
      <c r="D290" s="766" t="s">
        <v>655</v>
      </c>
      <c r="E290" s="790">
        <v>1814400.0000000002</v>
      </c>
      <c r="F290" s="762"/>
      <c r="G290" s="757"/>
      <c r="H290" s="763" t="s">
        <v>2789</v>
      </c>
      <c r="K290" s="746">
        <v>2423000</v>
      </c>
    </row>
    <row r="291" spans="1:11" ht="30">
      <c r="A291" s="754">
        <v>287</v>
      </c>
      <c r="B291" s="754"/>
      <c r="C291" s="760" t="s">
        <v>2948</v>
      </c>
      <c r="D291" s="766" t="s">
        <v>655</v>
      </c>
      <c r="E291" s="790">
        <v>1814400.0000000002</v>
      </c>
      <c r="F291" s="762"/>
      <c r="G291" s="757"/>
      <c r="H291" s="763" t="s">
        <v>2789</v>
      </c>
      <c r="K291" s="746">
        <v>2797000</v>
      </c>
    </row>
    <row r="292" spans="1:11">
      <c r="A292" s="754">
        <v>288</v>
      </c>
      <c r="B292" s="754"/>
      <c r="C292" s="791" t="s">
        <v>2949</v>
      </c>
      <c r="D292" s="766" t="s">
        <v>624</v>
      </c>
      <c r="E292" s="762">
        <v>3000000</v>
      </c>
      <c r="F292" s="762"/>
      <c r="G292" s="757"/>
      <c r="H292" s="763" t="s">
        <v>2789</v>
      </c>
      <c r="K292" s="746">
        <v>482000</v>
      </c>
    </row>
    <row r="293" spans="1:11" ht="30">
      <c r="A293" s="754">
        <v>289</v>
      </c>
      <c r="B293" s="754"/>
      <c r="C293" s="760" t="s">
        <v>2950</v>
      </c>
      <c r="D293" s="766" t="s">
        <v>655</v>
      </c>
      <c r="E293" s="762">
        <v>560000</v>
      </c>
      <c r="F293" s="762"/>
      <c r="G293" s="757"/>
      <c r="H293" s="763" t="s">
        <v>2789</v>
      </c>
      <c r="K293" s="746">
        <v>2024000</v>
      </c>
    </row>
    <row r="294" spans="1:11">
      <c r="A294" s="754">
        <v>290</v>
      </c>
      <c r="B294" s="754"/>
      <c r="C294" s="791" t="s">
        <v>2951</v>
      </c>
      <c r="D294" s="766" t="s">
        <v>624</v>
      </c>
      <c r="E294" s="762">
        <v>3000000</v>
      </c>
      <c r="F294" s="762"/>
      <c r="G294" s="757"/>
      <c r="H294" s="763" t="s">
        <v>2789</v>
      </c>
      <c r="K294" s="746">
        <v>12375000</v>
      </c>
    </row>
    <row r="295" spans="1:11" ht="30">
      <c r="A295" s="754">
        <v>291</v>
      </c>
      <c r="B295" s="754"/>
      <c r="C295" s="760" t="s">
        <v>2952</v>
      </c>
      <c r="D295" s="766" t="s">
        <v>655</v>
      </c>
      <c r="E295" s="790">
        <v>22816000</v>
      </c>
      <c r="F295" s="762"/>
      <c r="G295" s="757"/>
      <c r="H295" s="763" t="s">
        <v>2789</v>
      </c>
      <c r="K295" s="746">
        <v>30215000</v>
      </c>
    </row>
    <row r="296" spans="1:11">
      <c r="A296" s="754">
        <v>292</v>
      </c>
      <c r="B296" s="754"/>
      <c r="C296" s="760" t="s">
        <v>2953</v>
      </c>
      <c r="D296" s="766" t="s">
        <v>655</v>
      </c>
      <c r="E296" s="790">
        <v>22710000</v>
      </c>
      <c r="F296" s="762"/>
      <c r="G296" s="757"/>
      <c r="H296" s="763" t="s">
        <v>2789</v>
      </c>
      <c r="K296" s="746">
        <v>32695000</v>
      </c>
    </row>
    <row r="297" spans="1:11" ht="30">
      <c r="A297" s="754">
        <v>293</v>
      </c>
      <c r="B297" s="754"/>
      <c r="C297" s="760" t="s">
        <v>2954</v>
      </c>
      <c r="D297" s="766" t="s">
        <v>655</v>
      </c>
      <c r="E297" s="790">
        <v>415000</v>
      </c>
      <c r="F297" s="762"/>
      <c r="G297" s="757"/>
      <c r="H297" s="763" t="s">
        <v>2789</v>
      </c>
      <c r="K297" s="746">
        <v>850000</v>
      </c>
    </row>
    <row r="298" spans="1:11" ht="30">
      <c r="A298" s="754">
        <v>294</v>
      </c>
      <c r="B298" s="754"/>
      <c r="C298" s="760" t="s">
        <v>2955</v>
      </c>
      <c r="D298" s="766" t="s">
        <v>655</v>
      </c>
      <c r="E298" s="762">
        <v>1902800</v>
      </c>
      <c r="F298" s="762"/>
      <c r="G298" s="757"/>
      <c r="H298" s="763" t="s">
        <v>2789</v>
      </c>
      <c r="K298" s="746">
        <v>1800000</v>
      </c>
    </row>
    <row r="299" spans="1:11" ht="30">
      <c r="A299" s="754">
        <v>295</v>
      </c>
      <c r="B299" s="754"/>
      <c r="C299" s="760" t="s">
        <v>2956</v>
      </c>
      <c r="D299" s="766" t="s">
        <v>655</v>
      </c>
      <c r="E299" s="762">
        <v>614000</v>
      </c>
      <c r="F299" s="762"/>
      <c r="G299" s="757"/>
      <c r="H299" s="763" t="s">
        <v>2789</v>
      </c>
      <c r="K299" s="746">
        <v>2153000</v>
      </c>
    </row>
    <row r="300" spans="1:11" ht="30">
      <c r="A300" s="754">
        <v>296</v>
      </c>
      <c r="B300" s="754"/>
      <c r="C300" s="760" t="s">
        <v>2957</v>
      </c>
      <c r="D300" s="766" t="s">
        <v>655</v>
      </c>
      <c r="E300" s="762">
        <v>1093000</v>
      </c>
      <c r="F300" s="762"/>
      <c r="G300" s="757"/>
      <c r="H300" s="763" t="s">
        <v>2789</v>
      </c>
      <c r="K300" s="746">
        <v>3520000</v>
      </c>
    </row>
    <row r="301" spans="1:11">
      <c r="A301" s="754">
        <v>297</v>
      </c>
      <c r="B301" s="754"/>
      <c r="C301" s="760" t="s">
        <v>2958</v>
      </c>
      <c r="D301" s="766" t="s">
        <v>655</v>
      </c>
      <c r="E301" s="762">
        <v>650000</v>
      </c>
      <c r="F301" s="762"/>
      <c r="G301" s="757"/>
      <c r="H301" s="763" t="s">
        <v>2789</v>
      </c>
      <c r="K301" s="746">
        <v>1292000</v>
      </c>
    </row>
    <row r="302" spans="1:11" ht="30">
      <c r="A302" s="754">
        <v>298</v>
      </c>
      <c r="B302" s="754"/>
      <c r="C302" s="760" t="s">
        <v>2959</v>
      </c>
      <c r="D302" s="766" t="s">
        <v>685</v>
      </c>
      <c r="E302" s="790">
        <v>884000</v>
      </c>
      <c r="F302" s="762"/>
      <c r="G302" s="757"/>
      <c r="H302" s="763" t="s">
        <v>2789</v>
      </c>
      <c r="K302" s="746">
        <v>2090000</v>
      </c>
    </row>
    <row r="303" spans="1:11" ht="30">
      <c r="A303" s="754">
        <v>299</v>
      </c>
      <c r="B303" s="754"/>
      <c r="C303" s="760" t="s">
        <v>2960</v>
      </c>
      <c r="D303" s="766" t="s">
        <v>685</v>
      </c>
      <c r="E303" s="790">
        <v>956000</v>
      </c>
      <c r="F303" s="762"/>
      <c r="G303" s="757"/>
      <c r="H303" s="763" t="s">
        <v>2789</v>
      </c>
      <c r="K303" s="746">
        <v>2389000</v>
      </c>
    </row>
    <row r="304" spans="1:11" ht="30">
      <c r="A304" s="754">
        <v>300</v>
      </c>
      <c r="B304" s="754"/>
      <c r="C304" s="760" t="s">
        <v>2961</v>
      </c>
      <c r="D304" s="766" t="s">
        <v>685</v>
      </c>
      <c r="E304" s="790">
        <v>956000</v>
      </c>
      <c r="F304" s="762"/>
      <c r="G304" s="757"/>
      <c r="H304" s="763" t="s">
        <v>2789</v>
      </c>
      <c r="K304" s="746">
        <v>2389000</v>
      </c>
    </row>
    <row r="305" spans="1:11" ht="30">
      <c r="A305" s="754">
        <v>301</v>
      </c>
      <c r="B305" s="754"/>
      <c r="C305" s="760" t="s">
        <v>2962</v>
      </c>
      <c r="D305" s="766" t="s">
        <v>685</v>
      </c>
      <c r="E305" s="790">
        <v>1120000</v>
      </c>
      <c r="F305" s="762"/>
      <c r="G305" s="757"/>
      <c r="H305" s="763" t="s">
        <v>2789</v>
      </c>
      <c r="K305" s="746">
        <v>2986000</v>
      </c>
    </row>
    <row r="306" spans="1:11" ht="30">
      <c r="A306" s="754">
        <v>302</v>
      </c>
      <c r="B306" s="754"/>
      <c r="C306" s="760" t="s">
        <v>2963</v>
      </c>
      <c r="D306" s="766" t="s">
        <v>685</v>
      </c>
      <c r="E306" s="790">
        <v>1120000</v>
      </c>
      <c r="F306" s="762"/>
      <c r="G306" s="757"/>
      <c r="H306" s="763" t="s">
        <v>2789</v>
      </c>
      <c r="K306" s="746">
        <v>2687000</v>
      </c>
    </row>
    <row r="307" spans="1:11" ht="30">
      <c r="A307" s="754">
        <v>303</v>
      </c>
      <c r="B307" s="754"/>
      <c r="C307" s="760" t="s">
        <v>2964</v>
      </c>
      <c r="D307" s="766" t="s">
        <v>685</v>
      </c>
      <c r="E307" s="790">
        <v>1220000</v>
      </c>
      <c r="F307" s="762"/>
      <c r="G307" s="757"/>
      <c r="H307" s="763" t="s">
        <v>2789</v>
      </c>
      <c r="K307" s="746">
        <v>2986000</v>
      </c>
    </row>
    <row r="308" spans="1:11" ht="30">
      <c r="A308" s="754">
        <v>304</v>
      </c>
      <c r="B308" s="754"/>
      <c r="C308" s="760" t="s">
        <v>2965</v>
      </c>
      <c r="D308" s="766" t="s">
        <v>685</v>
      </c>
      <c r="E308" s="790">
        <v>1220000</v>
      </c>
      <c r="F308" s="762"/>
      <c r="G308" s="757"/>
      <c r="H308" s="763" t="s">
        <v>2789</v>
      </c>
      <c r="K308" s="746">
        <v>2986000</v>
      </c>
    </row>
    <row r="309" spans="1:11" ht="30">
      <c r="A309" s="754">
        <v>305</v>
      </c>
      <c r="B309" s="754"/>
      <c r="C309" s="760" t="s">
        <v>2966</v>
      </c>
      <c r="D309" s="766" t="s">
        <v>685</v>
      </c>
      <c r="E309" s="790">
        <v>1332000</v>
      </c>
      <c r="F309" s="762"/>
      <c r="G309" s="757"/>
      <c r="H309" s="763" t="s">
        <v>2789</v>
      </c>
      <c r="K309" s="746">
        <v>2986000</v>
      </c>
    </row>
    <row r="310" spans="1:11" ht="30">
      <c r="A310" s="754">
        <v>306</v>
      </c>
      <c r="B310" s="754"/>
      <c r="C310" s="760" t="s">
        <v>2967</v>
      </c>
      <c r="D310" s="766" t="s">
        <v>685</v>
      </c>
      <c r="E310" s="790">
        <v>1332000</v>
      </c>
      <c r="F310" s="762"/>
      <c r="G310" s="757"/>
      <c r="H310" s="763" t="s">
        <v>2789</v>
      </c>
      <c r="K310" s="746">
        <v>3284000</v>
      </c>
    </row>
    <row r="311" spans="1:11" ht="30">
      <c r="A311" s="754">
        <v>307</v>
      </c>
      <c r="B311" s="754"/>
      <c r="C311" s="760" t="s">
        <v>2968</v>
      </c>
      <c r="D311" s="766" t="s">
        <v>685</v>
      </c>
      <c r="E311" s="790">
        <v>1556000</v>
      </c>
      <c r="F311" s="762"/>
      <c r="G311" s="757"/>
      <c r="H311" s="763" t="s">
        <v>2789</v>
      </c>
      <c r="K311" s="746">
        <v>3882000</v>
      </c>
    </row>
    <row r="312" spans="1:11" ht="30">
      <c r="A312" s="754">
        <v>308</v>
      </c>
      <c r="B312" s="754"/>
      <c r="C312" s="760" t="s">
        <v>2969</v>
      </c>
      <c r="D312" s="766" t="s">
        <v>655</v>
      </c>
      <c r="E312" s="790">
        <v>25520000</v>
      </c>
      <c r="F312" s="762"/>
      <c r="G312" s="757"/>
      <c r="H312" s="763" t="s">
        <v>2789</v>
      </c>
      <c r="K312" s="746">
        <v>69900000</v>
      </c>
    </row>
    <row r="313" spans="1:11">
      <c r="A313" s="754">
        <v>309</v>
      </c>
      <c r="B313" s="754"/>
      <c r="C313" s="760" t="s">
        <v>2970</v>
      </c>
      <c r="D313" s="766" t="s">
        <v>655</v>
      </c>
      <c r="E313" s="790">
        <v>1811200</v>
      </c>
      <c r="F313" s="762"/>
      <c r="G313" s="757"/>
      <c r="H313" s="763" t="s">
        <v>2789</v>
      </c>
      <c r="K313" s="746">
        <v>3828000</v>
      </c>
    </row>
    <row r="314" spans="1:11" ht="30">
      <c r="A314" s="754">
        <v>310</v>
      </c>
      <c r="B314" s="754"/>
      <c r="C314" s="760" t="s">
        <v>2971</v>
      </c>
      <c r="D314" s="766" t="s">
        <v>655</v>
      </c>
      <c r="E314" s="790">
        <v>2664000</v>
      </c>
      <c r="F314" s="762"/>
      <c r="G314" s="757"/>
      <c r="H314" s="763" t="s">
        <v>2789</v>
      </c>
      <c r="K314" s="746">
        <v>13616000</v>
      </c>
    </row>
    <row r="315" spans="1:11">
      <c r="A315" s="754">
        <v>311</v>
      </c>
      <c r="B315" s="754"/>
      <c r="C315" s="760"/>
      <c r="D315" s="766"/>
      <c r="E315" s="790"/>
      <c r="F315" s="762"/>
      <c r="G315" s="757"/>
      <c r="H315" s="763"/>
    </row>
    <row r="316" spans="1:11">
      <c r="A316" s="754">
        <v>312</v>
      </c>
      <c r="B316" s="754"/>
      <c r="C316" s="760" t="s">
        <v>2972</v>
      </c>
      <c r="D316" s="766" t="s">
        <v>655</v>
      </c>
      <c r="E316" s="790">
        <v>165000</v>
      </c>
      <c r="F316" s="762"/>
      <c r="G316" s="757"/>
      <c r="H316" s="763" t="s">
        <v>2789</v>
      </c>
      <c r="K316" s="746">
        <v>347000</v>
      </c>
    </row>
    <row r="317" spans="1:11">
      <c r="A317" s="754">
        <v>313</v>
      </c>
      <c r="B317" s="754"/>
      <c r="C317" s="760" t="s">
        <v>2973</v>
      </c>
      <c r="D317" s="766" t="s">
        <v>655</v>
      </c>
      <c r="E317" s="790">
        <v>145000</v>
      </c>
      <c r="F317" s="762"/>
      <c r="G317" s="757"/>
      <c r="H317" s="763"/>
      <c r="K317" s="746">
        <v>347000</v>
      </c>
    </row>
    <row r="318" spans="1:11" ht="30">
      <c r="A318" s="754">
        <v>314</v>
      </c>
      <c r="B318" s="754"/>
      <c r="C318" s="760" t="s">
        <v>2974</v>
      </c>
      <c r="D318" s="766" t="s">
        <v>655</v>
      </c>
      <c r="E318" s="790">
        <v>1310400</v>
      </c>
      <c r="F318" s="762"/>
      <c r="G318" s="757"/>
      <c r="H318" s="763" t="s">
        <v>2789</v>
      </c>
      <c r="K318" s="746">
        <v>5273000</v>
      </c>
    </row>
    <row r="319" spans="1:11" ht="30">
      <c r="A319" s="754">
        <v>315</v>
      </c>
      <c r="B319" s="754"/>
      <c r="C319" s="760" t="s">
        <v>2975</v>
      </c>
      <c r="D319" s="766" t="s">
        <v>655</v>
      </c>
      <c r="E319" s="790">
        <v>2708800</v>
      </c>
      <c r="F319" s="762"/>
      <c r="G319" s="757"/>
      <c r="H319" s="763" t="s">
        <v>2789</v>
      </c>
      <c r="K319" s="746">
        <v>8885000</v>
      </c>
    </row>
    <row r="320" spans="1:11" ht="30">
      <c r="A320" s="754">
        <v>316</v>
      </c>
      <c r="B320" s="754"/>
      <c r="C320" s="760" t="s">
        <v>2976</v>
      </c>
      <c r="D320" s="766" t="s">
        <v>655</v>
      </c>
      <c r="E320" s="762">
        <v>1093000</v>
      </c>
      <c r="F320" s="762"/>
      <c r="G320" s="757"/>
      <c r="H320" s="763" t="s">
        <v>2789</v>
      </c>
      <c r="K320" s="746">
        <v>7245000</v>
      </c>
    </row>
    <row r="321" spans="1:11">
      <c r="A321" s="754">
        <v>317</v>
      </c>
      <c r="B321" s="754"/>
      <c r="C321" s="760" t="s">
        <v>2977</v>
      </c>
      <c r="D321" s="766" t="s">
        <v>655</v>
      </c>
      <c r="E321" s="790">
        <v>448000</v>
      </c>
      <c r="F321" s="762"/>
      <c r="G321" s="757"/>
      <c r="H321" s="763" t="s">
        <v>2789</v>
      </c>
      <c r="K321" s="746">
        <v>1382000</v>
      </c>
    </row>
    <row r="322" spans="1:11">
      <c r="A322" s="754">
        <v>318</v>
      </c>
      <c r="B322" s="754"/>
      <c r="C322" s="760" t="s">
        <v>2978</v>
      </c>
      <c r="D322" s="766" t="s">
        <v>655</v>
      </c>
      <c r="E322" s="790">
        <v>584000</v>
      </c>
      <c r="F322" s="762"/>
      <c r="G322" s="757"/>
      <c r="H322" s="763" t="s">
        <v>2789</v>
      </c>
      <c r="K322" s="746">
        <v>1553000</v>
      </c>
    </row>
    <row r="323" spans="1:11" ht="30">
      <c r="A323" s="754">
        <v>319</v>
      </c>
      <c r="B323" s="754"/>
      <c r="C323" s="760" t="s">
        <v>2979</v>
      </c>
      <c r="D323" s="766" t="s">
        <v>655</v>
      </c>
      <c r="E323" s="790">
        <v>584000</v>
      </c>
      <c r="F323" s="762"/>
      <c r="G323" s="757"/>
      <c r="H323" s="763" t="s">
        <v>2789</v>
      </c>
      <c r="K323" s="746">
        <v>1553000</v>
      </c>
    </row>
    <row r="324" spans="1:11" ht="30">
      <c r="A324" s="754">
        <v>320</v>
      </c>
      <c r="B324" s="754"/>
      <c r="C324" s="760" t="s">
        <v>2980</v>
      </c>
      <c r="D324" s="766" t="s">
        <v>655</v>
      </c>
      <c r="E324" s="790">
        <v>660000</v>
      </c>
      <c r="F324" s="762"/>
      <c r="G324" s="757"/>
      <c r="H324" s="763" t="s">
        <v>2789</v>
      </c>
      <c r="K324" s="746">
        <v>1723000</v>
      </c>
    </row>
    <row r="325" spans="1:11">
      <c r="A325" s="754">
        <v>321</v>
      </c>
      <c r="B325" s="754"/>
      <c r="C325" s="760" t="s">
        <v>2981</v>
      </c>
      <c r="D325" s="766" t="s">
        <v>655</v>
      </c>
      <c r="E325" s="790">
        <v>903000</v>
      </c>
      <c r="F325" s="762"/>
      <c r="G325" s="757"/>
      <c r="H325" s="763" t="s">
        <v>2789</v>
      </c>
      <c r="K325" s="746">
        <v>4658000</v>
      </c>
    </row>
    <row r="326" spans="1:11">
      <c r="A326" s="754">
        <v>322</v>
      </c>
      <c r="B326" s="754"/>
      <c r="C326" s="760" t="s">
        <v>2982</v>
      </c>
      <c r="D326" s="766" t="s">
        <v>655</v>
      </c>
      <c r="E326" s="790">
        <v>716000</v>
      </c>
      <c r="F326" s="762"/>
      <c r="G326" s="757"/>
      <c r="H326" s="763" t="s">
        <v>2789</v>
      </c>
      <c r="K326" s="746">
        <v>3364000</v>
      </c>
    </row>
    <row r="327" spans="1:11" ht="30">
      <c r="A327" s="754">
        <v>323</v>
      </c>
      <c r="B327" s="754"/>
      <c r="C327" s="760" t="s">
        <v>2983</v>
      </c>
      <c r="D327" s="766" t="s">
        <v>655</v>
      </c>
      <c r="E327" s="790">
        <v>1793000</v>
      </c>
      <c r="F327" s="762"/>
      <c r="G327" s="757"/>
      <c r="H327" s="763" t="s">
        <v>2789</v>
      </c>
      <c r="K327" s="746">
        <v>7245000</v>
      </c>
    </row>
    <row r="328" spans="1:11">
      <c r="A328" s="754">
        <v>324</v>
      </c>
      <c r="B328" s="754"/>
      <c r="C328" s="760" t="s">
        <v>2984</v>
      </c>
      <c r="D328" s="766" t="s">
        <v>685</v>
      </c>
      <c r="E328" s="790">
        <v>784000</v>
      </c>
      <c r="F328" s="762"/>
      <c r="G328" s="757"/>
      <c r="H328" s="763" t="s">
        <v>2789</v>
      </c>
      <c r="K328" s="746">
        <v>3043000</v>
      </c>
    </row>
    <row r="329" spans="1:11">
      <c r="A329" s="754">
        <v>325</v>
      </c>
      <c r="B329" s="754"/>
      <c r="C329" s="760" t="s">
        <v>2985</v>
      </c>
      <c r="D329" s="766" t="s">
        <v>685</v>
      </c>
      <c r="E329" s="790">
        <v>896000</v>
      </c>
      <c r="F329" s="762"/>
      <c r="G329" s="757"/>
      <c r="H329" s="763" t="s">
        <v>2789</v>
      </c>
      <c r="K329" s="746">
        <v>3478000</v>
      </c>
    </row>
    <row r="330" spans="1:11">
      <c r="A330" s="754">
        <v>326</v>
      </c>
      <c r="B330" s="754"/>
      <c r="C330" s="760" t="s">
        <v>2986</v>
      </c>
      <c r="D330" s="766" t="s">
        <v>685</v>
      </c>
      <c r="E330" s="790">
        <v>1008000</v>
      </c>
      <c r="F330" s="762"/>
      <c r="G330" s="757"/>
      <c r="H330" s="763" t="s">
        <v>2789</v>
      </c>
      <c r="K330" s="746">
        <v>3912000</v>
      </c>
    </row>
    <row r="331" spans="1:11">
      <c r="A331" s="754">
        <v>327</v>
      </c>
      <c r="B331" s="754"/>
      <c r="C331" s="760" t="s">
        <v>2987</v>
      </c>
      <c r="D331" s="766" t="s">
        <v>685</v>
      </c>
      <c r="E331" s="790">
        <v>1120000</v>
      </c>
      <c r="F331" s="762"/>
      <c r="G331" s="757"/>
      <c r="H331" s="763" t="s">
        <v>2789</v>
      </c>
      <c r="K331" s="746">
        <v>4347000</v>
      </c>
    </row>
    <row r="332" spans="1:11" ht="30">
      <c r="A332" s="754">
        <v>328</v>
      </c>
      <c r="B332" s="754"/>
      <c r="C332" s="760" t="s">
        <v>2988</v>
      </c>
      <c r="D332" s="766" t="s">
        <v>655</v>
      </c>
      <c r="E332" s="790">
        <v>3240000</v>
      </c>
      <c r="F332" s="762"/>
      <c r="G332" s="757"/>
      <c r="H332" s="763" t="s">
        <v>2789</v>
      </c>
      <c r="K332" s="746">
        <v>9315000</v>
      </c>
    </row>
    <row r="333" spans="1:11" ht="30">
      <c r="A333" s="754">
        <v>329</v>
      </c>
      <c r="B333" s="754"/>
      <c r="C333" s="760" t="s">
        <v>2989</v>
      </c>
      <c r="D333" s="766" t="s">
        <v>655</v>
      </c>
      <c r="E333" s="790">
        <v>4348800</v>
      </c>
      <c r="F333" s="762"/>
      <c r="G333" s="757"/>
      <c r="H333" s="763" t="s">
        <v>2789</v>
      </c>
      <c r="K333" s="746">
        <v>13973000</v>
      </c>
    </row>
    <row r="334" spans="1:11">
      <c r="A334" s="754">
        <v>330</v>
      </c>
      <c r="B334" s="754"/>
      <c r="C334" s="760" t="s">
        <v>2990</v>
      </c>
      <c r="D334" s="766" t="s">
        <v>685</v>
      </c>
      <c r="E334" s="790">
        <v>896000</v>
      </c>
      <c r="F334" s="762"/>
      <c r="G334" s="757"/>
      <c r="H334" s="763" t="s">
        <v>2789</v>
      </c>
      <c r="K334" s="746">
        <v>3478000</v>
      </c>
    </row>
    <row r="335" spans="1:11">
      <c r="A335" s="754">
        <v>331</v>
      </c>
      <c r="B335" s="754"/>
      <c r="C335" s="760" t="s">
        <v>2991</v>
      </c>
      <c r="D335" s="766" t="s">
        <v>685</v>
      </c>
      <c r="E335" s="790">
        <v>1008000</v>
      </c>
      <c r="F335" s="762"/>
      <c r="G335" s="757"/>
      <c r="H335" s="763" t="s">
        <v>2789</v>
      </c>
      <c r="K335" s="746">
        <v>3912000</v>
      </c>
    </row>
    <row r="336" spans="1:11">
      <c r="A336" s="754">
        <v>332</v>
      </c>
      <c r="B336" s="754"/>
      <c r="C336" s="760" t="s">
        <v>2992</v>
      </c>
      <c r="D336" s="766" t="s">
        <v>685</v>
      </c>
      <c r="E336" s="790">
        <v>1120000</v>
      </c>
      <c r="F336" s="762"/>
      <c r="G336" s="757"/>
      <c r="H336" s="763" t="s">
        <v>2789</v>
      </c>
      <c r="K336" s="746">
        <v>4347000</v>
      </c>
    </row>
    <row r="337" spans="1:11">
      <c r="A337" s="754">
        <v>333</v>
      </c>
      <c r="B337" s="754"/>
      <c r="C337" s="760" t="s">
        <v>2993</v>
      </c>
      <c r="D337" s="766" t="s">
        <v>685</v>
      </c>
      <c r="E337" s="790">
        <v>1456000</v>
      </c>
      <c r="F337" s="762"/>
      <c r="G337" s="757"/>
      <c r="H337" s="763" t="s">
        <v>2789</v>
      </c>
      <c r="K337" s="746">
        <v>5651000</v>
      </c>
    </row>
    <row r="338" spans="1:11">
      <c r="A338" s="754">
        <v>334</v>
      </c>
      <c r="B338" s="754"/>
      <c r="C338" s="760" t="s">
        <v>2994</v>
      </c>
      <c r="D338" s="766"/>
      <c r="E338" s="792">
        <v>8100000</v>
      </c>
      <c r="F338" s="762"/>
      <c r="G338" s="757"/>
      <c r="H338" s="763"/>
      <c r="K338" s="746">
        <v>5460000</v>
      </c>
    </row>
    <row r="339" spans="1:11">
      <c r="A339" s="754">
        <v>335</v>
      </c>
      <c r="B339" s="754"/>
      <c r="C339" s="760" t="s">
        <v>2995</v>
      </c>
      <c r="D339" s="766"/>
      <c r="E339" s="792">
        <v>1480000</v>
      </c>
      <c r="F339" s="762"/>
      <c r="G339" s="757"/>
      <c r="H339" s="763"/>
      <c r="K339" s="746">
        <v>780000</v>
      </c>
    </row>
    <row r="340" spans="1:11">
      <c r="A340" s="754">
        <v>336</v>
      </c>
      <c r="B340" s="754"/>
      <c r="C340" s="760" t="s">
        <v>2996</v>
      </c>
      <c r="D340" s="766"/>
      <c r="E340" s="793">
        <v>380000</v>
      </c>
      <c r="F340" s="762"/>
      <c r="G340" s="757"/>
      <c r="H340" s="763"/>
      <c r="K340" s="746">
        <v>406000</v>
      </c>
    </row>
    <row r="341" spans="1:11">
      <c r="A341" s="754">
        <v>337</v>
      </c>
      <c r="B341" s="754"/>
      <c r="C341" s="760" t="s">
        <v>2997</v>
      </c>
      <c r="D341" s="766"/>
      <c r="E341" s="790">
        <v>180000</v>
      </c>
      <c r="F341" s="762"/>
      <c r="G341" s="757"/>
      <c r="H341" s="763"/>
      <c r="K341" s="746">
        <v>220000</v>
      </c>
    </row>
    <row r="342" spans="1:11">
      <c r="A342" s="754">
        <v>338</v>
      </c>
      <c r="B342" s="754"/>
      <c r="C342" s="760" t="s">
        <v>2998</v>
      </c>
      <c r="D342" s="766"/>
      <c r="E342" s="790">
        <v>185000</v>
      </c>
      <c r="F342" s="762"/>
      <c r="G342" s="757"/>
      <c r="H342" s="763"/>
      <c r="K342" s="746">
        <v>1400000</v>
      </c>
    </row>
    <row r="343" spans="1:11">
      <c r="A343" s="754">
        <v>339</v>
      </c>
      <c r="B343" s="754"/>
      <c r="C343" s="760" t="s">
        <v>2999</v>
      </c>
      <c r="D343" s="766"/>
      <c r="E343" s="790">
        <v>728000</v>
      </c>
      <c r="F343" s="762"/>
      <c r="G343" s="757"/>
      <c r="H343" s="763" t="s">
        <v>2789</v>
      </c>
      <c r="K343" s="746">
        <v>5151000</v>
      </c>
    </row>
    <row r="344" spans="1:11">
      <c r="A344" s="754">
        <v>340</v>
      </c>
      <c r="B344" s="754"/>
      <c r="C344" s="760" t="s">
        <v>3000</v>
      </c>
      <c r="D344" s="766"/>
      <c r="E344" s="790">
        <v>28000000</v>
      </c>
      <c r="F344" s="762"/>
      <c r="G344" s="757"/>
      <c r="H344" s="763"/>
      <c r="K344" s="746">
        <v>8500000</v>
      </c>
    </row>
    <row r="345" spans="1:11" ht="30">
      <c r="A345" s="754">
        <v>341</v>
      </c>
      <c r="B345" s="754"/>
      <c r="C345" s="760" t="s">
        <v>3001</v>
      </c>
      <c r="D345" s="766"/>
      <c r="E345" s="790">
        <v>1905200</v>
      </c>
      <c r="F345" s="762"/>
      <c r="G345" s="757"/>
      <c r="H345" s="763"/>
      <c r="K345" s="746">
        <v>5473000</v>
      </c>
    </row>
    <row r="346" spans="1:11">
      <c r="A346" s="754">
        <v>342</v>
      </c>
      <c r="B346" s="754"/>
      <c r="C346" s="760" t="s">
        <v>3002</v>
      </c>
      <c r="D346" s="766"/>
      <c r="E346" s="790">
        <v>560000</v>
      </c>
      <c r="F346" s="762"/>
      <c r="G346" s="757"/>
      <c r="H346" s="763"/>
      <c r="K346" s="746">
        <v>4347000</v>
      </c>
    </row>
    <row r="347" spans="1:11">
      <c r="A347" s="754">
        <v>343</v>
      </c>
      <c r="B347" s="754"/>
      <c r="C347" s="760" t="s">
        <v>3003</v>
      </c>
      <c r="D347" s="766"/>
      <c r="E347" s="762">
        <v>8500000</v>
      </c>
      <c r="F347" s="762"/>
      <c r="G347" s="757"/>
      <c r="H347" s="763"/>
      <c r="K347" s="746">
        <v>8500000</v>
      </c>
    </row>
    <row r="348" spans="1:11">
      <c r="A348" s="754">
        <v>344</v>
      </c>
      <c r="B348" s="754"/>
      <c r="C348" s="760"/>
      <c r="D348" s="766"/>
      <c r="E348" s="762"/>
      <c r="F348" s="762"/>
      <c r="G348" s="757"/>
      <c r="H348" s="763"/>
    </row>
    <row r="349" spans="1:11">
      <c r="A349" s="754">
        <v>345</v>
      </c>
      <c r="B349" s="754"/>
      <c r="C349" s="789" t="s">
        <v>3004</v>
      </c>
      <c r="D349" s="766"/>
      <c r="E349" s="762"/>
      <c r="F349" s="762"/>
      <c r="G349" s="757"/>
      <c r="H349" s="763"/>
    </row>
    <row r="350" spans="1:11" ht="60">
      <c r="A350" s="754">
        <v>346</v>
      </c>
      <c r="B350" s="754"/>
      <c r="C350" s="760" t="s">
        <v>3005</v>
      </c>
      <c r="D350" s="766" t="s">
        <v>3006</v>
      </c>
      <c r="E350" s="762">
        <v>6318181.8181818174</v>
      </c>
      <c r="F350" s="762"/>
      <c r="G350" s="757"/>
      <c r="H350" s="794" t="s">
        <v>3007</v>
      </c>
      <c r="K350" s="746">
        <v>6318181.8181818174</v>
      </c>
    </row>
    <row r="351" spans="1:11" ht="60">
      <c r="A351" s="754">
        <v>347</v>
      </c>
      <c r="B351" s="754"/>
      <c r="C351" s="760" t="s">
        <v>3008</v>
      </c>
      <c r="D351" s="766" t="s">
        <v>3006</v>
      </c>
      <c r="E351" s="762">
        <v>14999999.999999998</v>
      </c>
      <c r="F351" s="762"/>
      <c r="G351" s="757"/>
      <c r="H351" s="794" t="s">
        <v>3009</v>
      </c>
      <c r="K351" s="746">
        <v>14999999.999999998</v>
      </c>
    </row>
    <row r="352" spans="1:11" ht="30">
      <c r="A352" s="754">
        <v>348</v>
      </c>
      <c r="B352" s="754"/>
      <c r="C352" s="760" t="s">
        <v>2087</v>
      </c>
      <c r="D352" s="766" t="s">
        <v>624</v>
      </c>
      <c r="E352" s="762">
        <v>190909.09090909088</v>
      </c>
      <c r="F352" s="762"/>
      <c r="G352" s="757"/>
      <c r="H352" s="794" t="s">
        <v>3010</v>
      </c>
      <c r="K352" s="746">
        <v>190909.09090909088</v>
      </c>
    </row>
    <row r="353" spans="1:11" ht="31.5">
      <c r="A353" s="754">
        <v>349</v>
      </c>
      <c r="B353" s="754"/>
      <c r="C353" s="760" t="s">
        <v>2095</v>
      </c>
      <c r="D353" s="766" t="s">
        <v>655</v>
      </c>
      <c r="E353" s="762">
        <v>8000</v>
      </c>
      <c r="F353" s="762"/>
      <c r="G353" s="757"/>
      <c r="H353" s="763" t="s">
        <v>2668</v>
      </c>
      <c r="K353" s="746">
        <v>8000</v>
      </c>
    </row>
    <row r="354" spans="1:11" ht="31.5">
      <c r="A354" s="754">
        <v>350</v>
      </c>
      <c r="B354" s="754"/>
      <c r="C354" s="760" t="s">
        <v>3011</v>
      </c>
      <c r="D354" s="766" t="s">
        <v>655</v>
      </c>
      <c r="E354" s="762">
        <v>22000</v>
      </c>
      <c r="F354" s="762"/>
      <c r="G354" s="757"/>
      <c r="H354" s="763" t="s">
        <v>2668</v>
      </c>
      <c r="K354" s="746">
        <v>22000</v>
      </c>
    </row>
    <row r="355" spans="1:11" ht="15">
      <c r="A355" s="754">
        <v>351</v>
      </c>
      <c r="B355" s="754"/>
      <c r="C355" s="760" t="s">
        <v>3012</v>
      </c>
      <c r="D355" s="766" t="s">
        <v>655</v>
      </c>
      <c r="E355" s="762">
        <v>2195455</v>
      </c>
      <c r="F355" s="762"/>
      <c r="G355" s="757"/>
      <c r="H355" s="762" t="s">
        <v>3013</v>
      </c>
      <c r="K355" s="746">
        <v>145000</v>
      </c>
    </row>
    <row r="356" spans="1:11">
      <c r="A356" s="754">
        <v>352</v>
      </c>
      <c r="B356" s="754"/>
      <c r="C356" s="760" t="s">
        <v>3014</v>
      </c>
      <c r="D356" s="766" t="s">
        <v>685</v>
      </c>
      <c r="E356" s="762">
        <v>60980</v>
      </c>
      <c r="F356" s="762"/>
      <c r="G356" s="757"/>
      <c r="H356" s="763" t="s">
        <v>1896</v>
      </c>
      <c r="K356" s="746">
        <v>60980</v>
      </c>
    </row>
    <row r="357" spans="1:11">
      <c r="A357" s="754">
        <v>353</v>
      </c>
      <c r="B357" s="754"/>
      <c r="C357" s="760" t="s">
        <v>3015</v>
      </c>
      <c r="D357" s="766" t="s">
        <v>685</v>
      </c>
      <c r="E357" s="762">
        <v>26440</v>
      </c>
      <c r="F357" s="762"/>
      <c r="G357" s="757"/>
      <c r="H357" s="763" t="s">
        <v>1896</v>
      </c>
      <c r="K357" s="746">
        <v>26440</v>
      </c>
    </row>
    <row r="358" spans="1:11">
      <c r="A358" s="754">
        <v>354</v>
      </c>
      <c r="B358" s="754"/>
      <c r="C358" s="760" t="s">
        <v>3016</v>
      </c>
      <c r="D358" s="766" t="s">
        <v>685</v>
      </c>
      <c r="E358" s="762">
        <v>20040</v>
      </c>
      <c r="F358" s="762"/>
      <c r="G358" s="757"/>
      <c r="H358" s="763" t="s">
        <v>1896</v>
      </c>
      <c r="K358" s="746">
        <v>20040</v>
      </c>
    </row>
    <row r="359" spans="1:11" ht="30">
      <c r="A359" s="754">
        <v>355</v>
      </c>
      <c r="B359" s="754"/>
      <c r="C359" s="760" t="s">
        <v>3017</v>
      </c>
      <c r="D359" s="766" t="s">
        <v>624</v>
      </c>
      <c r="E359" s="762">
        <v>1072727.2727272727</v>
      </c>
      <c r="F359" s="762"/>
      <c r="G359" s="757"/>
      <c r="H359" s="794" t="s">
        <v>3018</v>
      </c>
      <c r="K359" s="746">
        <v>1072727.2727272727</v>
      </c>
    </row>
    <row r="360" spans="1:11" ht="30">
      <c r="A360" s="754">
        <v>356</v>
      </c>
      <c r="B360" s="754"/>
      <c r="C360" s="760" t="s">
        <v>2161</v>
      </c>
      <c r="D360" s="766" t="s">
        <v>624</v>
      </c>
      <c r="E360" s="762">
        <v>1572727.2727272727</v>
      </c>
      <c r="F360" s="762"/>
      <c r="G360" s="757"/>
      <c r="H360" s="794" t="s">
        <v>3019</v>
      </c>
      <c r="K360" s="746">
        <v>1572727.2727272727</v>
      </c>
    </row>
    <row r="361" spans="1:11" ht="30">
      <c r="A361" s="754">
        <v>357</v>
      </c>
      <c r="B361" s="754"/>
      <c r="C361" s="760" t="s">
        <v>3020</v>
      </c>
      <c r="D361" s="766" t="s">
        <v>624</v>
      </c>
      <c r="E361" s="762">
        <v>3754545.4545454541</v>
      </c>
      <c r="F361" s="762"/>
      <c r="G361" s="757"/>
      <c r="H361" s="794" t="s">
        <v>3021</v>
      </c>
      <c r="K361" s="746">
        <v>3754545.4545454541</v>
      </c>
    </row>
    <row r="362" spans="1:11">
      <c r="A362" s="754">
        <v>358</v>
      </c>
      <c r="B362" s="754"/>
      <c r="C362" s="760" t="s">
        <v>3022</v>
      </c>
      <c r="D362" s="766" t="s">
        <v>655</v>
      </c>
      <c r="E362" s="762">
        <v>43900</v>
      </c>
      <c r="F362" s="762"/>
      <c r="G362" s="757"/>
      <c r="H362" s="763" t="s">
        <v>3023</v>
      </c>
      <c r="K362" s="746">
        <v>43900</v>
      </c>
    </row>
    <row r="363" spans="1:11">
      <c r="A363" s="754">
        <v>359</v>
      </c>
      <c r="B363" s="754"/>
      <c r="C363" s="760" t="s">
        <v>3024</v>
      </c>
      <c r="D363" s="766" t="s">
        <v>655</v>
      </c>
      <c r="E363" s="762">
        <v>134100</v>
      </c>
      <c r="F363" s="762"/>
      <c r="G363" s="757"/>
      <c r="H363" s="763" t="s">
        <v>3023</v>
      </c>
      <c r="I363" s="764"/>
      <c r="K363" s="746">
        <v>134100</v>
      </c>
    </row>
    <row r="364" spans="1:11">
      <c r="A364" s="754">
        <v>360</v>
      </c>
      <c r="B364" s="754"/>
      <c r="C364" s="760" t="s">
        <v>3025</v>
      </c>
      <c r="D364" s="766" t="s">
        <v>655</v>
      </c>
      <c r="E364" s="762">
        <v>357300</v>
      </c>
      <c r="F364" s="762"/>
      <c r="G364" s="757"/>
      <c r="H364" s="763" t="s">
        <v>3023</v>
      </c>
      <c r="K364" s="746">
        <v>357300</v>
      </c>
    </row>
    <row r="365" spans="1:11">
      <c r="A365" s="754">
        <v>361</v>
      </c>
      <c r="B365" s="754"/>
      <c r="C365" s="760" t="s">
        <v>3026</v>
      </c>
      <c r="D365" s="766" t="s">
        <v>655</v>
      </c>
      <c r="E365" s="762">
        <v>9900</v>
      </c>
      <c r="F365" s="762"/>
      <c r="G365" s="757"/>
      <c r="H365" s="763" t="s">
        <v>3023</v>
      </c>
      <c r="K365" s="746">
        <v>9900</v>
      </c>
    </row>
    <row r="366" spans="1:11">
      <c r="A366" s="754">
        <v>362</v>
      </c>
      <c r="B366" s="754"/>
      <c r="C366" s="760" t="s">
        <v>3027</v>
      </c>
      <c r="D366" s="766" t="s">
        <v>655</v>
      </c>
      <c r="E366" s="762">
        <v>22400</v>
      </c>
      <c r="F366" s="762"/>
      <c r="G366" s="757"/>
      <c r="H366" s="763" t="s">
        <v>3023</v>
      </c>
      <c r="K366" s="746">
        <v>22400</v>
      </c>
    </row>
    <row r="367" spans="1:11">
      <c r="A367" s="754">
        <v>363</v>
      </c>
      <c r="B367" s="754"/>
      <c r="C367" s="760" t="s">
        <v>3028</v>
      </c>
      <c r="D367" s="766" t="s">
        <v>655</v>
      </c>
      <c r="E367" s="762">
        <v>5400</v>
      </c>
      <c r="F367" s="762"/>
      <c r="G367" s="757"/>
      <c r="H367" s="763" t="s">
        <v>3023</v>
      </c>
      <c r="K367" s="746">
        <v>5400</v>
      </c>
    </row>
    <row r="368" spans="1:11">
      <c r="A368" s="754">
        <v>364</v>
      </c>
      <c r="B368" s="754"/>
      <c r="C368" s="760" t="s">
        <v>3029</v>
      </c>
      <c r="D368" s="766" t="s">
        <v>655</v>
      </c>
      <c r="E368" s="762">
        <v>7200</v>
      </c>
      <c r="F368" s="762"/>
      <c r="G368" s="757"/>
      <c r="H368" s="763" t="s">
        <v>3023</v>
      </c>
      <c r="K368" s="746">
        <v>7200</v>
      </c>
    </row>
    <row r="369" spans="1:11">
      <c r="A369" s="754">
        <v>365</v>
      </c>
      <c r="B369" s="754"/>
      <c r="C369" s="760" t="s">
        <v>3030</v>
      </c>
      <c r="D369" s="766" t="s">
        <v>655</v>
      </c>
      <c r="E369" s="762">
        <v>12400</v>
      </c>
      <c r="F369" s="762"/>
      <c r="G369" s="757"/>
      <c r="H369" s="763" t="s">
        <v>3023</v>
      </c>
      <c r="K369" s="746">
        <v>12400</v>
      </c>
    </row>
    <row r="370" spans="1:11">
      <c r="A370" s="754">
        <v>366</v>
      </c>
      <c r="B370" s="754"/>
      <c r="C370" s="760" t="s">
        <v>3031</v>
      </c>
      <c r="D370" s="766" t="s">
        <v>655</v>
      </c>
      <c r="E370" s="762">
        <v>20600</v>
      </c>
      <c r="F370" s="762"/>
      <c r="G370" s="757"/>
      <c r="H370" s="763" t="s">
        <v>3023</v>
      </c>
      <c r="K370" s="746">
        <v>20600</v>
      </c>
    </row>
    <row r="371" spans="1:11">
      <c r="A371" s="754">
        <v>367</v>
      </c>
      <c r="B371" s="754"/>
      <c r="C371" s="760" t="s">
        <v>3032</v>
      </c>
      <c r="D371" s="766" t="s">
        <v>655</v>
      </c>
      <c r="E371" s="762">
        <v>109700</v>
      </c>
      <c r="F371" s="762"/>
      <c r="G371" s="757"/>
      <c r="H371" s="763" t="s">
        <v>3023</v>
      </c>
      <c r="K371" s="746">
        <v>109700</v>
      </c>
    </row>
    <row r="372" spans="1:11">
      <c r="A372" s="754">
        <v>368</v>
      </c>
      <c r="B372" s="754"/>
      <c r="C372" s="760" t="s">
        <v>3033</v>
      </c>
      <c r="D372" s="766" t="s">
        <v>655</v>
      </c>
      <c r="E372" s="762">
        <v>39200</v>
      </c>
      <c r="F372" s="762"/>
      <c r="G372" s="757"/>
      <c r="H372" s="763" t="s">
        <v>3023</v>
      </c>
      <c r="K372" s="746">
        <v>39200</v>
      </c>
    </row>
    <row r="373" spans="1:11">
      <c r="A373" s="754">
        <v>369</v>
      </c>
      <c r="B373" s="754"/>
      <c r="C373" s="760" t="s">
        <v>3034</v>
      </c>
      <c r="D373" s="766" t="s">
        <v>655</v>
      </c>
      <c r="E373" s="762">
        <v>4800</v>
      </c>
      <c r="F373" s="762"/>
      <c r="G373" s="757"/>
      <c r="H373" s="763" t="s">
        <v>3023</v>
      </c>
      <c r="K373" s="746">
        <v>4800</v>
      </c>
    </row>
    <row r="374" spans="1:11">
      <c r="A374" s="754">
        <v>370</v>
      </c>
      <c r="B374" s="754"/>
      <c r="C374" s="760" t="s">
        <v>3035</v>
      </c>
      <c r="D374" s="766" t="s">
        <v>655</v>
      </c>
      <c r="E374" s="762">
        <v>6800</v>
      </c>
      <c r="F374" s="762"/>
      <c r="G374" s="757"/>
      <c r="H374" s="763" t="s">
        <v>3023</v>
      </c>
      <c r="K374" s="746">
        <v>6800</v>
      </c>
    </row>
    <row r="375" spans="1:11">
      <c r="A375" s="754">
        <v>371</v>
      </c>
      <c r="B375" s="754"/>
      <c r="C375" s="760" t="s">
        <v>3036</v>
      </c>
      <c r="D375" s="766" t="s">
        <v>655</v>
      </c>
      <c r="E375" s="762">
        <v>10200</v>
      </c>
      <c r="F375" s="762"/>
      <c r="G375" s="757"/>
      <c r="H375" s="763" t="s">
        <v>3023</v>
      </c>
      <c r="K375" s="746">
        <v>10200</v>
      </c>
    </row>
    <row r="376" spans="1:11">
      <c r="A376" s="754">
        <v>372</v>
      </c>
      <c r="B376" s="754"/>
      <c r="C376" s="760" t="s">
        <v>3037</v>
      </c>
      <c r="D376" s="766" t="s">
        <v>655</v>
      </c>
      <c r="E376" s="762">
        <v>11400</v>
      </c>
      <c r="F376" s="762"/>
      <c r="G376" s="757"/>
      <c r="H376" s="763" t="s">
        <v>3023</v>
      </c>
      <c r="K376" s="746">
        <v>11400</v>
      </c>
    </row>
    <row r="377" spans="1:11">
      <c r="A377" s="754">
        <v>373</v>
      </c>
      <c r="B377" s="754"/>
      <c r="C377" s="760" t="s">
        <v>3038</v>
      </c>
      <c r="D377" s="766" t="s">
        <v>655</v>
      </c>
      <c r="E377" s="762">
        <v>28600</v>
      </c>
      <c r="F377" s="762"/>
      <c r="G377" s="757"/>
      <c r="H377" s="763" t="s">
        <v>3023</v>
      </c>
      <c r="K377" s="746">
        <v>28600</v>
      </c>
    </row>
    <row r="378" spans="1:11">
      <c r="A378" s="754">
        <v>374</v>
      </c>
      <c r="B378" s="754"/>
      <c r="C378" s="760" t="s">
        <v>3039</v>
      </c>
      <c r="D378" s="766" t="s">
        <v>655</v>
      </c>
      <c r="E378" s="762">
        <v>30600</v>
      </c>
      <c r="F378" s="762"/>
      <c r="G378" s="757"/>
      <c r="H378" s="763" t="s">
        <v>3023</v>
      </c>
    </row>
    <row r="379" spans="1:11">
      <c r="A379" s="754">
        <v>375</v>
      </c>
      <c r="B379" s="754"/>
      <c r="C379" s="760" t="s">
        <v>3040</v>
      </c>
      <c r="D379" s="766" t="s">
        <v>655</v>
      </c>
      <c r="E379" s="762">
        <v>109700</v>
      </c>
      <c r="F379" s="762"/>
      <c r="G379" s="757"/>
      <c r="H379" s="763" t="s">
        <v>3023</v>
      </c>
    </row>
    <row r="380" spans="1:11">
      <c r="A380" s="754">
        <v>376</v>
      </c>
      <c r="B380" s="754"/>
      <c r="C380" s="760" t="s">
        <v>3041</v>
      </c>
      <c r="D380" s="766" t="s">
        <v>655</v>
      </c>
      <c r="E380" s="762">
        <v>10200</v>
      </c>
      <c r="F380" s="762"/>
      <c r="G380" s="757"/>
      <c r="H380" s="763" t="s">
        <v>3023</v>
      </c>
    </row>
    <row r="381" spans="1:11">
      <c r="A381" s="754">
        <v>377</v>
      </c>
      <c r="B381" s="754"/>
      <c r="C381" s="760" t="s">
        <v>3042</v>
      </c>
      <c r="D381" s="766" t="s">
        <v>655</v>
      </c>
      <c r="E381" s="762">
        <v>11400</v>
      </c>
      <c r="F381" s="762"/>
      <c r="G381" s="757"/>
      <c r="H381" s="763" t="s">
        <v>3023</v>
      </c>
    </row>
    <row r="382" spans="1:11">
      <c r="A382" s="754">
        <v>378</v>
      </c>
      <c r="B382" s="754"/>
      <c r="C382" s="760"/>
      <c r="D382" s="766"/>
      <c r="E382" s="762"/>
      <c r="F382" s="762"/>
      <c r="G382" s="757"/>
      <c r="H382" s="763"/>
    </row>
    <row r="383" spans="1:11">
      <c r="A383" s="754">
        <v>379</v>
      </c>
      <c r="B383" s="754"/>
      <c r="C383" s="760"/>
      <c r="D383" s="766"/>
      <c r="E383" s="762"/>
      <c r="F383" s="762"/>
      <c r="G383" s="757"/>
      <c r="H383" s="763"/>
    </row>
    <row r="384" spans="1:11">
      <c r="A384" s="754">
        <v>380</v>
      </c>
      <c r="B384" s="754"/>
      <c r="C384" s="760"/>
      <c r="D384" s="766"/>
      <c r="E384" s="762"/>
      <c r="F384" s="762"/>
      <c r="G384" s="757"/>
      <c r="H384" s="763"/>
    </row>
    <row r="385" spans="1:11" ht="30">
      <c r="A385" s="754">
        <v>381</v>
      </c>
      <c r="B385" s="754"/>
      <c r="C385" s="760" t="s">
        <v>3043</v>
      </c>
      <c r="D385" s="766" t="s">
        <v>655</v>
      </c>
      <c r="E385" s="762">
        <v>99999.999999999985</v>
      </c>
      <c r="F385" s="762"/>
      <c r="G385" s="757"/>
      <c r="H385" s="794" t="s">
        <v>3044</v>
      </c>
      <c r="K385" s="746">
        <v>99999.999999999985</v>
      </c>
    </row>
    <row r="386" spans="1:11">
      <c r="A386" s="754">
        <v>382</v>
      </c>
      <c r="B386" s="754"/>
      <c r="C386" s="760" t="s">
        <v>3045</v>
      </c>
      <c r="D386" s="766" t="s">
        <v>685</v>
      </c>
      <c r="E386" s="762">
        <v>200000</v>
      </c>
      <c r="F386" s="762"/>
      <c r="G386" s="757"/>
      <c r="H386" s="763"/>
      <c r="K386" s="746">
        <v>200000</v>
      </c>
    </row>
    <row r="387" spans="1:11" ht="31.5">
      <c r="A387" s="754">
        <v>383</v>
      </c>
      <c r="B387" s="754"/>
      <c r="C387" s="760" t="s">
        <v>2244</v>
      </c>
      <c r="D387" s="766" t="s">
        <v>677</v>
      </c>
      <c r="E387" s="762">
        <v>100000</v>
      </c>
      <c r="F387" s="762"/>
      <c r="G387" s="757"/>
      <c r="H387" s="763" t="s">
        <v>2668</v>
      </c>
      <c r="K387" s="746">
        <v>100000</v>
      </c>
    </row>
    <row r="388" spans="1:11">
      <c r="A388" s="754">
        <v>384</v>
      </c>
      <c r="B388" s="754"/>
      <c r="C388" s="760" t="s">
        <v>3046</v>
      </c>
      <c r="D388" s="766" t="s">
        <v>655</v>
      </c>
      <c r="E388" s="762">
        <v>750000</v>
      </c>
      <c r="F388" s="762"/>
      <c r="G388" s="757"/>
      <c r="H388" s="763" t="s">
        <v>3047</v>
      </c>
      <c r="K388" s="746">
        <v>750000</v>
      </c>
    </row>
    <row r="389" spans="1:11" ht="45">
      <c r="A389" s="754">
        <v>385</v>
      </c>
      <c r="B389" s="754"/>
      <c r="C389" s="760" t="s">
        <v>3048</v>
      </c>
      <c r="D389" s="766" t="s">
        <v>655</v>
      </c>
      <c r="E389" s="762">
        <v>3454545.4545454541</v>
      </c>
      <c r="F389" s="762"/>
      <c r="G389" s="757"/>
      <c r="H389" s="794" t="s">
        <v>3049</v>
      </c>
      <c r="K389" s="746">
        <v>3454545.4545454541</v>
      </c>
    </row>
    <row r="390" spans="1:11" ht="15">
      <c r="A390" s="754">
        <v>386</v>
      </c>
      <c r="B390" s="754"/>
      <c r="C390" s="760" t="s">
        <v>3050</v>
      </c>
      <c r="D390" s="766" t="s">
        <v>655</v>
      </c>
      <c r="E390" s="779">
        <v>130000</v>
      </c>
      <c r="F390" s="779">
        <v>130000</v>
      </c>
      <c r="G390" s="757"/>
      <c r="H390" s="795" t="s">
        <v>3051</v>
      </c>
      <c r="K390" s="746">
        <v>96000</v>
      </c>
    </row>
    <row r="391" spans="1:11" ht="15">
      <c r="A391" s="754">
        <v>387</v>
      </c>
      <c r="B391" s="754"/>
      <c r="C391" s="760" t="s">
        <v>3052</v>
      </c>
      <c r="D391" s="766" t="s">
        <v>655</v>
      </c>
      <c r="E391" s="779">
        <v>234000</v>
      </c>
      <c r="F391" s="779">
        <v>234000</v>
      </c>
      <c r="G391" s="757"/>
      <c r="H391" s="795" t="s">
        <v>3051</v>
      </c>
      <c r="K391" s="746">
        <v>173000</v>
      </c>
    </row>
    <row r="392" spans="1:11" ht="15">
      <c r="A392" s="754">
        <v>388</v>
      </c>
      <c r="B392" s="754"/>
      <c r="C392" s="760" t="s">
        <v>3053</v>
      </c>
      <c r="D392" s="766" t="s">
        <v>655</v>
      </c>
      <c r="E392" s="779">
        <v>284000</v>
      </c>
      <c r="F392" s="779">
        <v>284000</v>
      </c>
      <c r="G392" s="757"/>
      <c r="H392" s="795" t="s">
        <v>3051</v>
      </c>
      <c r="K392" s="746">
        <v>209000</v>
      </c>
    </row>
    <row r="393" spans="1:11">
      <c r="A393" s="754">
        <v>389</v>
      </c>
      <c r="B393" s="754"/>
      <c r="C393" s="760" t="s">
        <v>3054</v>
      </c>
      <c r="D393" s="766" t="s">
        <v>655</v>
      </c>
      <c r="E393" s="762">
        <v>96000</v>
      </c>
      <c r="F393" s="762"/>
      <c r="G393" s="757"/>
      <c r="H393" s="796"/>
      <c r="K393" s="746">
        <v>96000</v>
      </c>
    </row>
    <row r="394" spans="1:11">
      <c r="A394" s="754">
        <v>390</v>
      </c>
      <c r="B394" s="754"/>
      <c r="C394" s="760" t="s">
        <v>3055</v>
      </c>
      <c r="D394" s="766" t="s">
        <v>655</v>
      </c>
      <c r="E394" s="762">
        <v>96000</v>
      </c>
      <c r="F394" s="762"/>
      <c r="G394" s="757"/>
      <c r="H394" s="796"/>
      <c r="K394" s="746">
        <v>96000</v>
      </c>
    </row>
    <row r="395" spans="1:11">
      <c r="A395" s="754">
        <v>391</v>
      </c>
      <c r="B395" s="754"/>
      <c r="C395" s="760" t="s">
        <v>3056</v>
      </c>
      <c r="D395" s="766" t="s">
        <v>655</v>
      </c>
      <c r="E395" s="762">
        <v>100000</v>
      </c>
      <c r="F395" s="762"/>
      <c r="G395" s="757"/>
      <c r="H395" s="796"/>
      <c r="K395" s="746">
        <v>100000</v>
      </c>
    </row>
    <row r="396" spans="1:11">
      <c r="A396" s="754">
        <v>392</v>
      </c>
      <c r="B396" s="754"/>
      <c r="C396" s="760" t="s">
        <v>3057</v>
      </c>
      <c r="D396" s="766" t="s">
        <v>655</v>
      </c>
      <c r="E396" s="762">
        <v>20600</v>
      </c>
      <c r="F396" s="762"/>
      <c r="G396" s="757"/>
      <c r="H396" s="796" t="s">
        <v>3058</v>
      </c>
      <c r="K396" s="746">
        <v>20600</v>
      </c>
    </row>
    <row r="397" spans="1:11">
      <c r="A397" s="754">
        <v>393</v>
      </c>
      <c r="B397" s="754"/>
      <c r="C397" s="760" t="s">
        <v>3059</v>
      </c>
      <c r="D397" s="766" t="s">
        <v>655</v>
      </c>
      <c r="E397" s="762">
        <v>36800</v>
      </c>
      <c r="F397" s="762"/>
      <c r="G397" s="757"/>
      <c r="H397" s="796" t="s">
        <v>3058</v>
      </c>
      <c r="K397" s="746">
        <v>36800</v>
      </c>
    </row>
    <row r="398" spans="1:11">
      <c r="A398" s="754">
        <v>394</v>
      </c>
      <c r="B398" s="754"/>
      <c r="C398" s="760" t="s">
        <v>3060</v>
      </c>
      <c r="D398" s="766" t="s">
        <v>655</v>
      </c>
      <c r="E398" s="762">
        <v>47700</v>
      </c>
      <c r="F398" s="762"/>
      <c r="G398" s="757"/>
      <c r="H398" s="796" t="s">
        <v>3058</v>
      </c>
      <c r="K398" s="746">
        <v>47700</v>
      </c>
    </row>
    <row r="399" spans="1:11">
      <c r="A399" s="754">
        <v>395</v>
      </c>
      <c r="B399" s="754"/>
      <c r="C399" s="760" t="s">
        <v>1886</v>
      </c>
      <c r="D399" s="766" t="s">
        <v>1730</v>
      </c>
      <c r="E399" s="762">
        <v>142500</v>
      </c>
      <c r="F399" s="762"/>
      <c r="G399" s="757"/>
      <c r="H399" s="763" t="s">
        <v>3023</v>
      </c>
      <c r="K399" s="746">
        <v>142500</v>
      </c>
    </row>
    <row r="400" spans="1:11">
      <c r="A400" s="754">
        <v>396</v>
      </c>
      <c r="B400" s="754"/>
      <c r="C400" s="760" t="s">
        <v>3061</v>
      </c>
      <c r="D400" s="766" t="s">
        <v>655</v>
      </c>
      <c r="E400" s="762">
        <v>1000000</v>
      </c>
      <c r="F400" s="762"/>
      <c r="G400" s="757"/>
      <c r="H400" s="763"/>
      <c r="K400" s="746">
        <v>1000000</v>
      </c>
    </row>
    <row r="401" spans="1:11">
      <c r="A401" s="754">
        <v>397</v>
      </c>
      <c r="B401" s="754"/>
      <c r="C401" s="760" t="s">
        <v>3062</v>
      </c>
      <c r="D401" s="766" t="s">
        <v>655</v>
      </c>
      <c r="E401" s="762">
        <v>525000</v>
      </c>
      <c r="F401" s="762"/>
      <c r="G401" s="757"/>
      <c r="H401" s="763"/>
    </row>
    <row r="402" spans="1:11">
      <c r="A402" s="754">
        <v>398</v>
      </c>
      <c r="B402" s="754"/>
      <c r="C402" s="760" t="s">
        <v>3063</v>
      </c>
      <c r="D402" s="766" t="s">
        <v>655</v>
      </c>
      <c r="E402" s="762">
        <v>1000000</v>
      </c>
      <c r="F402" s="762"/>
      <c r="G402" s="757"/>
      <c r="H402" s="763"/>
      <c r="K402" s="746">
        <v>1000000</v>
      </c>
    </row>
    <row r="403" spans="1:11">
      <c r="A403" s="754">
        <v>399</v>
      </c>
      <c r="B403" s="754"/>
      <c r="C403" s="760" t="s">
        <v>3064</v>
      </c>
      <c r="D403" s="766" t="s">
        <v>624</v>
      </c>
      <c r="E403" s="762">
        <v>485000</v>
      </c>
      <c r="F403" s="762"/>
      <c r="G403" s="757"/>
      <c r="H403" s="763" t="s">
        <v>3023</v>
      </c>
      <c r="K403" s="746">
        <v>485000</v>
      </c>
    </row>
    <row r="404" spans="1:11">
      <c r="A404" s="754">
        <v>400</v>
      </c>
      <c r="B404" s="754"/>
      <c r="C404" s="760" t="s">
        <v>3065</v>
      </c>
      <c r="D404" s="766" t="s">
        <v>624</v>
      </c>
      <c r="E404" s="762">
        <v>485000</v>
      </c>
      <c r="F404" s="762"/>
      <c r="G404" s="757"/>
      <c r="H404" s="763" t="s">
        <v>3023</v>
      </c>
      <c r="K404" s="746">
        <v>485000</v>
      </c>
    </row>
    <row r="405" spans="1:11">
      <c r="A405" s="754">
        <v>401</v>
      </c>
      <c r="B405" s="754"/>
      <c r="C405" s="760" t="s">
        <v>3066</v>
      </c>
      <c r="D405" s="766" t="s">
        <v>655</v>
      </c>
      <c r="E405" s="762">
        <v>215000</v>
      </c>
      <c r="F405" s="762"/>
      <c r="G405" s="757"/>
      <c r="H405" s="763" t="s">
        <v>3047</v>
      </c>
      <c r="K405" s="746">
        <v>215000</v>
      </c>
    </row>
    <row r="406" spans="1:11" ht="30">
      <c r="A406" s="754">
        <v>402</v>
      </c>
      <c r="B406" s="754"/>
      <c r="C406" s="760" t="s">
        <v>3067</v>
      </c>
      <c r="D406" s="766" t="s">
        <v>624</v>
      </c>
      <c r="E406" s="762">
        <v>14160000</v>
      </c>
      <c r="F406" s="762"/>
      <c r="G406" s="757"/>
      <c r="H406" s="763" t="s">
        <v>3068</v>
      </c>
      <c r="K406" s="746">
        <v>4500000</v>
      </c>
    </row>
    <row r="407" spans="1:11" ht="30">
      <c r="A407" s="754">
        <v>403</v>
      </c>
      <c r="B407" s="754"/>
      <c r="C407" s="760" t="s">
        <v>3069</v>
      </c>
      <c r="D407" s="766" t="s">
        <v>624</v>
      </c>
      <c r="E407" s="762">
        <v>10130000</v>
      </c>
      <c r="F407" s="762"/>
      <c r="G407" s="757"/>
      <c r="H407" s="763" t="s">
        <v>3068</v>
      </c>
      <c r="K407" s="746">
        <v>5000000</v>
      </c>
    </row>
    <row r="408" spans="1:11">
      <c r="A408" s="754">
        <v>404</v>
      </c>
      <c r="B408" s="754"/>
      <c r="C408" s="760" t="s">
        <v>1892</v>
      </c>
      <c r="D408" s="766" t="s">
        <v>1730</v>
      </c>
      <c r="E408" s="762">
        <v>142500</v>
      </c>
      <c r="F408" s="762"/>
      <c r="G408" s="757"/>
      <c r="H408" s="763" t="s">
        <v>3023</v>
      </c>
      <c r="K408" s="746">
        <v>142500</v>
      </c>
    </row>
    <row r="409" spans="1:11">
      <c r="A409" s="754">
        <v>404</v>
      </c>
      <c r="B409" s="754"/>
      <c r="C409" s="760" t="s">
        <v>3070</v>
      </c>
      <c r="D409" s="766" t="s">
        <v>655</v>
      </c>
      <c r="E409" s="762">
        <v>9800</v>
      </c>
      <c r="F409" s="762"/>
      <c r="G409" s="757"/>
      <c r="H409" s="763" t="s">
        <v>3023</v>
      </c>
    </row>
    <row r="410" spans="1:11">
      <c r="A410" s="754">
        <v>405</v>
      </c>
      <c r="B410" s="754"/>
      <c r="C410" s="760" t="s">
        <v>3071</v>
      </c>
      <c r="D410" s="766" t="s">
        <v>655</v>
      </c>
      <c r="E410" s="762">
        <v>4400</v>
      </c>
      <c r="F410" s="762"/>
      <c r="G410" s="757"/>
      <c r="H410" s="763" t="s">
        <v>3023</v>
      </c>
      <c r="K410" s="746">
        <v>4400</v>
      </c>
    </row>
    <row r="411" spans="1:11">
      <c r="A411" s="754">
        <v>406</v>
      </c>
      <c r="B411" s="754"/>
      <c r="C411" s="760" t="s">
        <v>3072</v>
      </c>
      <c r="D411" s="766" t="s">
        <v>655</v>
      </c>
      <c r="E411" s="762">
        <v>6300</v>
      </c>
      <c r="F411" s="762"/>
      <c r="G411" s="757"/>
      <c r="H411" s="763" t="s">
        <v>3023</v>
      </c>
      <c r="K411" s="746">
        <v>6300</v>
      </c>
    </row>
    <row r="412" spans="1:11">
      <c r="A412" s="754">
        <v>407</v>
      </c>
      <c r="B412" s="754"/>
      <c r="C412" s="760" t="s">
        <v>3073</v>
      </c>
      <c r="D412" s="766" t="s">
        <v>655</v>
      </c>
      <c r="E412" s="762">
        <v>6400</v>
      </c>
      <c r="F412" s="762"/>
      <c r="G412" s="757"/>
      <c r="H412" s="763" t="s">
        <v>3023</v>
      </c>
      <c r="K412" s="746">
        <v>6400</v>
      </c>
    </row>
    <row r="413" spans="1:11">
      <c r="A413" s="754">
        <v>408</v>
      </c>
      <c r="B413" s="754"/>
      <c r="C413" s="760" t="s">
        <v>3074</v>
      </c>
      <c r="D413" s="766" t="s">
        <v>655</v>
      </c>
      <c r="E413" s="762">
        <v>9800</v>
      </c>
      <c r="F413" s="762"/>
      <c r="G413" s="757"/>
      <c r="H413" s="763" t="s">
        <v>3023</v>
      </c>
      <c r="K413" s="746">
        <v>9800</v>
      </c>
    </row>
    <row r="414" spans="1:11">
      <c r="A414" s="754">
        <v>409</v>
      </c>
      <c r="B414" s="754"/>
      <c r="C414" s="760" t="s">
        <v>3075</v>
      </c>
      <c r="D414" s="766" t="s">
        <v>655</v>
      </c>
      <c r="E414" s="762">
        <v>10000</v>
      </c>
      <c r="F414" s="762"/>
      <c r="G414" s="757"/>
      <c r="H414" s="763" t="s">
        <v>3023</v>
      </c>
      <c r="K414" s="746">
        <v>10000</v>
      </c>
    </row>
    <row r="415" spans="1:11">
      <c r="A415" s="754">
        <v>410</v>
      </c>
      <c r="B415" s="754"/>
      <c r="C415" s="760" t="s">
        <v>3076</v>
      </c>
      <c r="D415" s="766" t="s">
        <v>655</v>
      </c>
      <c r="E415" s="762">
        <v>12000</v>
      </c>
      <c r="F415" s="762"/>
      <c r="G415" s="757"/>
      <c r="H415" s="763" t="s">
        <v>3023</v>
      </c>
    </row>
    <row r="416" spans="1:11">
      <c r="A416" s="754">
        <v>411</v>
      </c>
      <c r="B416" s="754"/>
      <c r="C416" s="760" t="s">
        <v>3077</v>
      </c>
      <c r="D416" s="766" t="s">
        <v>655</v>
      </c>
      <c r="E416" s="762">
        <v>33200</v>
      </c>
      <c r="F416" s="762"/>
      <c r="G416" s="757"/>
      <c r="H416" s="763" t="s">
        <v>3023</v>
      </c>
      <c r="K416" s="746">
        <v>33200</v>
      </c>
    </row>
    <row r="417" spans="1:11">
      <c r="A417" s="754">
        <v>412</v>
      </c>
      <c r="B417" s="754"/>
      <c r="C417" s="760" t="s">
        <v>3078</v>
      </c>
      <c r="D417" s="766" t="s">
        <v>655</v>
      </c>
      <c r="E417" s="762">
        <v>23700</v>
      </c>
      <c r="F417" s="762"/>
      <c r="G417" s="757"/>
      <c r="H417" s="763" t="s">
        <v>3023</v>
      </c>
      <c r="K417" s="746">
        <v>23700</v>
      </c>
    </row>
    <row r="418" spans="1:11" ht="30">
      <c r="A418" s="754">
        <v>413</v>
      </c>
      <c r="B418" s="754"/>
      <c r="C418" s="760" t="s">
        <v>3079</v>
      </c>
      <c r="D418" s="766" t="s">
        <v>655</v>
      </c>
      <c r="E418" s="762">
        <v>77700</v>
      </c>
      <c r="F418" s="762"/>
      <c r="G418" s="757"/>
      <c r="H418" s="763" t="s">
        <v>3023</v>
      </c>
      <c r="K418" s="746">
        <v>77700</v>
      </c>
    </row>
    <row r="419" spans="1:11">
      <c r="A419" s="754">
        <v>414</v>
      </c>
      <c r="B419" s="754"/>
      <c r="C419" s="760" t="s">
        <v>3080</v>
      </c>
      <c r="D419" s="766" t="s">
        <v>655</v>
      </c>
      <c r="E419" s="762">
        <v>4200</v>
      </c>
      <c r="F419" s="762"/>
      <c r="G419" s="757"/>
      <c r="H419" s="763" t="s">
        <v>3023</v>
      </c>
      <c r="K419" s="746">
        <v>4200</v>
      </c>
    </row>
    <row r="420" spans="1:11">
      <c r="A420" s="754">
        <v>415</v>
      </c>
      <c r="B420" s="754"/>
      <c r="C420" s="760" t="s">
        <v>3081</v>
      </c>
      <c r="D420" s="766" t="s">
        <v>655</v>
      </c>
      <c r="E420" s="762">
        <v>6400</v>
      </c>
      <c r="F420" s="762"/>
      <c r="G420" s="757"/>
      <c r="H420" s="763" t="s">
        <v>3023</v>
      </c>
      <c r="K420" s="746">
        <v>6400</v>
      </c>
    </row>
    <row r="421" spans="1:11">
      <c r="A421" s="754">
        <v>416</v>
      </c>
      <c r="B421" s="754"/>
      <c r="C421" s="760" t="s">
        <v>3082</v>
      </c>
      <c r="D421" s="766" t="s">
        <v>655</v>
      </c>
      <c r="E421" s="762">
        <v>4100</v>
      </c>
      <c r="F421" s="762"/>
      <c r="G421" s="757"/>
      <c r="H421" s="763" t="s">
        <v>3023</v>
      </c>
      <c r="K421" s="746">
        <v>4100</v>
      </c>
    </row>
    <row r="422" spans="1:11">
      <c r="A422" s="754">
        <v>417</v>
      </c>
      <c r="B422" s="754"/>
      <c r="C422" s="760" t="s">
        <v>3083</v>
      </c>
      <c r="D422" s="766" t="s">
        <v>655</v>
      </c>
      <c r="E422" s="762">
        <v>28800</v>
      </c>
      <c r="F422" s="762"/>
      <c r="G422" s="757"/>
      <c r="H422" s="763" t="s">
        <v>3023</v>
      </c>
      <c r="K422" s="746">
        <v>28800</v>
      </c>
    </row>
    <row r="423" spans="1:11">
      <c r="A423" s="754">
        <v>418</v>
      </c>
      <c r="B423" s="754"/>
      <c r="C423" s="760" t="s">
        <v>3084</v>
      </c>
      <c r="D423" s="766" t="s">
        <v>655</v>
      </c>
      <c r="E423" s="762">
        <v>2900</v>
      </c>
      <c r="F423" s="762"/>
      <c r="G423" s="757"/>
      <c r="H423" s="763" t="s">
        <v>3023</v>
      </c>
      <c r="K423" s="746">
        <v>2900</v>
      </c>
    </row>
    <row r="424" spans="1:11">
      <c r="A424" s="754">
        <v>419</v>
      </c>
      <c r="B424" s="754"/>
      <c r="C424" s="760" t="s">
        <v>3085</v>
      </c>
      <c r="D424" s="766" t="s">
        <v>655</v>
      </c>
      <c r="E424" s="762">
        <v>4800</v>
      </c>
      <c r="F424" s="762"/>
      <c r="G424" s="757"/>
      <c r="H424" s="763" t="s">
        <v>3023</v>
      </c>
      <c r="K424" s="746">
        <v>4800</v>
      </c>
    </row>
    <row r="425" spans="1:11">
      <c r="A425" s="754">
        <v>420</v>
      </c>
      <c r="B425" s="754"/>
      <c r="C425" s="760" t="s">
        <v>3086</v>
      </c>
      <c r="D425" s="766" t="s">
        <v>655</v>
      </c>
      <c r="E425" s="762">
        <v>7400</v>
      </c>
      <c r="F425" s="762"/>
      <c r="G425" s="757"/>
      <c r="H425" s="763" t="s">
        <v>3023</v>
      </c>
      <c r="K425" s="746">
        <v>7400</v>
      </c>
    </row>
    <row r="426" spans="1:11">
      <c r="A426" s="754">
        <v>421</v>
      </c>
      <c r="B426" s="754"/>
      <c r="C426" s="760" t="s">
        <v>3087</v>
      </c>
      <c r="D426" s="766" t="s">
        <v>655</v>
      </c>
      <c r="E426" s="762">
        <v>11900</v>
      </c>
      <c r="F426" s="762"/>
      <c r="G426" s="757"/>
      <c r="H426" s="763" t="s">
        <v>3023</v>
      </c>
      <c r="K426" s="746">
        <v>11900</v>
      </c>
    </row>
    <row r="427" spans="1:11">
      <c r="A427" s="754">
        <v>422</v>
      </c>
      <c r="B427" s="754"/>
      <c r="C427" s="760" t="s">
        <v>3088</v>
      </c>
      <c r="D427" s="766" t="s">
        <v>655</v>
      </c>
      <c r="E427" s="762">
        <v>21600</v>
      </c>
      <c r="F427" s="762"/>
      <c r="G427" s="757"/>
      <c r="H427" s="763" t="s">
        <v>3023</v>
      </c>
      <c r="K427" s="746">
        <v>21600</v>
      </c>
    </row>
    <row r="428" spans="1:11">
      <c r="A428" s="754">
        <v>423</v>
      </c>
      <c r="B428" s="754"/>
      <c r="C428" s="760" t="s">
        <v>3089</v>
      </c>
      <c r="D428" s="766" t="s">
        <v>655</v>
      </c>
      <c r="E428" s="762">
        <v>45200</v>
      </c>
      <c r="F428" s="762"/>
      <c r="G428" s="757"/>
      <c r="H428" s="763" t="s">
        <v>3023</v>
      </c>
      <c r="K428" s="746">
        <v>45200</v>
      </c>
    </row>
    <row r="429" spans="1:11">
      <c r="A429" s="754">
        <v>424</v>
      </c>
      <c r="B429" s="754"/>
      <c r="C429" s="760" t="s">
        <v>3090</v>
      </c>
      <c r="D429" s="766" t="s">
        <v>655</v>
      </c>
      <c r="E429" s="762">
        <v>44700</v>
      </c>
      <c r="F429" s="762"/>
      <c r="G429" s="757"/>
      <c r="H429" s="763" t="s">
        <v>3023</v>
      </c>
      <c r="I429" s="764"/>
      <c r="K429" s="746">
        <v>44700</v>
      </c>
    </row>
    <row r="430" spans="1:11">
      <c r="A430" s="754">
        <v>425</v>
      </c>
      <c r="B430" s="754"/>
      <c r="C430" s="760" t="s">
        <v>3091</v>
      </c>
      <c r="D430" s="766" t="s">
        <v>655</v>
      </c>
      <c r="E430" s="762">
        <v>52200</v>
      </c>
      <c r="F430" s="762"/>
      <c r="G430" s="757"/>
      <c r="H430" s="763" t="s">
        <v>3023</v>
      </c>
      <c r="K430" s="746">
        <v>52200</v>
      </c>
    </row>
    <row r="431" spans="1:11">
      <c r="A431" s="754">
        <v>426</v>
      </c>
      <c r="B431" s="754"/>
      <c r="C431" s="760" t="s">
        <v>3092</v>
      </c>
      <c r="D431" s="766" t="s">
        <v>655</v>
      </c>
      <c r="E431" s="762">
        <v>80000</v>
      </c>
      <c r="F431" s="762"/>
      <c r="G431" s="757"/>
      <c r="H431" s="763" t="s">
        <v>3023</v>
      </c>
      <c r="K431" s="746">
        <v>80000</v>
      </c>
    </row>
    <row r="432" spans="1:11">
      <c r="A432" s="754">
        <v>427</v>
      </c>
      <c r="B432" s="754"/>
      <c r="C432" s="760" t="s">
        <v>3093</v>
      </c>
      <c r="D432" s="766" t="s">
        <v>655</v>
      </c>
      <c r="E432" s="762">
        <v>125000</v>
      </c>
      <c r="F432" s="762"/>
      <c r="G432" s="757"/>
      <c r="H432" s="763" t="s">
        <v>3023</v>
      </c>
      <c r="K432" s="746">
        <v>80000</v>
      </c>
    </row>
    <row r="433" spans="1:11">
      <c r="A433" s="754">
        <v>428</v>
      </c>
      <c r="B433" s="754"/>
      <c r="C433" s="760" t="s">
        <v>3094</v>
      </c>
      <c r="D433" s="766" t="s">
        <v>655</v>
      </c>
      <c r="E433" s="762">
        <v>565600</v>
      </c>
      <c r="F433" s="762"/>
      <c r="G433" s="757"/>
      <c r="H433" s="763" t="s">
        <v>3023</v>
      </c>
      <c r="K433" s="746">
        <v>565600</v>
      </c>
    </row>
    <row r="434" spans="1:11">
      <c r="A434" s="754">
        <v>429</v>
      </c>
      <c r="B434" s="754"/>
      <c r="C434" s="760" t="s">
        <v>3095</v>
      </c>
      <c r="D434" s="766" t="s">
        <v>655</v>
      </c>
      <c r="E434" s="762">
        <v>565600</v>
      </c>
      <c r="F434" s="762"/>
      <c r="G434" s="757"/>
      <c r="H434" s="763" t="s">
        <v>3023</v>
      </c>
      <c r="K434" s="746">
        <v>565600</v>
      </c>
    </row>
    <row r="435" spans="1:11">
      <c r="A435" s="754">
        <v>430</v>
      </c>
      <c r="B435" s="754"/>
      <c r="C435" s="760" t="s">
        <v>3096</v>
      </c>
      <c r="D435" s="766" t="s">
        <v>655</v>
      </c>
      <c r="E435" s="762">
        <v>5200</v>
      </c>
      <c r="F435" s="762"/>
      <c r="G435" s="757"/>
      <c r="H435" s="763" t="s">
        <v>3023</v>
      </c>
      <c r="K435" s="746">
        <v>5200</v>
      </c>
    </row>
    <row r="436" spans="1:11">
      <c r="A436" s="754">
        <v>431</v>
      </c>
      <c r="B436" s="754"/>
      <c r="C436" s="760" t="s">
        <v>3097</v>
      </c>
      <c r="D436" s="766" t="s">
        <v>655</v>
      </c>
      <c r="E436" s="762">
        <v>7400</v>
      </c>
      <c r="F436" s="762"/>
      <c r="G436" s="757"/>
      <c r="H436" s="763" t="s">
        <v>3023</v>
      </c>
      <c r="K436" s="746">
        <v>7400</v>
      </c>
    </row>
    <row r="437" spans="1:11">
      <c r="A437" s="754">
        <v>432</v>
      </c>
      <c r="B437" s="754"/>
      <c r="C437" s="760" t="s">
        <v>3098</v>
      </c>
      <c r="D437" s="766" t="s">
        <v>655</v>
      </c>
      <c r="E437" s="762">
        <v>35200</v>
      </c>
      <c r="F437" s="762"/>
      <c r="G437" s="757"/>
      <c r="H437" s="763" t="s">
        <v>3023</v>
      </c>
      <c r="K437" s="746">
        <v>35200</v>
      </c>
    </row>
    <row r="438" spans="1:11">
      <c r="A438" s="754">
        <v>433</v>
      </c>
      <c r="B438" s="754"/>
      <c r="C438" s="760" t="s">
        <v>3099</v>
      </c>
      <c r="D438" s="766" t="s">
        <v>655</v>
      </c>
      <c r="E438" s="762">
        <v>521600</v>
      </c>
      <c r="F438" s="762"/>
      <c r="G438" s="757"/>
      <c r="H438" s="763" t="s">
        <v>3023</v>
      </c>
      <c r="K438" s="746">
        <v>521600</v>
      </c>
    </row>
    <row r="439" spans="1:11">
      <c r="A439" s="754">
        <v>434</v>
      </c>
      <c r="B439" s="754"/>
      <c r="C439" s="760" t="s">
        <v>3100</v>
      </c>
      <c r="D439" s="766" t="s">
        <v>655</v>
      </c>
      <c r="E439" s="762">
        <v>521600</v>
      </c>
      <c r="F439" s="762"/>
      <c r="G439" s="757"/>
      <c r="H439" s="763" t="s">
        <v>3023</v>
      </c>
      <c r="K439" s="746">
        <v>521600</v>
      </c>
    </row>
    <row r="440" spans="1:11">
      <c r="A440" s="754">
        <v>435</v>
      </c>
      <c r="B440" s="754"/>
      <c r="C440" s="760" t="s">
        <v>3101</v>
      </c>
      <c r="D440" s="766" t="s">
        <v>655</v>
      </c>
      <c r="E440" s="762">
        <v>3400</v>
      </c>
      <c r="F440" s="762"/>
      <c r="G440" s="757"/>
      <c r="H440" s="763" t="s">
        <v>3023</v>
      </c>
      <c r="K440" s="746">
        <v>3400</v>
      </c>
    </row>
    <row r="441" spans="1:11">
      <c r="A441" s="754">
        <v>436</v>
      </c>
      <c r="B441" s="754"/>
      <c r="C441" s="760" t="s">
        <v>3102</v>
      </c>
      <c r="D441" s="766" t="s">
        <v>655</v>
      </c>
      <c r="E441" s="762">
        <v>5300</v>
      </c>
      <c r="F441" s="762"/>
      <c r="G441" s="757"/>
      <c r="H441" s="763" t="s">
        <v>3023</v>
      </c>
      <c r="K441" s="746">
        <v>5300</v>
      </c>
    </row>
    <row r="442" spans="1:11">
      <c r="A442" s="754">
        <v>437</v>
      </c>
      <c r="B442" s="754"/>
      <c r="C442" s="760" t="s">
        <v>3103</v>
      </c>
      <c r="D442" s="766" t="s">
        <v>655</v>
      </c>
      <c r="E442" s="762">
        <v>7200</v>
      </c>
      <c r="F442" s="762"/>
      <c r="G442" s="757"/>
      <c r="H442" s="763" t="s">
        <v>3023</v>
      </c>
      <c r="K442" s="746">
        <v>7200</v>
      </c>
    </row>
    <row r="443" spans="1:11">
      <c r="A443" s="754">
        <v>438</v>
      </c>
      <c r="B443" s="754"/>
      <c r="C443" s="760" t="s">
        <v>3104</v>
      </c>
      <c r="D443" s="766" t="s">
        <v>655</v>
      </c>
      <c r="E443" s="762">
        <v>2700</v>
      </c>
      <c r="F443" s="762"/>
      <c r="G443" s="757"/>
      <c r="H443" s="763" t="s">
        <v>3023</v>
      </c>
      <c r="K443" s="746">
        <v>2700</v>
      </c>
    </row>
    <row r="444" spans="1:11">
      <c r="A444" s="754">
        <v>439</v>
      </c>
      <c r="B444" s="754"/>
      <c r="C444" s="760" t="s">
        <v>3105</v>
      </c>
      <c r="D444" s="766" t="s">
        <v>655</v>
      </c>
      <c r="E444" s="762">
        <v>61900</v>
      </c>
      <c r="F444" s="762"/>
      <c r="G444" s="757"/>
      <c r="H444" s="763" t="s">
        <v>3023</v>
      </c>
      <c r="K444" s="746">
        <v>61900</v>
      </c>
    </row>
    <row r="445" spans="1:11">
      <c r="A445" s="754">
        <v>440</v>
      </c>
      <c r="B445" s="754"/>
      <c r="C445" s="760" t="s">
        <v>3106</v>
      </c>
      <c r="D445" s="766" t="s">
        <v>655</v>
      </c>
      <c r="E445" s="762">
        <v>4800</v>
      </c>
      <c r="F445" s="762"/>
      <c r="G445" s="757"/>
      <c r="H445" s="763" t="s">
        <v>3023</v>
      </c>
      <c r="K445" s="746">
        <v>4800</v>
      </c>
    </row>
    <row r="446" spans="1:11">
      <c r="A446" s="754">
        <v>441</v>
      </c>
      <c r="B446" s="754"/>
      <c r="C446" s="760" t="s">
        <v>3107</v>
      </c>
      <c r="D446" s="766" t="s">
        <v>655</v>
      </c>
      <c r="E446" s="762">
        <v>12300</v>
      </c>
      <c r="F446" s="762"/>
      <c r="G446" s="757"/>
      <c r="H446" s="763" t="s">
        <v>3023</v>
      </c>
      <c r="K446" s="746">
        <v>12300</v>
      </c>
    </row>
    <row r="447" spans="1:11" s="774" customFormat="1" ht="15">
      <c r="A447" s="768">
        <v>442</v>
      </c>
      <c r="B447" s="768"/>
      <c r="C447" s="769" t="s">
        <v>3108</v>
      </c>
      <c r="D447" s="797" t="s">
        <v>624</v>
      </c>
      <c r="E447" s="771">
        <v>1136364</v>
      </c>
      <c r="F447" s="771"/>
      <c r="G447" s="772"/>
      <c r="H447" s="798" t="s">
        <v>3109</v>
      </c>
      <c r="K447" s="775">
        <v>509090.90909090906</v>
      </c>
    </row>
    <row r="448" spans="1:11" s="774" customFormat="1">
      <c r="A448" s="768">
        <v>443</v>
      </c>
      <c r="B448" s="768"/>
      <c r="C448" s="769" t="s">
        <v>3110</v>
      </c>
      <c r="D448" s="797" t="s">
        <v>3111</v>
      </c>
      <c r="E448" s="771">
        <v>364000</v>
      </c>
      <c r="F448" s="771"/>
      <c r="G448" s="772"/>
      <c r="H448" s="799" t="s">
        <v>3051</v>
      </c>
      <c r="K448" s="775">
        <v>334000</v>
      </c>
    </row>
    <row r="449" spans="1:11" s="774" customFormat="1">
      <c r="A449" s="768">
        <v>444</v>
      </c>
      <c r="B449" s="768"/>
      <c r="C449" s="769" t="s">
        <v>3112</v>
      </c>
      <c r="D449" s="797" t="s">
        <v>3111</v>
      </c>
      <c r="E449" s="771">
        <v>664000</v>
      </c>
      <c r="F449" s="771"/>
      <c r="G449" s="772"/>
      <c r="H449" s="799" t="s">
        <v>3051</v>
      </c>
      <c r="K449" s="775">
        <v>598000</v>
      </c>
    </row>
    <row r="450" spans="1:11" s="774" customFormat="1">
      <c r="A450" s="768">
        <v>445</v>
      </c>
      <c r="B450" s="768"/>
      <c r="C450" s="769" t="s">
        <v>3113</v>
      </c>
      <c r="D450" s="797" t="s">
        <v>3111</v>
      </c>
      <c r="E450" s="771">
        <v>736000</v>
      </c>
      <c r="F450" s="771"/>
      <c r="G450" s="772"/>
      <c r="H450" s="799" t="s">
        <v>3051</v>
      </c>
      <c r="K450" s="775">
        <v>659000</v>
      </c>
    </row>
    <row r="451" spans="1:11" s="774" customFormat="1">
      <c r="A451" s="768">
        <v>446</v>
      </c>
      <c r="B451" s="768"/>
      <c r="C451" s="769" t="s">
        <v>3114</v>
      </c>
      <c r="D451" s="797" t="s">
        <v>3111</v>
      </c>
      <c r="E451" s="771">
        <v>1097000</v>
      </c>
      <c r="F451" s="771"/>
      <c r="G451" s="772"/>
      <c r="H451" s="799" t="s">
        <v>3051</v>
      </c>
      <c r="K451" s="775">
        <v>969000</v>
      </c>
    </row>
    <row r="452" spans="1:11" s="774" customFormat="1">
      <c r="A452" s="768">
        <v>447</v>
      </c>
      <c r="B452" s="768"/>
      <c r="C452" s="769" t="s">
        <v>3115</v>
      </c>
      <c r="D452" s="797" t="s">
        <v>3111</v>
      </c>
      <c r="E452" s="771">
        <v>1151000</v>
      </c>
      <c r="F452" s="771"/>
      <c r="G452" s="772"/>
      <c r="H452" s="799" t="s">
        <v>3051</v>
      </c>
      <c r="K452" s="775">
        <v>1015000</v>
      </c>
    </row>
    <row r="453" spans="1:11">
      <c r="A453" s="754">
        <v>448</v>
      </c>
      <c r="B453" s="754"/>
      <c r="C453" s="760" t="s">
        <v>3116</v>
      </c>
      <c r="D453" s="766" t="s">
        <v>685</v>
      </c>
      <c r="E453" s="762">
        <v>26700</v>
      </c>
      <c r="F453" s="762"/>
      <c r="G453" s="757"/>
      <c r="H453" s="763" t="s">
        <v>3023</v>
      </c>
      <c r="K453" s="746">
        <v>26700</v>
      </c>
    </row>
    <row r="454" spans="1:11">
      <c r="A454" s="754">
        <v>449</v>
      </c>
      <c r="B454" s="754"/>
      <c r="C454" s="760" t="s">
        <v>3117</v>
      </c>
      <c r="D454" s="766" t="s">
        <v>685</v>
      </c>
      <c r="E454" s="762">
        <v>47300</v>
      </c>
      <c r="F454" s="762"/>
      <c r="G454" s="757"/>
      <c r="H454" s="763" t="s">
        <v>3023</v>
      </c>
      <c r="K454" s="746">
        <v>47300</v>
      </c>
    </row>
    <row r="455" spans="1:11">
      <c r="A455" s="754">
        <v>450</v>
      </c>
      <c r="B455" s="754"/>
      <c r="C455" s="760" t="s">
        <v>3118</v>
      </c>
      <c r="D455" s="766" t="s">
        <v>685</v>
      </c>
      <c r="E455" s="762">
        <v>69100</v>
      </c>
      <c r="F455" s="762"/>
      <c r="G455" s="757"/>
      <c r="H455" s="763" t="s">
        <v>3023</v>
      </c>
      <c r="K455" s="746">
        <v>69100</v>
      </c>
    </row>
    <row r="456" spans="1:11">
      <c r="A456" s="754">
        <v>451</v>
      </c>
      <c r="B456" s="754"/>
      <c r="C456" s="760" t="s">
        <v>3119</v>
      </c>
      <c r="D456" s="766" t="s">
        <v>685</v>
      </c>
      <c r="E456" s="762">
        <v>107100</v>
      </c>
      <c r="F456" s="762"/>
      <c r="G456" s="757"/>
      <c r="H456" s="763" t="s">
        <v>3023</v>
      </c>
      <c r="K456" s="746">
        <v>107100</v>
      </c>
    </row>
    <row r="457" spans="1:11">
      <c r="A457" s="754">
        <v>452</v>
      </c>
      <c r="B457" s="754"/>
      <c r="C457" s="760" t="s">
        <v>3120</v>
      </c>
      <c r="D457" s="766" t="s">
        <v>685</v>
      </c>
      <c r="E457" s="762">
        <v>166500</v>
      </c>
      <c r="F457" s="762"/>
      <c r="G457" s="757"/>
      <c r="H457" s="763" t="s">
        <v>3023</v>
      </c>
      <c r="K457" s="746">
        <v>166500</v>
      </c>
    </row>
    <row r="458" spans="1:11">
      <c r="A458" s="754">
        <v>453</v>
      </c>
      <c r="B458" s="754"/>
      <c r="C458" s="760" t="s">
        <v>3121</v>
      </c>
      <c r="D458" s="766" t="s">
        <v>685</v>
      </c>
      <c r="E458" s="762">
        <v>262800</v>
      </c>
      <c r="F458" s="762"/>
      <c r="G458" s="757"/>
      <c r="H458" s="763" t="s">
        <v>3023</v>
      </c>
      <c r="K458" s="746">
        <v>262800</v>
      </c>
    </row>
    <row r="459" spans="1:11">
      <c r="A459" s="754">
        <v>454</v>
      </c>
      <c r="B459" s="754"/>
      <c r="C459" s="760" t="s">
        <v>3122</v>
      </c>
      <c r="D459" s="766" t="s">
        <v>685</v>
      </c>
      <c r="E459" s="762">
        <v>210000</v>
      </c>
      <c r="F459" s="762"/>
      <c r="G459" s="757"/>
      <c r="H459" s="763"/>
      <c r="K459" s="746">
        <v>410000</v>
      </c>
    </row>
    <row r="460" spans="1:11">
      <c r="A460" s="754">
        <v>455</v>
      </c>
      <c r="B460" s="754"/>
      <c r="C460" s="760" t="s">
        <v>3123</v>
      </c>
      <c r="D460" s="766" t="s">
        <v>685</v>
      </c>
      <c r="E460" s="762">
        <v>285000</v>
      </c>
      <c r="F460" s="762"/>
      <c r="G460" s="757"/>
      <c r="H460" s="763"/>
      <c r="K460" s="746">
        <v>482000</v>
      </c>
    </row>
    <row r="461" spans="1:11">
      <c r="A461" s="754">
        <v>456</v>
      </c>
      <c r="B461" s="754"/>
      <c r="C461" s="760" t="s">
        <v>3124</v>
      </c>
      <c r="D461" s="766" t="s">
        <v>685</v>
      </c>
      <c r="E461" s="762">
        <v>101700</v>
      </c>
      <c r="F461" s="762"/>
      <c r="G461" s="757"/>
      <c r="H461" s="763" t="s">
        <v>3125</v>
      </c>
      <c r="K461" s="746">
        <v>101700</v>
      </c>
    </row>
    <row r="462" spans="1:11">
      <c r="A462" s="754">
        <v>457</v>
      </c>
      <c r="B462" s="754"/>
      <c r="C462" s="760" t="s">
        <v>3126</v>
      </c>
      <c r="D462" s="766" t="s">
        <v>685</v>
      </c>
      <c r="E462" s="762">
        <v>211200</v>
      </c>
      <c r="F462" s="762"/>
      <c r="G462" s="757"/>
      <c r="H462" s="763" t="s">
        <v>3127</v>
      </c>
      <c r="K462" s="746">
        <v>211200</v>
      </c>
    </row>
    <row r="463" spans="1:11">
      <c r="A463" s="754">
        <v>458</v>
      </c>
      <c r="B463" s="754"/>
      <c r="C463" s="760" t="s">
        <v>3128</v>
      </c>
      <c r="D463" s="766" t="s">
        <v>685</v>
      </c>
      <c r="E463" s="762">
        <v>13900</v>
      </c>
      <c r="F463" s="762"/>
      <c r="G463" s="757"/>
      <c r="H463" s="763" t="s">
        <v>3129</v>
      </c>
      <c r="K463" s="746">
        <v>13900</v>
      </c>
    </row>
    <row r="464" spans="1:11">
      <c r="A464" s="754">
        <v>459</v>
      </c>
      <c r="B464" s="754"/>
      <c r="C464" s="760" t="s">
        <v>3130</v>
      </c>
      <c r="D464" s="766" t="s">
        <v>685</v>
      </c>
      <c r="E464" s="762">
        <v>345100</v>
      </c>
      <c r="F464" s="762"/>
      <c r="G464" s="757"/>
      <c r="H464" s="763" t="s">
        <v>3131</v>
      </c>
      <c r="K464" s="746">
        <v>345100</v>
      </c>
    </row>
    <row r="465" spans="1:11">
      <c r="A465" s="754">
        <v>460</v>
      </c>
      <c r="B465" s="754"/>
      <c r="C465" s="760" t="s">
        <v>3132</v>
      </c>
      <c r="D465" s="766" t="s">
        <v>685</v>
      </c>
      <c r="E465" s="762">
        <v>20100</v>
      </c>
      <c r="F465" s="762"/>
      <c r="G465" s="757"/>
      <c r="H465" s="763" t="s">
        <v>3133</v>
      </c>
      <c r="K465" s="746">
        <v>20100</v>
      </c>
    </row>
    <row r="466" spans="1:11">
      <c r="A466" s="754">
        <v>461</v>
      </c>
      <c r="B466" s="754"/>
      <c r="C466" s="760" t="s">
        <v>3134</v>
      </c>
      <c r="D466" s="766" t="s">
        <v>685</v>
      </c>
      <c r="E466" s="762">
        <v>25700</v>
      </c>
      <c r="F466" s="762"/>
      <c r="G466" s="757"/>
      <c r="H466" s="763" t="s">
        <v>3133</v>
      </c>
      <c r="K466" s="746">
        <v>25700</v>
      </c>
    </row>
    <row r="467" spans="1:11">
      <c r="A467" s="754">
        <v>462</v>
      </c>
      <c r="B467" s="754"/>
      <c r="C467" s="760" t="s">
        <v>3135</v>
      </c>
      <c r="D467" s="766" t="s">
        <v>685</v>
      </c>
      <c r="E467" s="762">
        <v>43300</v>
      </c>
      <c r="F467" s="762"/>
      <c r="G467" s="757"/>
      <c r="H467" s="763" t="s">
        <v>2866</v>
      </c>
      <c r="K467" s="746">
        <v>43300</v>
      </c>
    </row>
    <row r="468" spans="1:11">
      <c r="A468" s="754">
        <v>463</v>
      </c>
      <c r="B468" s="754"/>
      <c r="C468" s="760" t="s">
        <v>3136</v>
      </c>
      <c r="D468" s="766" t="s">
        <v>685</v>
      </c>
      <c r="E468" s="762">
        <v>67500</v>
      </c>
      <c r="F468" s="762"/>
      <c r="G468" s="757"/>
      <c r="H468" s="763" t="s">
        <v>3137</v>
      </c>
      <c r="K468" s="746">
        <v>67500</v>
      </c>
    </row>
    <row r="469" spans="1:11" ht="30">
      <c r="A469" s="754">
        <v>464</v>
      </c>
      <c r="B469" s="754"/>
      <c r="C469" s="760" t="s">
        <v>3138</v>
      </c>
      <c r="D469" s="766" t="s">
        <v>655</v>
      </c>
      <c r="E469" s="762">
        <v>118181.81818181818</v>
      </c>
      <c r="F469" s="762"/>
      <c r="G469" s="757"/>
      <c r="H469" s="794" t="s">
        <v>3139</v>
      </c>
      <c r="K469" s="746">
        <v>118181.81818181818</v>
      </c>
    </row>
    <row r="470" spans="1:11" ht="15">
      <c r="A470" s="754">
        <v>465</v>
      </c>
      <c r="B470" s="754"/>
      <c r="C470" s="760" t="s">
        <v>3140</v>
      </c>
      <c r="D470" s="766" t="s">
        <v>655</v>
      </c>
      <c r="E470" s="762">
        <v>118181.81818181818</v>
      </c>
      <c r="F470" s="762"/>
      <c r="G470" s="757"/>
      <c r="H470" s="794"/>
      <c r="K470" s="746">
        <v>118181.81818181818</v>
      </c>
    </row>
    <row r="471" spans="1:11" ht="15">
      <c r="A471" s="754">
        <v>466</v>
      </c>
      <c r="B471" s="754"/>
      <c r="C471" s="760" t="s">
        <v>3141</v>
      </c>
      <c r="D471" s="766" t="s">
        <v>655</v>
      </c>
      <c r="E471" s="762">
        <v>118181.81818181818</v>
      </c>
      <c r="F471" s="762"/>
      <c r="G471" s="757"/>
      <c r="H471" s="794"/>
      <c r="K471" s="746">
        <v>118181.81818181818</v>
      </c>
    </row>
    <row r="472" spans="1:11" ht="30">
      <c r="A472" s="754">
        <v>467</v>
      </c>
      <c r="B472" s="754"/>
      <c r="C472" s="760" t="s">
        <v>3142</v>
      </c>
      <c r="D472" s="766" t="s">
        <v>655</v>
      </c>
      <c r="E472" s="762">
        <v>163636.36363636362</v>
      </c>
      <c r="F472" s="762"/>
      <c r="G472" s="757"/>
      <c r="H472" s="794" t="s">
        <v>3143</v>
      </c>
      <c r="K472" s="746">
        <v>163636.36363636362</v>
      </c>
    </row>
    <row r="473" spans="1:11">
      <c r="A473" s="754">
        <v>468</v>
      </c>
      <c r="B473" s="754"/>
      <c r="C473" s="760" t="s">
        <v>3144</v>
      </c>
      <c r="D473" s="766" t="s">
        <v>655</v>
      </c>
      <c r="E473" s="762">
        <v>44300</v>
      </c>
      <c r="F473" s="762"/>
      <c r="G473" s="757"/>
      <c r="H473" s="763" t="s">
        <v>3023</v>
      </c>
      <c r="K473" s="746">
        <v>44300</v>
      </c>
    </row>
    <row r="474" spans="1:11">
      <c r="A474" s="754">
        <v>469</v>
      </c>
      <c r="B474" s="754"/>
      <c r="C474" s="760" t="s">
        <v>3145</v>
      </c>
      <c r="D474" s="766" t="s">
        <v>655</v>
      </c>
      <c r="E474" s="762">
        <v>1000000</v>
      </c>
      <c r="F474" s="762"/>
      <c r="G474" s="757"/>
      <c r="H474" s="763"/>
      <c r="K474" s="746">
        <v>1000000</v>
      </c>
    </row>
    <row r="475" spans="1:11">
      <c r="A475" s="754">
        <v>470</v>
      </c>
      <c r="B475" s="754"/>
      <c r="C475" s="760" t="s">
        <v>3146</v>
      </c>
      <c r="D475" s="766" t="s">
        <v>655</v>
      </c>
      <c r="E475" s="762">
        <v>423200</v>
      </c>
      <c r="F475" s="762"/>
      <c r="G475" s="757"/>
      <c r="H475" s="763" t="s">
        <v>3023</v>
      </c>
      <c r="K475" s="746">
        <v>423200</v>
      </c>
    </row>
    <row r="476" spans="1:11">
      <c r="A476" s="754">
        <v>471</v>
      </c>
      <c r="B476" s="754"/>
      <c r="C476" s="760" t="s">
        <v>3147</v>
      </c>
      <c r="D476" s="766" t="s">
        <v>655</v>
      </c>
      <c r="E476" s="762">
        <v>92300</v>
      </c>
      <c r="F476" s="762"/>
      <c r="G476" s="757"/>
      <c r="H476" s="763" t="s">
        <v>3023</v>
      </c>
      <c r="K476" s="746">
        <v>92300</v>
      </c>
    </row>
    <row r="477" spans="1:11">
      <c r="A477" s="754">
        <v>472</v>
      </c>
      <c r="B477" s="754"/>
      <c r="C477" s="760" t="s">
        <v>3148</v>
      </c>
      <c r="D477" s="766" t="s">
        <v>655</v>
      </c>
      <c r="E477" s="762">
        <v>51000</v>
      </c>
      <c r="F477" s="762"/>
      <c r="G477" s="757"/>
      <c r="H477" s="763" t="s">
        <v>3023</v>
      </c>
      <c r="K477" s="746">
        <v>51000</v>
      </c>
    </row>
    <row r="478" spans="1:11">
      <c r="A478" s="754">
        <v>473</v>
      </c>
      <c r="B478" s="754"/>
      <c r="C478" s="760" t="s">
        <v>3149</v>
      </c>
      <c r="D478" s="766" t="s">
        <v>655</v>
      </c>
      <c r="E478" s="762">
        <v>9800</v>
      </c>
      <c r="F478" s="762"/>
      <c r="G478" s="757"/>
      <c r="H478" s="763" t="s">
        <v>3023</v>
      </c>
      <c r="K478" s="746">
        <v>9800</v>
      </c>
    </row>
    <row r="479" spans="1:11">
      <c r="A479" s="754">
        <v>474</v>
      </c>
      <c r="B479" s="754"/>
      <c r="C479" s="760" t="s">
        <v>3150</v>
      </c>
      <c r="D479" s="766" t="s">
        <v>655</v>
      </c>
      <c r="E479" s="762">
        <v>17200</v>
      </c>
      <c r="F479" s="762"/>
      <c r="G479" s="757"/>
      <c r="H479" s="763" t="s">
        <v>3023</v>
      </c>
      <c r="K479" s="746">
        <v>17200</v>
      </c>
    </row>
    <row r="480" spans="1:11">
      <c r="A480" s="754">
        <v>475</v>
      </c>
      <c r="B480" s="754"/>
      <c r="C480" s="760" t="s">
        <v>3151</v>
      </c>
      <c r="D480" s="766" t="s">
        <v>655</v>
      </c>
      <c r="E480" s="762">
        <v>17400</v>
      </c>
      <c r="F480" s="762"/>
      <c r="G480" s="757"/>
      <c r="H480" s="763" t="s">
        <v>3023</v>
      </c>
      <c r="K480" s="746">
        <v>17400</v>
      </c>
    </row>
    <row r="481" spans="1:11">
      <c r="A481" s="754">
        <v>476</v>
      </c>
      <c r="B481" s="754"/>
      <c r="C481" s="760" t="s">
        <v>3152</v>
      </c>
      <c r="D481" s="766" t="s">
        <v>655</v>
      </c>
      <c r="E481" s="762">
        <v>37800</v>
      </c>
      <c r="F481" s="762"/>
      <c r="G481" s="757"/>
      <c r="H481" s="763" t="s">
        <v>3023</v>
      </c>
      <c r="K481" s="746">
        <v>37800</v>
      </c>
    </row>
    <row r="482" spans="1:11">
      <c r="A482" s="754">
        <v>477</v>
      </c>
      <c r="B482" s="754"/>
      <c r="C482" s="760" t="s">
        <v>3153</v>
      </c>
      <c r="D482" s="766" t="s">
        <v>655</v>
      </c>
      <c r="E482" s="762">
        <v>38200</v>
      </c>
      <c r="F482" s="762"/>
      <c r="G482" s="757"/>
      <c r="H482" s="763" t="s">
        <v>3023</v>
      </c>
      <c r="K482" s="746">
        <v>38200</v>
      </c>
    </row>
    <row r="483" spans="1:11">
      <c r="A483" s="754">
        <v>478</v>
      </c>
      <c r="B483" s="754"/>
      <c r="C483" s="760" t="s">
        <v>3154</v>
      </c>
      <c r="D483" s="766" t="s">
        <v>655</v>
      </c>
      <c r="E483" s="762">
        <v>42200</v>
      </c>
      <c r="F483" s="762"/>
      <c r="G483" s="757"/>
      <c r="H483" s="763" t="s">
        <v>3023</v>
      </c>
      <c r="K483" s="746">
        <v>38200</v>
      </c>
    </row>
    <row r="484" spans="1:11">
      <c r="A484" s="754">
        <v>479</v>
      </c>
      <c r="B484" s="754"/>
      <c r="C484" s="760" t="s">
        <v>3155</v>
      </c>
      <c r="D484" s="766" t="s">
        <v>655</v>
      </c>
      <c r="E484" s="762">
        <v>67700</v>
      </c>
      <c r="F484" s="762"/>
      <c r="G484" s="757"/>
      <c r="H484" s="763" t="s">
        <v>3023</v>
      </c>
      <c r="K484" s="746">
        <v>67700</v>
      </c>
    </row>
    <row r="485" spans="1:11">
      <c r="A485" s="754">
        <v>480</v>
      </c>
      <c r="B485" s="754"/>
      <c r="C485" s="760" t="s">
        <v>3156</v>
      </c>
      <c r="D485" s="766" t="s">
        <v>655</v>
      </c>
      <c r="E485" s="762">
        <v>116600</v>
      </c>
      <c r="F485" s="762"/>
      <c r="G485" s="757"/>
      <c r="H485" s="763" t="s">
        <v>3023</v>
      </c>
      <c r="K485" s="746">
        <v>116600</v>
      </c>
    </row>
    <row r="486" spans="1:11">
      <c r="A486" s="754">
        <v>481</v>
      </c>
      <c r="B486" s="754"/>
      <c r="C486" s="760" t="s">
        <v>3157</v>
      </c>
      <c r="D486" s="766" t="s">
        <v>655</v>
      </c>
      <c r="E486" s="762">
        <v>136600</v>
      </c>
      <c r="F486" s="762"/>
      <c r="G486" s="757"/>
      <c r="H486" s="763" t="s">
        <v>3023</v>
      </c>
      <c r="K486" s="746">
        <v>116600</v>
      </c>
    </row>
    <row r="487" spans="1:11">
      <c r="A487" s="754">
        <v>482</v>
      </c>
      <c r="B487" s="754"/>
      <c r="C487" s="760" t="s">
        <v>3158</v>
      </c>
      <c r="D487" s="766" t="s">
        <v>655</v>
      </c>
      <c r="E487" s="762">
        <v>38100</v>
      </c>
      <c r="F487" s="762"/>
      <c r="G487" s="757"/>
      <c r="H487" s="763" t="s">
        <v>3023</v>
      </c>
      <c r="K487" s="746">
        <v>38100</v>
      </c>
    </row>
    <row r="488" spans="1:11">
      <c r="A488" s="754">
        <v>483</v>
      </c>
      <c r="B488" s="754"/>
      <c r="C488" s="760" t="s">
        <v>3159</v>
      </c>
      <c r="D488" s="766" t="s">
        <v>655</v>
      </c>
      <c r="E488" s="762">
        <v>38100</v>
      </c>
      <c r="F488" s="762"/>
      <c r="G488" s="757"/>
      <c r="H488" s="763" t="s">
        <v>3023</v>
      </c>
      <c r="K488" s="746">
        <v>38100</v>
      </c>
    </row>
    <row r="489" spans="1:11">
      <c r="A489" s="754">
        <v>484</v>
      </c>
      <c r="B489" s="754"/>
      <c r="C489" s="760" t="s">
        <v>3160</v>
      </c>
      <c r="D489" s="766" t="s">
        <v>655</v>
      </c>
      <c r="E489" s="762">
        <v>10500</v>
      </c>
      <c r="F489" s="762"/>
      <c r="G489" s="757"/>
      <c r="H489" s="763" t="s">
        <v>3023</v>
      </c>
      <c r="K489" s="746">
        <v>10500</v>
      </c>
    </row>
    <row r="490" spans="1:11">
      <c r="A490" s="754">
        <v>485</v>
      </c>
      <c r="B490" s="754"/>
      <c r="C490" s="760" t="s">
        <v>3161</v>
      </c>
      <c r="D490" s="766" t="s">
        <v>655</v>
      </c>
      <c r="E490" s="762">
        <v>26800</v>
      </c>
      <c r="F490" s="762"/>
      <c r="G490" s="757"/>
      <c r="H490" s="763" t="s">
        <v>3023</v>
      </c>
      <c r="K490" s="746">
        <v>26800</v>
      </c>
    </row>
    <row r="491" spans="1:11">
      <c r="A491" s="754">
        <v>486</v>
      </c>
      <c r="B491" s="754"/>
      <c r="C491" s="760" t="s">
        <v>3162</v>
      </c>
      <c r="D491" s="766" t="s">
        <v>655</v>
      </c>
      <c r="E491" s="762">
        <v>27000</v>
      </c>
      <c r="F491" s="762"/>
      <c r="G491" s="757"/>
      <c r="H491" s="763" t="s">
        <v>3023</v>
      </c>
      <c r="K491" s="746">
        <v>27000</v>
      </c>
    </row>
    <row r="492" spans="1:11">
      <c r="A492" s="754">
        <v>487</v>
      </c>
      <c r="B492" s="754"/>
      <c r="C492" s="760" t="s">
        <v>3163</v>
      </c>
      <c r="D492" s="766" t="s">
        <v>655</v>
      </c>
      <c r="E492" s="762">
        <v>6300</v>
      </c>
      <c r="F492" s="762"/>
      <c r="G492" s="757"/>
      <c r="H492" s="763" t="s">
        <v>3023</v>
      </c>
      <c r="K492" s="746">
        <v>6300</v>
      </c>
    </row>
    <row r="493" spans="1:11">
      <c r="A493" s="754">
        <v>488</v>
      </c>
      <c r="B493" s="754"/>
      <c r="C493" s="760" t="s">
        <v>3164</v>
      </c>
      <c r="D493" s="766" t="s">
        <v>655</v>
      </c>
      <c r="E493" s="762">
        <v>9800</v>
      </c>
      <c r="F493" s="762"/>
      <c r="G493" s="757"/>
      <c r="H493" s="763" t="s">
        <v>3023</v>
      </c>
      <c r="I493" s="764"/>
      <c r="K493" s="746">
        <v>9800</v>
      </c>
    </row>
    <row r="494" spans="1:11">
      <c r="A494" s="754">
        <v>489</v>
      </c>
      <c r="B494" s="754"/>
      <c r="C494" s="760" t="s">
        <v>3165</v>
      </c>
      <c r="D494" s="766" t="s">
        <v>655</v>
      </c>
      <c r="E494" s="762">
        <v>16000</v>
      </c>
      <c r="F494" s="762"/>
      <c r="G494" s="757"/>
      <c r="H494" s="763" t="s">
        <v>3023</v>
      </c>
      <c r="K494" s="746">
        <v>16000</v>
      </c>
    </row>
    <row r="495" spans="1:11">
      <c r="A495" s="754">
        <v>490</v>
      </c>
      <c r="B495" s="754"/>
      <c r="C495" s="760" t="s">
        <v>3166</v>
      </c>
      <c r="D495" s="766" t="s">
        <v>655</v>
      </c>
      <c r="E495" s="762">
        <v>35000</v>
      </c>
      <c r="F495" s="762"/>
      <c r="G495" s="757"/>
      <c r="H495" s="763" t="s">
        <v>3023</v>
      </c>
      <c r="K495" s="746">
        <v>35000</v>
      </c>
    </row>
    <row r="496" spans="1:11">
      <c r="A496" s="754">
        <v>491</v>
      </c>
      <c r="B496" s="754"/>
      <c r="C496" s="760" t="s">
        <v>3167</v>
      </c>
      <c r="D496" s="766" t="s">
        <v>655</v>
      </c>
      <c r="E496" s="762">
        <v>45000</v>
      </c>
      <c r="F496" s="762"/>
      <c r="G496" s="757"/>
      <c r="H496" s="763" t="s">
        <v>3023</v>
      </c>
      <c r="K496" s="746">
        <v>35000</v>
      </c>
    </row>
    <row r="497" spans="1:11">
      <c r="A497" s="754">
        <v>492</v>
      </c>
      <c r="B497" s="754"/>
      <c r="C497" s="760" t="s">
        <v>3168</v>
      </c>
      <c r="D497" s="766" t="s">
        <v>655</v>
      </c>
      <c r="E497" s="762">
        <v>123300</v>
      </c>
      <c r="F497" s="762"/>
      <c r="G497" s="757"/>
      <c r="H497" s="763" t="s">
        <v>3023</v>
      </c>
      <c r="K497" s="746">
        <v>123300</v>
      </c>
    </row>
    <row r="498" spans="1:11">
      <c r="A498" s="754">
        <v>493</v>
      </c>
      <c r="B498" s="754"/>
      <c r="C498" s="760" t="s">
        <v>3169</v>
      </c>
      <c r="D498" s="766" t="s">
        <v>655</v>
      </c>
      <c r="E498" s="762">
        <v>10500</v>
      </c>
      <c r="F498" s="762"/>
      <c r="G498" s="757"/>
      <c r="H498" s="763" t="s">
        <v>3023</v>
      </c>
      <c r="K498" s="746">
        <v>10500</v>
      </c>
    </row>
    <row r="499" spans="1:11">
      <c r="A499" s="754">
        <v>494</v>
      </c>
      <c r="B499" s="754"/>
      <c r="C499" s="760" t="s">
        <v>3170</v>
      </c>
      <c r="D499" s="766" t="s">
        <v>655</v>
      </c>
      <c r="E499" s="762">
        <v>13800</v>
      </c>
      <c r="F499" s="762"/>
      <c r="G499" s="757"/>
      <c r="H499" s="763" t="s">
        <v>3023</v>
      </c>
      <c r="K499" s="746">
        <v>13800</v>
      </c>
    </row>
    <row r="500" spans="1:11">
      <c r="A500" s="754">
        <v>495</v>
      </c>
      <c r="B500" s="754"/>
      <c r="C500" s="760" t="s">
        <v>3171</v>
      </c>
      <c r="D500" s="766" t="s">
        <v>655</v>
      </c>
      <c r="E500" s="762">
        <v>14600</v>
      </c>
      <c r="F500" s="762"/>
      <c r="G500" s="757"/>
      <c r="H500" s="763" t="s">
        <v>3023</v>
      </c>
      <c r="K500" s="746">
        <v>14600</v>
      </c>
    </row>
    <row r="501" spans="1:11">
      <c r="A501" s="754">
        <v>496</v>
      </c>
      <c r="B501" s="754"/>
      <c r="C501" s="760" t="s">
        <v>3172</v>
      </c>
      <c r="D501" s="766" t="s">
        <v>655</v>
      </c>
      <c r="E501" s="762">
        <v>42500</v>
      </c>
      <c r="F501" s="762"/>
      <c r="G501" s="757"/>
      <c r="H501" s="763" t="s">
        <v>3023</v>
      </c>
      <c r="K501" s="746">
        <v>42500</v>
      </c>
    </row>
    <row r="502" spans="1:11" ht="30">
      <c r="A502" s="754">
        <v>497</v>
      </c>
      <c r="B502" s="754"/>
      <c r="C502" s="760" t="s">
        <v>3173</v>
      </c>
      <c r="D502" s="766" t="s">
        <v>655</v>
      </c>
      <c r="E502" s="762">
        <v>250000</v>
      </c>
      <c r="F502" s="762"/>
      <c r="G502" s="757"/>
      <c r="H502" s="763"/>
      <c r="K502" s="746">
        <v>250000</v>
      </c>
    </row>
    <row r="503" spans="1:11">
      <c r="A503" s="754">
        <v>498</v>
      </c>
      <c r="B503" s="754"/>
      <c r="C503" s="760" t="s">
        <v>3174</v>
      </c>
      <c r="D503" s="766" t="s">
        <v>655</v>
      </c>
      <c r="E503" s="762">
        <v>250000</v>
      </c>
      <c r="F503" s="762"/>
      <c r="G503" s="757"/>
      <c r="H503" s="763"/>
      <c r="K503" s="746">
        <v>250000</v>
      </c>
    </row>
    <row r="504" spans="1:11">
      <c r="A504" s="754">
        <v>499</v>
      </c>
      <c r="B504" s="754"/>
      <c r="C504" s="760" t="s">
        <v>3175</v>
      </c>
      <c r="D504" s="766" t="s">
        <v>655</v>
      </c>
      <c r="E504" s="762">
        <v>250000</v>
      </c>
      <c r="F504" s="762"/>
      <c r="G504" s="757"/>
      <c r="H504" s="763"/>
      <c r="K504" s="746">
        <v>250000</v>
      </c>
    </row>
    <row r="505" spans="1:11">
      <c r="A505" s="754">
        <v>500</v>
      </c>
      <c r="B505" s="754"/>
      <c r="C505" s="760" t="s">
        <v>3176</v>
      </c>
      <c r="D505" s="766" t="s">
        <v>655</v>
      </c>
      <c r="E505" s="762">
        <v>82500</v>
      </c>
      <c r="F505" s="762"/>
      <c r="G505" s="757"/>
      <c r="H505" s="763" t="s">
        <v>3023</v>
      </c>
      <c r="K505" s="746">
        <v>82500</v>
      </c>
    </row>
    <row r="506" spans="1:11">
      <c r="A506" s="754">
        <v>501</v>
      </c>
      <c r="B506" s="754"/>
      <c r="C506" s="760" t="s">
        <v>3177</v>
      </c>
      <c r="D506" s="766" t="s">
        <v>655</v>
      </c>
      <c r="E506" s="762">
        <v>82500</v>
      </c>
      <c r="F506" s="762"/>
      <c r="G506" s="757"/>
      <c r="H506" s="763" t="s">
        <v>3023</v>
      </c>
      <c r="K506" s="746">
        <v>82500</v>
      </c>
    </row>
    <row r="507" spans="1:11">
      <c r="A507" s="754">
        <v>502</v>
      </c>
      <c r="B507" s="754"/>
      <c r="C507" s="760" t="s">
        <v>3178</v>
      </c>
      <c r="D507" s="766" t="s">
        <v>655</v>
      </c>
      <c r="E507" s="762">
        <v>24000</v>
      </c>
      <c r="F507" s="762"/>
      <c r="G507" s="757"/>
      <c r="H507" s="763" t="s">
        <v>3023</v>
      </c>
      <c r="K507" s="746">
        <v>24000</v>
      </c>
    </row>
    <row r="508" spans="1:11">
      <c r="A508" s="754">
        <v>503</v>
      </c>
      <c r="B508" s="754"/>
      <c r="C508" s="760" t="s">
        <v>3179</v>
      </c>
      <c r="D508" s="766" t="s">
        <v>655</v>
      </c>
      <c r="E508" s="762">
        <v>44100</v>
      </c>
      <c r="F508" s="762"/>
      <c r="G508" s="757"/>
      <c r="H508" s="763" t="s">
        <v>3023</v>
      </c>
      <c r="K508" s="746">
        <v>44100</v>
      </c>
    </row>
    <row r="509" spans="1:11">
      <c r="A509" s="754">
        <v>504</v>
      </c>
      <c r="B509" s="754"/>
      <c r="C509" s="760" t="s">
        <v>3180</v>
      </c>
      <c r="D509" s="766" t="s">
        <v>655</v>
      </c>
      <c r="E509" s="762">
        <v>82500</v>
      </c>
      <c r="F509" s="762"/>
      <c r="G509" s="757"/>
      <c r="H509" s="763" t="s">
        <v>3023</v>
      </c>
      <c r="K509" s="746">
        <v>82500</v>
      </c>
    </row>
    <row r="510" spans="1:11">
      <c r="A510" s="754">
        <v>505</v>
      </c>
      <c r="B510" s="754"/>
      <c r="C510" s="760" t="s">
        <v>3181</v>
      </c>
      <c r="D510" s="766" t="s">
        <v>624</v>
      </c>
      <c r="E510" s="762">
        <v>2500000</v>
      </c>
      <c r="F510" s="762"/>
      <c r="G510" s="757"/>
      <c r="H510" s="763"/>
      <c r="K510" s="746">
        <v>2500000</v>
      </c>
    </row>
    <row r="511" spans="1:11">
      <c r="A511" s="754">
        <v>506</v>
      </c>
      <c r="B511" s="754"/>
      <c r="C511" s="760" t="s">
        <v>3182</v>
      </c>
      <c r="D511" s="766" t="s">
        <v>655</v>
      </c>
      <c r="E511" s="762">
        <v>45000</v>
      </c>
      <c r="F511" s="762"/>
      <c r="G511" s="757"/>
      <c r="H511" s="763"/>
      <c r="K511" s="746">
        <v>45000</v>
      </c>
    </row>
    <row r="512" spans="1:11">
      <c r="A512" s="754">
        <v>507</v>
      </c>
      <c r="B512" s="754"/>
      <c r="C512" s="760" t="s">
        <v>3183</v>
      </c>
      <c r="D512" s="766" t="s">
        <v>655</v>
      </c>
      <c r="E512" s="762">
        <v>55000</v>
      </c>
      <c r="F512" s="762"/>
      <c r="G512" s="757"/>
      <c r="H512" s="763"/>
      <c r="K512" s="746">
        <v>55000</v>
      </c>
    </row>
    <row r="513" spans="1:11">
      <c r="A513" s="754">
        <v>508</v>
      </c>
      <c r="B513" s="754"/>
      <c r="C513" s="760" t="s">
        <v>3184</v>
      </c>
      <c r="D513" s="766" t="s">
        <v>655</v>
      </c>
      <c r="E513" s="762">
        <v>65000</v>
      </c>
      <c r="F513" s="762"/>
      <c r="G513" s="757"/>
      <c r="H513" s="763"/>
      <c r="K513" s="746">
        <v>65000</v>
      </c>
    </row>
    <row r="514" spans="1:11">
      <c r="A514" s="754">
        <v>509</v>
      </c>
      <c r="B514" s="754"/>
      <c r="C514" s="760" t="s">
        <v>3185</v>
      </c>
      <c r="D514" s="766" t="s">
        <v>655</v>
      </c>
      <c r="E514" s="762">
        <v>19400</v>
      </c>
      <c r="F514" s="762"/>
      <c r="G514" s="757"/>
      <c r="H514" s="763" t="s">
        <v>3023</v>
      </c>
      <c r="K514" s="746">
        <v>19400</v>
      </c>
    </row>
    <row r="515" spans="1:11">
      <c r="A515" s="754">
        <v>510</v>
      </c>
      <c r="B515" s="754"/>
      <c r="C515" s="760" t="s">
        <v>3186</v>
      </c>
      <c r="D515" s="766" t="s">
        <v>655</v>
      </c>
      <c r="E515" s="762">
        <v>22700</v>
      </c>
      <c r="F515" s="762"/>
      <c r="G515" s="757"/>
      <c r="H515" s="763" t="s">
        <v>3023</v>
      </c>
      <c r="K515" s="746">
        <v>22700</v>
      </c>
    </row>
    <row r="516" spans="1:11">
      <c r="A516" s="754">
        <v>511</v>
      </c>
      <c r="B516" s="754"/>
      <c r="C516" s="760" t="s">
        <v>3187</v>
      </c>
      <c r="D516" s="766" t="s">
        <v>655</v>
      </c>
      <c r="E516" s="762">
        <v>56400</v>
      </c>
      <c r="F516" s="762"/>
      <c r="G516" s="757"/>
      <c r="H516" s="763" t="s">
        <v>3023</v>
      </c>
      <c r="K516" s="746">
        <v>56400</v>
      </c>
    </row>
    <row r="517" spans="1:11">
      <c r="A517" s="754">
        <v>512</v>
      </c>
      <c r="B517" s="754"/>
      <c r="C517" s="760" t="s">
        <v>3188</v>
      </c>
      <c r="D517" s="766" t="s">
        <v>655</v>
      </c>
      <c r="E517" s="762">
        <v>84600</v>
      </c>
      <c r="F517" s="762"/>
      <c r="G517" s="757"/>
      <c r="H517" s="763" t="s">
        <v>3023</v>
      </c>
      <c r="K517" s="746">
        <v>84600</v>
      </c>
    </row>
    <row r="518" spans="1:11">
      <c r="A518" s="754">
        <v>513</v>
      </c>
      <c r="B518" s="754"/>
      <c r="C518" s="760" t="s">
        <v>3189</v>
      </c>
      <c r="D518" s="766" t="s">
        <v>655</v>
      </c>
      <c r="E518" s="762">
        <v>112000</v>
      </c>
      <c r="F518" s="762"/>
      <c r="G518" s="757"/>
      <c r="H518" s="763"/>
      <c r="K518" s="746">
        <v>45000</v>
      </c>
    </row>
    <row r="519" spans="1:11">
      <c r="A519" s="754">
        <v>514</v>
      </c>
      <c r="B519" s="754"/>
      <c r="C519" s="760" t="s">
        <v>3190</v>
      </c>
      <c r="D519" s="766" t="s">
        <v>655</v>
      </c>
      <c r="E519" s="762">
        <v>137000</v>
      </c>
      <c r="F519" s="762"/>
      <c r="G519" s="757"/>
      <c r="H519" s="763"/>
      <c r="K519" s="746">
        <v>55000</v>
      </c>
    </row>
    <row r="520" spans="1:11">
      <c r="A520" s="754">
        <v>515</v>
      </c>
      <c r="B520" s="754"/>
      <c r="C520" s="760" t="s">
        <v>3191</v>
      </c>
      <c r="D520" s="766" t="s">
        <v>655</v>
      </c>
      <c r="E520" s="762">
        <v>191000</v>
      </c>
      <c r="F520" s="762"/>
      <c r="G520" s="757"/>
      <c r="H520" s="763"/>
      <c r="K520" s="746">
        <v>65000</v>
      </c>
    </row>
    <row r="521" spans="1:11">
      <c r="A521" s="754">
        <v>516</v>
      </c>
      <c r="B521" s="754"/>
      <c r="C521" s="760" t="s">
        <v>3192</v>
      </c>
      <c r="D521" s="766" t="s">
        <v>655</v>
      </c>
      <c r="E521" s="762">
        <v>359000</v>
      </c>
      <c r="F521" s="762"/>
      <c r="G521" s="757"/>
      <c r="H521" s="763"/>
      <c r="K521" s="746">
        <v>85000</v>
      </c>
    </row>
    <row r="522" spans="1:11">
      <c r="A522" s="754">
        <v>517</v>
      </c>
      <c r="B522" s="754"/>
      <c r="C522" s="760" t="s">
        <v>3193</v>
      </c>
      <c r="D522" s="766" t="s">
        <v>655</v>
      </c>
      <c r="E522" s="762">
        <v>395000</v>
      </c>
      <c r="F522" s="762"/>
      <c r="G522" s="757"/>
      <c r="H522" s="763"/>
    </row>
    <row r="523" spans="1:11" s="774" customFormat="1" ht="15">
      <c r="A523" s="768">
        <v>518</v>
      </c>
      <c r="B523" s="768"/>
      <c r="C523" s="769" t="s">
        <v>3194</v>
      </c>
      <c r="D523" s="797" t="s">
        <v>655</v>
      </c>
      <c r="E523" s="779">
        <f>1650000/1.1</f>
        <v>1499999.9999999998</v>
      </c>
      <c r="F523" s="771"/>
      <c r="G523" s="772"/>
      <c r="H523" s="762" t="s">
        <v>3195</v>
      </c>
      <c r="K523" s="775">
        <v>125000</v>
      </c>
    </row>
    <row r="524" spans="1:11" s="774" customFormat="1" ht="15">
      <c r="A524" s="768">
        <v>519</v>
      </c>
      <c r="B524" s="768"/>
      <c r="C524" s="769" t="s">
        <v>3196</v>
      </c>
      <c r="D524" s="797" t="s">
        <v>655</v>
      </c>
      <c r="E524" s="779">
        <f>1850000/1.1</f>
        <v>1681818.1818181816</v>
      </c>
      <c r="F524" s="771"/>
      <c r="G524" s="772"/>
      <c r="H524" s="762" t="s">
        <v>3197</v>
      </c>
      <c r="K524" s="775">
        <v>250000</v>
      </c>
    </row>
    <row r="525" spans="1:11" ht="30">
      <c r="A525" s="754">
        <v>520</v>
      </c>
      <c r="B525" s="754"/>
      <c r="C525" s="760" t="s">
        <v>3198</v>
      </c>
      <c r="D525" s="766" t="s">
        <v>655</v>
      </c>
      <c r="E525" s="762">
        <v>181818.18181818179</v>
      </c>
      <c r="F525" s="762"/>
      <c r="G525" s="757"/>
      <c r="H525" s="794" t="s">
        <v>3199</v>
      </c>
      <c r="K525" s="746">
        <v>181818.18181818179</v>
      </c>
    </row>
    <row r="526" spans="1:11" ht="15">
      <c r="A526" s="754">
        <v>521</v>
      </c>
      <c r="B526" s="754"/>
      <c r="C526" s="760" t="s">
        <v>3200</v>
      </c>
      <c r="D526" s="766" t="s">
        <v>655</v>
      </c>
      <c r="E526" s="779">
        <f>6450000/1.1</f>
        <v>5863636.3636363633</v>
      </c>
      <c r="F526" s="762"/>
      <c r="G526" s="757"/>
      <c r="H526" s="800" t="s">
        <v>3201</v>
      </c>
      <c r="K526" s="746">
        <v>250000</v>
      </c>
    </row>
    <row r="527" spans="1:11" ht="15">
      <c r="A527" s="754">
        <v>522</v>
      </c>
      <c r="B527" s="754"/>
      <c r="C527" s="760" t="s">
        <v>3202</v>
      </c>
      <c r="D527" s="766" t="s">
        <v>655</v>
      </c>
      <c r="E527" s="779">
        <f>6450000/1.1</f>
        <v>5863636.3636363633</v>
      </c>
      <c r="F527" s="762"/>
      <c r="G527" s="757"/>
      <c r="H527" s="800" t="s">
        <v>3201</v>
      </c>
    </row>
    <row r="528" spans="1:11" ht="15">
      <c r="A528" s="754"/>
      <c r="B528" s="754"/>
      <c r="C528" s="760" t="s">
        <v>3203</v>
      </c>
      <c r="D528" s="766" t="s">
        <v>655</v>
      </c>
      <c r="E528" s="779">
        <v>106600</v>
      </c>
      <c r="F528" s="762"/>
      <c r="G528" s="757"/>
      <c r="H528" s="801"/>
    </row>
    <row r="529" spans="1:11" ht="15">
      <c r="A529" s="754">
        <v>523</v>
      </c>
      <c r="B529" s="754"/>
      <c r="C529" s="760" t="s">
        <v>3204</v>
      </c>
      <c r="D529" s="766" t="s">
        <v>624</v>
      </c>
      <c r="E529" s="779">
        <f>1340000/1.1</f>
        <v>1218181.8181818181</v>
      </c>
      <c r="F529" s="762"/>
      <c r="G529" s="757"/>
      <c r="H529" s="798" t="s">
        <v>3205</v>
      </c>
      <c r="K529" s="746">
        <v>109090.90909090909</v>
      </c>
    </row>
    <row r="530" spans="1:11" ht="15">
      <c r="A530" s="754">
        <v>524</v>
      </c>
      <c r="B530" s="754"/>
      <c r="C530" s="760" t="s">
        <v>3206</v>
      </c>
      <c r="D530" s="766" t="s">
        <v>655</v>
      </c>
      <c r="E530" s="779">
        <v>200000</v>
      </c>
      <c r="F530" s="762"/>
      <c r="G530" s="757"/>
      <c r="H530" s="762" t="s">
        <v>3207</v>
      </c>
      <c r="I530" s="764"/>
      <c r="K530" s="746">
        <v>199999.99999999997</v>
      </c>
    </row>
    <row r="531" spans="1:11" ht="15">
      <c r="A531" s="754">
        <v>525</v>
      </c>
      <c r="B531" s="754"/>
      <c r="C531" s="760" t="s">
        <v>2625</v>
      </c>
      <c r="D531" s="766" t="s">
        <v>655</v>
      </c>
      <c r="E531" s="779">
        <v>818182</v>
      </c>
      <c r="F531" s="762"/>
      <c r="G531" s="757"/>
      <c r="H531" s="762" t="s">
        <v>3207</v>
      </c>
      <c r="I531" s="764"/>
    </row>
    <row r="532" spans="1:11" ht="15">
      <c r="A532" s="754">
        <v>525</v>
      </c>
      <c r="B532" s="754"/>
      <c r="C532" s="760" t="s">
        <v>3208</v>
      </c>
      <c r="D532" s="766" t="s">
        <v>655</v>
      </c>
      <c r="E532" s="762">
        <v>56000</v>
      </c>
      <c r="F532" s="762"/>
      <c r="G532" s="757"/>
      <c r="H532" s="794"/>
      <c r="I532" s="764"/>
    </row>
    <row r="533" spans="1:11">
      <c r="A533" s="754">
        <v>526</v>
      </c>
      <c r="B533" s="754"/>
      <c r="C533" s="760" t="s">
        <v>3209</v>
      </c>
      <c r="D533" s="766" t="s">
        <v>655</v>
      </c>
      <c r="E533" s="762">
        <v>76100</v>
      </c>
      <c r="F533" s="762"/>
      <c r="G533" s="757"/>
      <c r="H533" s="763" t="s">
        <v>3023</v>
      </c>
      <c r="K533" s="746">
        <v>56000</v>
      </c>
    </row>
    <row r="534" spans="1:11">
      <c r="A534" s="754">
        <v>527</v>
      </c>
      <c r="B534" s="754"/>
      <c r="C534" s="760" t="s">
        <v>3210</v>
      </c>
      <c r="D534" s="766" t="s">
        <v>655</v>
      </c>
      <c r="E534" s="762">
        <v>79200</v>
      </c>
      <c r="F534" s="762"/>
      <c r="G534" s="757"/>
      <c r="H534" s="763" t="s">
        <v>3023</v>
      </c>
      <c r="K534" s="746">
        <v>76100</v>
      </c>
    </row>
    <row r="535" spans="1:11">
      <c r="A535" s="754">
        <v>528</v>
      </c>
      <c r="B535" s="754"/>
      <c r="C535" s="760" t="s">
        <v>3211</v>
      </c>
      <c r="D535" s="766" t="s">
        <v>655</v>
      </c>
      <c r="E535" s="762">
        <v>267900</v>
      </c>
      <c r="F535" s="762"/>
      <c r="G535" s="757"/>
      <c r="H535" s="763" t="s">
        <v>3023</v>
      </c>
      <c r="K535" s="746">
        <v>76100</v>
      </c>
    </row>
    <row r="536" spans="1:11" ht="30">
      <c r="A536" s="754">
        <v>529</v>
      </c>
      <c r="B536" s="754"/>
      <c r="C536" s="760" t="s">
        <v>3212</v>
      </c>
      <c r="D536" s="766" t="s">
        <v>655</v>
      </c>
      <c r="E536" s="762">
        <v>33900</v>
      </c>
      <c r="F536" s="762"/>
      <c r="G536" s="757"/>
      <c r="H536" s="763" t="s">
        <v>3023</v>
      </c>
      <c r="K536" s="746">
        <v>267900</v>
      </c>
    </row>
    <row r="537" spans="1:11" ht="15">
      <c r="A537" s="754">
        <v>530</v>
      </c>
      <c r="B537" s="754"/>
      <c r="C537" s="760" t="s">
        <v>3213</v>
      </c>
      <c r="D537" s="766" t="s">
        <v>655</v>
      </c>
      <c r="E537" s="779">
        <v>666100</v>
      </c>
      <c r="F537" s="762"/>
      <c r="G537" s="757"/>
      <c r="H537" s="762" t="s">
        <v>3214</v>
      </c>
      <c r="K537" s="746">
        <v>33900</v>
      </c>
    </row>
    <row r="538" spans="1:11">
      <c r="A538" s="754">
        <v>531</v>
      </c>
      <c r="B538" s="754"/>
      <c r="C538" s="760" t="s">
        <v>3215</v>
      </c>
      <c r="D538" s="766" t="s">
        <v>655</v>
      </c>
      <c r="E538" s="762">
        <v>23900</v>
      </c>
      <c r="F538" s="762"/>
      <c r="G538" s="757"/>
      <c r="H538" s="763" t="s">
        <v>3023</v>
      </c>
      <c r="K538" s="746">
        <v>23900</v>
      </c>
    </row>
    <row r="539" spans="1:11">
      <c r="A539" s="754">
        <v>532</v>
      </c>
      <c r="B539" s="754"/>
      <c r="C539" s="760" t="s">
        <v>3216</v>
      </c>
      <c r="D539" s="766" t="s">
        <v>655</v>
      </c>
      <c r="E539" s="762">
        <v>81700</v>
      </c>
      <c r="F539" s="762"/>
      <c r="G539" s="757"/>
      <c r="H539" s="763" t="s">
        <v>3023</v>
      </c>
      <c r="K539" s="746">
        <v>81700</v>
      </c>
    </row>
    <row r="540" spans="1:11">
      <c r="A540" s="754">
        <v>533</v>
      </c>
      <c r="B540" s="754"/>
      <c r="C540" s="760" t="s">
        <v>3217</v>
      </c>
      <c r="D540" s="766" t="s">
        <v>655</v>
      </c>
      <c r="E540" s="762">
        <v>289600</v>
      </c>
      <c r="F540" s="762"/>
      <c r="G540" s="757"/>
      <c r="H540" s="763" t="s">
        <v>3023</v>
      </c>
      <c r="K540" s="746">
        <v>289600</v>
      </c>
    </row>
    <row r="541" spans="1:11">
      <c r="A541" s="754">
        <v>534</v>
      </c>
      <c r="B541" s="754"/>
      <c r="C541" s="760" t="s">
        <v>3218</v>
      </c>
      <c r="D541" s="766" t="s">
        <v>655</v>
      </c>
      <c r="E541" s="762">
        <v>57900</v>
      </c>
      <c r="F541" s="762"/>
      <c r="G541" s="757"/>
      <c r="H541" s="763" t="s">
        <v>3023</v>
      </c>
      <c r="K541" s="746">
        <v>57900</v>
      </c>
    </row>
    <row r="542" spans="1:11">
      <c r="A542" s="754">
        <v>535</v>
      </c>
      <c r="B542" s="754"/>
      <c r="C542" s="760" t="s">
        <v>3219</v>
      </c>
      <c r="D542" s="766" t="s">
        <v>655</v>
      </c>
      <c r="E542" s="762">
        <v>56400</v>
      </c>
      <c r="F542" s="762"/>
      <c r="G542" s="757"/>
      <c r="H542" s="763" t="s">
        <v>3023</v>
      </c>
      <c r="K542" s="746">
        <v>56400</v>
      </c>
    </row>
    <row r="543" spans="1:11">
      <c r="A543" s="754">
        <v>536</v>
      </c>
      <c r="B543" s="754"/>
      <c r="C543" s="760"/>
      <c r="D543" s="766"/>
      <c r="E543" s="762"/>
      <c r="F543" s="762"/>
      <c r="G543" s="757"/>
      <c r="H543" s="763"/>
    </row>
    <row r="544" spans="1:11">
      <c r="A544" s="754">
        <v>537</v>
      </c>
      <c r="B544" s="754"/>
      <c r="C544" s="789" t="s">
        <v>993</v>
      </c>
      <c r="D544" s="766"/>
      <c r="E544" s="762"/>
      <c r="F544" s="762"/>
      <c r="G544" s="757"/>
      <c r="H544" s="763"/>
    </row>
    <row r="545" spans="1:11">
      <c r="A545" s="754">
        <v>538</v>
      </c>
      <c r="B545" s="754"/>
      <c r="C545" s="760" t="s">
        <v>3220</v>
      </c>
      <c r="D545" s="766" t="s">
        <v>655</v>
      </c>
      <c r="E545" s="779">
        <f>21312000+8054700</f>
        <v>29366700</v>
      </c>
      <c r="F545" s="762"/>
      <c r="G545" s="757"/>
      <c r="H545" s="763" t="s">
        <v>3221</v>
      </c>
      <c r="K545" s="746">
        <v>4957272.7272727266</v>
      </c>
    </row>
    <row r="546" spans="1:11" ht="120">
      <c r="A546" s="754">
        <v>539</v>
      </c>
      <c r="B546" s="754"/>
      <c r="C546" s="760" t="s">
        <v>3222</v>
      </c>
      <c r="D546" s="766" t="s">
        <v>685</v>
      </c>
      <c r="E546" s="762">
        <v>2000</v>
      </c>
      <c r="F546" s="762"/>
      <c r="G546" s="757"/>
      <c r="H546" s="794" t="s">
        <v>3223</v>
      </c>
      <c r="K546" s="746">
        <v>2000</v>
      </c>
    </row>
    <row r="547" spans="1:11" ht="15">
      <c r="A547" s="754">
        <v>540</v>
      </c>
      <c r="B547" s="754"/>
      <c r="C547" s="760" t="s">
        <v>3224</v>
      </c>
      <c r="D547" s="766" t="s">
        <v>655</v>
      </c>
      <c r="E547" s="762">
        <v>125000</v>
      </c>
      <c r="F547" s="762"/>
      <c r="G547" s="757"/>
      <c r="H547" s="794"/>
    </row>
    <row r="548" spans="1:11" ht="31.5">
      <c r="A548" s="754">
        <v>541</v>
      </c>
      <c r="B548" s="754"/>
      <c r="C548" s="760" t="s">
        <v>3225</v>
      </c>
      <c r="D548" s="766" t="s">
        <v>854</v>
      </c>
      <c r="E548" s="762">
        <v>2000</v>
      </c>
      <c r="F548" s="762"/>
      <c r="G548" s="757"/>
      <c r="H548" s="763" t="s">
        <v>2668</v>
      </c>
      <c r="K548" s="746">
        <v>2000</v>
      </c>
    </row>
    <row r="549" spans="1:11">
      <c r="A549" s="754">
        <v>542</v>
      </c>
      <c r="B549" s="754"/>
      <c r="C549" s="760" t="s">
        <v>3226</v>
      </c>
      <c r="D549" s="766" t="s">
        <v>655</v>
      </c>
      <c r="E549" s="762">
        <v>250000</v>
      </c>
      <c r="F549" s="762"/>
      <c r="G549" s="757"/>
      <c r="H549" s="763"/>
      <c r="K549" s="746">
        <v>250000</v>
      </c>
    </row>
    <row r="550" spans="1:11" ht="75">
      <c r="A550" s="754">
        <v>543</v>
      </c>
      <c r="B550" s="754"/>
      <c r="C550" s="760" t="s">
        <v>3227</v>
      </c>
      <c r="D550" s="766" t="s">
        <v>624</v>
      </c>
      <c r="E550" s="762">
        <v>4270909.0909090908</v>
      </c>
      <c r="F550" s="762"/>
      <c r="G550" s="757"/>
      <c r="H550" s="794" t="s">
        <v>3228</v>
      </c>
      <c r="K550" s="746">
        <v>4270909.0909090908</v>
      </c>
    </row>
    <row r="551" spans="1:11" ht="30">
      <c r="A551" s="754">
        <v>544</v>
      </c>
      <c r="B551" s="754"/>
      <c r="C551" s="760" t="s">
        <v>3229</v>
      </c>
      <c r="D551" s="766" t="s">
        <v>624</v>
      </c>
      <c r="E551" s="762">
        <v>4270909.0909090908</v>
      </c>
      <c r="F551" s="762"/>
      <c r="G551" s="757"/>
      <c r="H551" s="794"/>
    </row>
    <row r="552" spans="1:11" ht="15">
      <c r="A552" s="754">
        <v>545</v>
      </c>
      <c r="B552" s="754"/>
      <c r="C552" s="760" t="s">
        <v>3230</v>
      </c>
      <c r="D552" s="766" t="s">
        <v>624</v>
      </c>
      <c r="E552" s="779">
        <v>2679000</v>
      </c>
      <c r="F552" s="762"/>
      <c r="G552" s="757"/>
      <c r="H552" s="757" t="s">
        <v>3231</v>
      </c>
      <c r="K552" s="746">
        <v>772727.27272727271</v>
      </c>
    </row>
    <row r="553" spans="1:11" ht="15">
      <c r="A553" s="754">
        <v>546</v>
      </c>
      <c r="B553" s="754"/>
      <c r="C553" s="760" t="s">
        <v>3232</v>
      </c>
      <c r="D553" s="766" t="s">
        <v>655</v>
      </c>
      <c r="E553" s="779">
        <v>1347500</v>
      </c>
      <c r="F553" s="762"/>
      <c r="G553" s="757"/>
      <c r="H553" s="762" t="s">
        <v>3233</v>
      </c>
      <c r="K553" s="746">
        <v>175454.54545454544</v>
      </c>
    </row>
    <row r="554" spans="1:11" ht="75">
      <c r="A554" s="754">
        <v>547</v>
      </c>
      <c r="B554" s="754"/>
      <c r="C554" s="760" t="s">
        <v>3234</v>
      </c>
      <c r="D554" s="766" t="s">
        <v>624</v>
      </c>
      <c r="E554" s="762">
        <v>16590909.09090909</v>
      </c>
      <c r="F554" s="762"/>
      <c r="G554" s="757"/>
      <c r="H554" s="794" t="s">
        <v>3235</v>
      </c>
      <c r="K554" s="746">
        <v>16590909.09090909</v>
      </c>
    </row>
    <row r="555" spans="1:11" ht="15">
      <c r="A555" s="754">
        <v>548</v>
      </c>
      <c r="B555" s="754"/>
      <c r="C555" s="760" t="s">
        <v>3236</v>
      </c>
      <c r="D555" s="766" t="s">
        <v>624</v>
      </c>
      <c r="E555" s="762">
        <v>250000</v>
      </c>
      <c r="F555" s="762"/>
      <c r="G555" s="757"/>
      <c r="H555" s="794"/>
    </row>
    <row r="556" spans="1:11" ht="15">
      <c r="A556" s="754">
        <v>549</v>
      </c>
      <c r="B556" s="754"/>
      <c r="C556" s="760" t="s">
        <v>3237</v>
      </c>
      <c r="D556" s="766" t="s">
        <v>624</v>
      </c>
      <c r="E556" s="762">
        <v>650000</v>
      </c>
      <c r="F556" s="762"/>
      <c r="G556" s="757"/>
      <c r="H556" s="794"/>
    </row>
    <row r="557" spans="1:11" ht="90">
      <c r="A557" s="754">
        <v>550</v>
      </c>
      <c r="B557" s="754"/>
      <c r="C557" s="760" t="s">
        <v>3238</v>
      </c>
      <c r="D557" s="766" t="s">
        <v>624</v>
      </c>
      <c r="E557" s="762">
        <v>1250000</v>
      </c>
      <c r="F557" s="762"/>
      <c r="G557" s="757"/>
      <c r="H557" s="794" t="s">
        <v>3239</v>
      </c>
    </row>
    <row r="558" spans="1:11" ht="75">
      <c r="A558" s="754">
        <v>551</v>
      </c>
      <c r="B558" s="754"/>
      <c r="C558" s="760" t="s">
        <v>3240</v>
      </c>
      <c r="D558" s="766" t="s">
        <v>624</v>
      </c>
      <c r="E558" s="762">
        <f>10587000/1.1</f>
        <v>9624545.4545454532</v>
      </c>
      <c r="F558" s="762"/>
      <c r="G558" s="757"/>
      <c r="H558" s="794" t="s">
        <v>3241</v>
      </c>
    </row>
    <row r="559" spans="1:11" ht="75">
      <c r="A559" s="754">
        <v>552</v>
      </c>
      <c r="B559" s="754"/>
      <c r="C559" s="760" t="s">
        <v>3242</v>
      </c>
      <c r="D559" s="766" t="s">
        <v>624</v>
      </c>
      <c r="E559" s="762">
        <v>4209090.9090909092</v>
      </c>
      <c r="F559" s="762"/>
      <c r="G559" s="757"/>
      <c r="H559" s="794" t="s">
        <v>3243</v>
      </c>
      <c r="K559" s="746">
        <v>4209090.9090909092</v>
      </c>
    </row>
    <row r="560" spans="1:11" ht="45">
      <c r="A560" s="754">
        <v>553</v>
      </c>
      <c r="B560" s="754"/>
      <c r="C560" s="760" t="s">
        <v>3244</v>
      </c>
      <c r="D560" s="766" t="s">
        <v>624</v>
      </c>
      <c r="E560" s="762">
        <v>6736363.6363636358</v>
      </c>
      <c r="F560" s="762"/>
      <c r="G560" s="757"/>
      <c r="H560" s="794" t="s">
        <v>3245</v>
      </c>
      <c r="K560" s="746">
        <v>6736363.6363636358</v>
      </c>
    </row>
    <row r="561" spans="1:11" ht="30">
      <c r="A561" s="754">
        <v>554</v>
      </c>
      <c r="B561" s="754"/>
      <c r="C561" s="760" t="s">
        <v>3246</v>
      </c>
      <c r="D561" s="766" t="s">
        <v>624</v>
      </c>
      <c r="E561" s="762">
        <v>14328181.818181816</v>
      </c>
      <c r="F561" s="762"/>
      <c r="G561" s="757"/>
      <c r="H561" s="794" t="s">
        <v>3247</v>
      </c>
      <c r="K561" s="746">
        <v>14328181.818181816</v>
      </c>
    </row>
    <row r="562" spans="1:11" ht="30">
      <c r="A562" s="754">
        <v>555</v>
      </c>
      <c r="B562" s="754"/>
      <c r="C562" s="760" t="s">
        <v>3248</v>
      </c>
      <c r="D562" s="766" t="s">
        <v>624</v>
      </c>
      <c r="E562" s="779">
        <f>2356200+3095400+2288700</f>
        <v>7740300</v>
      </c>
      <c r="F562" s="762"/>
      <c r="G562" s="757"/>
      <c r="H562" s="757" t="s">
        <v>3231</v>
      </c>
      <c r="K562" s="746">
        <v>399090.90909090906</v>
      </c>
    </row>
    <row r="563" spans="1:11" ht="30">
      <c r="A563" s="754">
        <v>556</v>
      </c>
      <c r="B563" s="754"/>
      <c r="C563" s="760" t="s">
        <v>3249</v>
      </c>
      <c r="D563" s="766" t="s">
        <v>624</v>
      </c>
      <c r="E563" s="762">
        <v>4888181.8181818174</v>
      </c>
      <c r="F563" s="762"/>
      <c r="G563" s="757"/>
      <c r="H563" s="794" t="s">
        <v>3250</v>
      </c>
      <c r="K563" s="746">
        <v>4888181.8181818174</v>
      </c>
    </row>
    <row r="564" spans="1:11">
      <c r="A564" s="754">
        <v>557</v>
      </c>
      <c r="B564" s="754"/>
      <c r="C564" s="760" t="s">
        <v>3251</v>
      </c>
      <c r="D564" s="766" t="s">
        <v>655</v>
      </c>
      <c r="E564" s="762">
        <v>25000</v>
      </c>
      <c r="F564" s="762"/>
      <c r="G564" s="757"/>
      <c r="H564" s="763"/>
      <c r="K564" s="746">
        <v>25000</v>
      </c>
    </row>
    <row r="565" spans="1:11" ht="31.5">
      <c r="A565" s="754">
        <v>558</v>
      </c>
      <c r="B565" s="754"/>
      <c r="C565" s="760" t="s">
        <v>3252</v>
      </c>
      <c r="D565" s="766" t="s">
        <v>655</v>
      </c>
      <c r="E565" s="762">
        <v>165</v>
      </c>
      <c r="F565" s="762"/>
      <c r="G565" s="757"/>
      <c r="H565" s="763" t="s">
        <v>2668</v>
      </c>
      <c r="K565" s="746">
        <v>165</v>
      </c>
    </row>
    <row r="566" spans="1:11">
      <c r="A566" s="754">
        <v>559</v>
      </c>
      <c r="B566" s="754"/>
      <c r="C566" s="760" t="s">
        <v>3253</v>
      </c>
      <c r="D566" s="766" t="s">
        <v>624</v>
      </c>
      <c r="E566" s="762">
        <v>350000</v>
      </c>
      <c r="F566" s="762"/>
      <c r="G566" s="757"/>
      <c r="H566" s="763"/>
    </row>
    <row r="567" spans="1:11">
      <c r="A567" s="754">
        <v>560</v>
      </c>
      <c r="B567" s="754"/>
      <c r="C567" s="760" t="s">
        <v>3254</v>
      </c>
      <c r="D567" s="766" t="s">
        <v>624</v>
      </c>
      <c r="E567" s="762">
        <v>158000</v>
      </c>
      <c r="F567" s="762"/>
      <c r="G567" s="757"/>
      <c r="H567" s="763"/>
    </row>
    <row r="568" spans="1:11" ht="30">
      <c r="A568" s="754">
        <v>561</v>
      </c>
      <c r="B568" s="754"/>
      <c r="C568" s="760" t="s">
        <v>3255</v>
      </c>
      <c r="D568" s="766" t="s">
        <v>3256</v>
      </c>
      <c r="E568" s="762">
        <v>179545.45454545453</v>
      </c>
      <c r="F568" s="762"/>
      <c r="G568" s="757"/>
      <c r="H568" s="794" t="s">
        <v>3257</v>
      </c>
      <c r="K568" s="746">
        <v>179545.45454545453</v>
      </c>
    </row>
    <row r="569" spans="1:11">
      <c r="A569" s="754">
        <v>562</v>
      </c>
      <c r="B569" s="754"/>
      <c r="C569" s="760" t="s">
        <v>3258</v>
      </c>
      <c r="D569" s="766" t="s">
        <v>3256</v>
      </c>
      <c r="E569" s="762">
        <v>179545.45454545453</v>
      </c>
      <c r="F569" s="762"/>
      <c r="G569" s="757"/>
      <c r="H569" s="763"/>
      <c r="K569" s="746">
        <v>179545.45454545453</v>
      </c>
    </row>
    <row r="570" spans="1:11">
      <c r="A570" s="754">
        <v>563</v>
      </c>
      <c r="B570" s="754"/>
      <c r="C570" s="760" t="s">
        <v>3259</v>
      </c>
      <c r="D570" s="766" t="s">
        <v>3256</v>
      </c>
      <c r="E570" s="762">
        <v>179545.45454545453</v>
      </c>
      <c r="F570" s="762"/>
      <c r="G570" s="757"/>
      <c r="H570" s="763"/>
      <c r="K570" s="746">
        <v>179545.45454545453</v>
      </c>
    </row>
    <row r="571" spans="1:11">
      <c r="A571" s="754">
        <v>564</v>
      </c>
      <c r="B571" s="754"/>
      <c r="C571" s="760" t="s">
        <v>3260</v>
      </c>
      <c r="D571" s="766" t="s">
        <v>3256</v>
      </c>
      <c r="E571" s="762">
        <v>179545.45454545453</v>
      </c>
      <c r="F571" s="762"/>
      <c r="G571" s="757"/>
      <c r="H571" s="763"/>
      <c r="K571" s="746">
        <v>179545.45454545453</v>
      </c>
    </row>
    <row r="572" spans="1:11">
      <c r="A572" s="754">
        <v>565</v>
      </c>
      <c r="B572" s="754"/>
      <c r="C572" s="760" t="s">
        <v>3261</v>
      </c>
      <c r="D572" s="766" t="s">
        <v>3256</v>
      </c>
      <c r="E572" s="762">
        <v>179545.45454545453</v>
      </c>
      <c r="F572" s="762"/>
      <c r="G572" s="757"/>
      <c r="H572" s="763"/>
      <c r="K572" s="746">
        <v>179545.45454545453</v>
      </c>
    </row>
    <row r="573" spans="1:11">
      <c r="A573" s="754">
        <v>566</v>
      </c>
      <c r="B573" s="754"/>
      <c r="C573" s="760" t="s">
        <v>3262</v>
      </c>
      <c r="D573" s="766" t="s">
        <v>3263</v>
      </c>
      <c r="E573" s="762">
        <v>179545.45454545453</v>
      </c>
      <c r="F573" s="762"/>
      <c r="G573" s="757"/>
      <c r="H573" s="763"/>
      <c r="K573" s="746">
        <v>179545.45454545453</v>
      </c>
    </row>
    <row r="574" spans="1:11">
      <c r="A574" s="754">
        <v>567</v>
      </c>
      <c r="B574" s="754"/>
      <c r="C574" s="760" t="s">
        <v>3261</v>
      </c>
      <c r="D574" s="766" t="s">
        <v>3263</v>
      </c>
      <c r="E574" s="762">
        <v>179545.45454545453</v>
      </c>
      <c r="F574" s="762"/>
      <c r="G574" s="757"/>
      <c r="H574" s="763"/>
    </row>
    <row r="575" spans="1:11" ht="45">
      <c r="A575" s="754">
        <v>568</v>
      </c>
      <c r="B575" s="754"/>
      <c r="C575" s="760" t="s">
        <v>3264</v>
      </c>
      <c r="D575" s="766" t="s">
        <v>624</v>
      </c>
      <c r="E575" s="762">
        <v>1150000</v>
      </c>
      <c r="F575" s="762"/>
      <c r="G575" s="757"/>
      <c r="H575" s="794" t="s">
        <v>3265</v>
      </c>
      <c r="K575" s="746">
        <v>1150000</v>
      </c>
    </row>
    <row r="576" spans="1:11" ht="45">
      <c r="A576" s="754">
        <v>569</v>
      </c>
      <c r="B576" s="754"/>
      <c r="C576" s="760" t="s">
        <v>3266</v>
      </c>
      <c r="D576" s="766" t="s">
        <v>624</v>
      </c>
      <c r="E576" s="762">
        <v>1050000</v>
      </c>
      <c r="F576" s="762"/>
      <c r="G576" s="757"/>
      <c r="H576" s="794" t="s">
        <v>3267</v>
      </c>
      <c r="K576" s="746">
        <v>1050000</v>
      </c>
    </row>
    <row r="577" spans="1:11" ht="31.5">
      <c r="A577" s="754">
        <v>570</v>
      </c>
      <c r="B577" s="754"/>
      <c r="C577" s="760" t="s">
        <v>3268</v>
      </c>
      <c r="D577" s="766" t="s">
        <v>677</v>
      </c>
      <c r="E577" s="762">
        <v>100000</v>
      </c>
      <c r="F577" s="762"/>
      <c r="G577" s="757"/>
      <c r="H577" s="763" t="s">
        <v>2668</v>
      </c>
      <c r="K577" s="746">
        <v>100000</v>
      </c>
    </row>
    <row r="578" spans="1:11" ht="30">
      <c r="A578" s="754">
        <v>571</v>
      </c>
      <c r="B578" s="754"/>
      <c r="C578" s="760" t="s">
        <v>3269</v>
      </c>
      <c r="D578" s="766" t="s">
        <v>685</v>
      </c>
      <c r="E578" s="762">
        <v>40720</v>
      </c>
      <c r="F578" s="762"/>
      <c r="G578" s="757"/>
      <c r="H578" s="763" t="s">
        <v>1896</v>
      </c>
      <c r="K578" s="746">
        <v>40720</v>
      </c>
    </row>
    <row r="579" spans="1:11">
      <c r="A579" s="754">
        <v>572</v>
      </c>
      <c r="B579" s="754"/>
      <c r="C579" s="760" t="s">
        <v>3270</v>
      </c>
      <c r="D579" s="766" t="s">
        <v>685</v>
      </c>
      <c r="E579" s="762">
        <v>6240</v>
      </c>
      <c r="F579" s="762"/>
      <c r="G579" s="757"/>
      <c r="H579" s="763" t="s">
        <v>1896</v>
      </c>
      <c r="K579" s="746">
        <v>6240</v>
      </c>
    </row>
    <row r="580" spans="1:11">
      <c r="A580" s="754">
        <v>573</v>
      </c>
      <c r="B580" s="754"/>
      <c r="C580" s="760" t="s">
        <v>3271</v>
      </c>
      <c r="D580" s="766" t="s">
        <v>685</v>
      </c>
      <c r="E580" s="762">
        <v>37460</v>
      </c>
      <c r="F580" s="762"/>
      <c r="G580" s="757"/>
      <c r="H580" s="763" t="s">
        <v>1896</v>
      </c>
      <c r="K580" s="746">
        <v>37460</v>
      </c>
    </row>
    <row r="581" spans="1:11">
      <c r="A581" s="754">
        <v>574</v>
      </c>
      <c r="B581" s="754"/>
      <c r="C581" s="760" t="s">
        <v>3272</v>
      </c>
      <c r="D581" s="766" t="s">
        <v>685</v>
      </c>
      <c r="E581" s="762">
        <v>57040</v>
      </c>
      <c r="F581" s="762"/>
      <c r="G581" s="757"/>
      <c r="H581" s="763" t="s">
        <v>1896</v>
      </c>
      <c r="K581" s="746">
        <v>57040</v>
      </c>
    </row>
    <row r="582" spans="1:11">
      <c r="A582" s="754">
        <v>575</v>
      </c>
      <c r="B582" s="754"/>
      <c r="C582" s="760" t="s">
        <v>3273</v>
      </c>
      <c r="D582" s="766" t="s">
        <v>685</v>
      </c>
      <c r="E582" s="762">
        <v>37460</v>
      </c>
      <c r="F582" s="762"/>
      <c r="G582" s="757"/>
      <c r="H582" s="763"/>
      <c r="K582" s="746">
        <v>37460</v>
      </c>
    </row>
    <row r="583" spans="1:11">
      <c r="A583" s="754">
        <v>576</v>
      </c>
      <c r="B583" s="754"/>
      <c r="C583" s="760" t="s">
        <v>3274</v>
      </c>
      <c r="D583" s="766" t="s">
        <v>685</v>
      </c>
      <c r="E583" s="762">
        <v>10180</v>
      </c>
      <c r="F583" s="762"/>
      <c r="G583" s="757"/>
      <c r="H583" s="763" t="s">
        <v>1896</v>
      </c>
      <c r="K583" s="746">
        <v>10180</v>
      </c>
    </row>
    <row r="584" spans="1:11">
      <c r="A584" s="754">
        <v>577</v>
      </c>
      <c r="B584" s="754"/>
      <c r="C584" s="760" t="s">
        <v>3275</v>
      </c>
      <c r="D584" s="766" t="s">
        <v>685</v>
      </c>
      <c r="E584" s="762">
        <v>89440</v>
      </c>
      <c r="F584" s="762"/>
      <c r="G584" s="757"/>
      <c r="H584" s="763" t="s">
        <v>1896</v>
      </c>
      <c r="K584" s="746">
        <v>89440</v>
      </c>
    </row>
    <row r="585" spans="1:11">
      <c r="A585" s="754">
        <v>578</v>
      </c>
      <c r="B585" s="754"/>
      <c r="C585" s="760" t="s">
        <v>3276</v>
      </c>
      <c r="D585" s="766" t="s">
        <v>685</v>
      </c>
      <c r="E585" s="762">
        <v>15410</v>
      </c>
      <c r="F585" s="762"/>
      <c r="G585" s="757"/>
      <c r="H585" s="763" t="s">
        <v>1896</v>
      </c>
      <c r="K585" s="746">
        <v>15410</v>
      </c>
    </row>
    <row r="586" spans="1:11">
      <c r="A586" s="754">
        <v>579</v>
      </c>
      <c r="B586" s="754"/>
      <c r="C586" s="760" t="s">
        <v>3277</v>
      </c>
      <c r="D586" s="766" t="s">
        <v>685</v>
      </c>
      <c r="E586" s="762">
        <v>53210</v>
      </c>
      <c r="F586" s="762"/>
      <c r="G586" s="757"/>
      <c r="H586" s="763" t="s">
        <v>1896</v>
      </c>
      <c r="K586" s="746">
        <v>53210</v>
      </c>
    </row>
    <row r="587" spans="1:11">
      <c r="A587" s="754">
        <v>580</v>
      </c>
      <c r="B587" s="754"/>
      <c r="C587" s="760" t="s">
        <v>3278</v>
      </c>
      <c r="D587" s="766" t="s">
        <v>685</v>
      </c>
      <c r="E587" s="762">
        <v>68850</v>
      </c>
      <c r="F587" s="762"/>
      <c r="G587" s="757"/>
      <c r="H587" s="763" t="s">
        <v>1896</v>
      </c>
      <c r="K587" s="746">
        <v>68850</v>
      </c>
    </row>
    <row r="588" spans="1:11">
      <c r="A588" s="754">
        <v>581</v>
      </c>
      <c r="B588" s="754"/>
      <c r="C588" s="760" t="s">
        <v>3279</v>
      </c>
      <c r="D588" s="766" t="s">
        <v>685</v>
      </c>
      <c r="E588" s="762">
        <v>593210</v>
      </c>
      <c r="F588" s="762"/>
      <c r="G588" s="757"/>
      <c r="H588" s="763" t="s">
        <v>1896</v>
      </c>
      <c r="K588" s="746">
        <v>593210</v>
      </c>
    </row>
    <row r="589" spans="1:11">
      <c r="A589" s="754">
        <v>582</v>
      </c>
      <c r="B589" s="754"/>
      <c r="C589" s="760" t="s">
        <v>3280</v>
      </c>
      <c r="D589" s="766" t="s">
        <v>685</v>
      </c>
      <c r="E589" s="762">
        <v>178090</v>
      </c>
      <c r="F589" s="762"/>
      <c r="G589" s="757"/>
      <c r="H589" s="763" t="s">
        <v>1896</v>
      </c>
      <c r="K589" s="746">
        <v>178090</v>
      </c>
    </row>
    <row r="590" spans="1:11">
      <c r="A590" s="754">
        <v>583</v>
      </c>
      <c r="B590" s="754"/>
      <c r="C590" s="760" t="s">
        <v>3281</v>
      </c>
      <c r="D590" s="766" t="s">
        <v>685</v>
      </c>
      <c r="E590" s="762">
        <v>31950</v>
      </c>
      <c r="F590" s="762"/>
      <c r="G590" s="757"/>
      <c r="H590" s="763" t="s">
        <v>1896</v>
      </c>
      <c r="K590" s="746">
        <v>31950</v>
      </c>
    </row>
    <row r="591" spans="1:11">
      <c r="A591" s="754">
        <v>584</v>
      </c>
      <c r="B591" s="754"/>
      <c r="C591" s="760" t="s">
        <v>3282</v>
      </c>
      <c r="D591" s="766" t="s">
        <v>685</v>
      </c>
      <c r="E591" s="762">
        <v>45560</v>
      </c>
      <c r="F591" s="762"/>
      <c r="G591" s="757"/>
      <c r="H591" s="763" t="s">
        <v>1896</v>
      </c>
      <c r="K591" s="746">
        <v>45560</v>
      </c>
    </row>
    <row r="592" spans="1:11" ht="15">
      <c r="A592" s="754">
        <v>585</v>
      </c>
      <c r="B592" s="754"/>
      <c r="C592" s="760" t="s">
        <v>3283</v>
      </c>
      <c r="D592" s="766" t="s">
        <v>685</v>
      </c>
      <c r="E592" s="779">
        <v>61900</v>
      </c>
      <c r="F592" s="762"/>
      <c r="G592" s="757"/>
      <c r="H592" s="762" t="s">
        <v>3284</v>
      </c>
      <c r="K592" s="746">
        <v>45560</v>
      </c>
    </row>
    <row r="593" spans="1:11">
      <c r="A593" s="754">
        <v>586</v>
      </c>
      <c r="B593" s="754"/>
      <c r="C593" s="760" t="s">
        <v>3285</v>
      </c>
      <c r="D593" s="766" t="s">
        <v>685</v>
      </c>
      <c r="E593" s="762">
        <v>42190</v>
      </c>
      <c r="F593" s="762"/>
      <c r="G593" s="757"/>
      <c r="H593" s="763" t="s">
        <v>1896</v>
      </c>
      <c r="K593" s="746">
        <v>42190</v>
      </c>
    </row>
    <row r="594" spans="1:11">
      <c r="A594" s="754">
        <v>587</v>
      </c>
      <c r="B594" s="754"/>
      <c r="C594" s="760" t="s">
        <v>3286</v>
      </c>
      <c r="D594" s="766" t="s">
        <v>685</v>
      </c>
      <c r="E594" s="762">
        <v>172690</v>
      </c>
      <c r="F594" s="762"/>
      <c r="G594" s="757"/>
      <c r="H594" s="763" t="s">
        <v>1896</v>
      </c>
      <c r="K594" s="746">
        <v>172690</v>
      </c>
    </row>
    <row r="595" spans="1:11" ht="15">
      <c r="A595" s="754">
        <v>588</v>
      </c>
      <c r="B595" s="754"/>
      <c r="C595" s="760" t="s">
        <v>3287</v>
      </c>
      <c r="D595" s="766" t="s">
        <v>685</v>
      </c>
      <c r="E595" s="779">
        <v>53210</v>
      </c>
      <c r="F595" s="762"/>
      <c r="G595" s="757"/>
      <c r="H595" s="762" t="s">
        <v>3284</v>
      </c>
      <c r="K595" s="746">
        <v>122690</v>
      </c>
    </row>
    <row r="596" spans="1:11">
      <c r="A596" s="754">
        <v>589</v>
      </c>
      <c r="B596" s="754"/>
      <c r="C596" s="760" t="s">
        <v>3288</v>
      </c>
      <c r="D596" s="766" t="s">
        <v>685</v>
      </c>
      <c r="E596" s="762">
        <v>3592580</v>
      </c>
      <c r="F596" s="762"/>
      <c r="G596" s="757"/>
      <c r="H596" s="763" t="s">
        <v>1896</v>
      </c>
      <c r="K596" s="746">
        <v>3592580</v>
      </c>
    </row>
    <row r="597" spans="1:11">
      <c r="A597" s="754">
        <v>590</v>
      </c>
      <c r="B597" s="754"/>
      <c r="C597" s="760" t="s">
        <v>3289</v>
      </c>
      <c r="D597" s="766" t="s">
        <v>685</v>
      </c>
      <c r="E597" s="762">
        <v>551030</v>
      </c>
      <c r="F597" s="762"/>
      <c r="G597" s="757"/>
      <c r="H597" s="763" t="s">
        <v>1896</v>
      </c>
      <c r="K597" s="746">
        <v>551030</v>
      </c>
    </row>
    <row r="598" spans="1:11">
      <c r="A598" s="754">
        <v>591</v>
      </c>
      <c r="B598" s="754"/>
      <c r="C598" s="760" t="s">
        <v>3290</v>
      </c>
      <c r="D598" s="766" t="s">
        <v>685</v>
      </c>
      <c r="E598" s="762">
        <v>78190</v>
      </c>
      <c r="F598" s="762"/>
      <c r="G598" s="757"/>
      <c r="H598" s="763" t="s">
        <v>1896</v>
      </c>
      <c r="K598" s="746">
        <v>78190</v>
      </c>
    </row>
    <row r="599" spans="1:11" ht="15">
      <c r="A599" s="754">
        <v>592</v>
      </c>
      <c r="B599" s="754"/>
      <c r="C599" s="760" t="s">
        <v>3291</v>
      </c>
      <c r="D599" s="766" t="s">
        <v>685</v>
      </c>
      <c r="E599" s="779">
        <v>109910</v>
      </c>
      <c r="F599" s="762"/>
      <c r="G599" s="757"/>
      <c r="H599" s="762" t="s">
        <v>3284</v>
      </c>
      <c r="K599" s="746">
        <v>88190</v>
      </c>
    </row>
    <row r="600" spans="1:11">
      <c r="A600" s="754">
        <v>593</v>
      </c>
      <c r="B600" s="754"/>
      <c r="C600" s="760" t="s">
        <v>3292</v>
      </c>
      <c r="D600" s="766" t="s">
        <v>685</v>
      </c>
      <c r="E600" s="762">
        <v>727990</v>
      </c>
      <c r="F600" s="762"/>
      <c r="G600" s="757"/>
      <c r="H600" s="763" t="s">
        <v>1896</v>
      </c>
      <c r="K600" s="746">
        <v>727990</v>
      </c>
    </row>
    <row r="601" spans="1:11">
      <c r="A601" s="754">
        <v>594</v>
      </c>
      <c r="B601" s="754"/>
      <c r="C601" s="760" t="s">
        <v>3293</v>
      </c>
      <c r="D601" s="766" t="s">
        <v>685</v>
      </c>
      <c r="E601" s="762">
        <v>240480</v>
      </c>
      <c r="F601" s="762"/>
      <c r="G601" s="757"/>
      <c r="H601" s="763" t="s">
        <v>1896</v>
      </c>
      <c r="K601" s="746">
        <v>240480</v>
      </c>
    </row>
    <row r="602" spans="1:11">
      <c r="A602" s="754">
        <v>595</v>
      </c>
      <c r="B602" s="754"/>
      <c r="C602" s="760" t="s">
        <v>3294</v>
      </c>
      <c r="D602" s="766" t="s">
        <v>685</v>
      </c>
      <c r="E602" s="762">
        <v>140480</v>
      </c>
      <c r="F602" s="762"/>
      <c r="G602" s="757"/>
      <c r="H602" s="763" t="s">
        <v>1896</v>
      </c>
      <c r="K602" s="746">
        <v>140480</v>
      </c>
    </row>
    <row r="603" spans="1:11">
      <c r="A603" s="754">
        <v>596</v>
      </c>
      <c r="B603" s="754"/>
      <c r="C603" s="760" t="s">
        <v>3295</v>
      </c>
      <c r="D603" s="766" t="s">
        <v>685</v>
      </c>
      <c r="E603" s="762">
        <v>240480</v>
      </c>
      <c r="F603" s="762"/>
      <c r="G603" s="757"/>
      <c r="H603" s="763" t="s">
        <v>1896</v>
      </c>
      <c r="K603" s="746">
        <v>240480</v>
      </c>
    </row>
    <row r="604" spans="1:11" ht="30">
      <c r="A604" s="754">
        <v>597</v>
      </c>
      <c r="B604" s="754"/>
      <c r="C604" s="760" t="s">
        <v>3296</v>
      </c>
      <c r="D604" s="766" t="s">
        <v>3297</v>
      </c>
      <c r="E604" s="762">
        <v>154545.45454545453</v>
      </c>
      <c r="F604" s="762"/>
      <c r="G604" s="757"/>
      <c r="H604" s="794" t="s">
        <v>3298</v>
      </c>
      <c r="K604" s="746">
        <v>154545.45454545453</v>
      </c>
    </row>
    <row r="605" spans="1:11" ht="135">
      <c r="A605" s="754">
        <v>598</v>
      </c>
      <c r="B605" s="754"/>
      <c r="C605" s="760" t="s">
        <v>3299</v>
      </c>
      <c r="D605" s="766" t="s">
        <v>3297</v>
      </c>
      <c r="E605" s="762">
        <f>204000/1.1</f>
        <v>185454.54545454544</v>
      </c>
      <c r="F605" s="762"/>
      <c r="G605" s="757"/>
      <c r="H605" s="794" t="s">
        <v>3300</v>
      </c>
    </row>
    <row r="606" spans="1:11">
      <c r="A606" s="754">
        <v>599</v>
      </c>
      <c r="B606" s="754"/>
      <c r="C606" s="760" t="s">
        <v>3301</v>
      </c>
      <c r="D606" s="766" t="s">
        <v>685</v>
      </c>
      <c r="E606" s="762">
        <v>13230</v>
      </c>
      <c r="F606" s="762"/>
      <c r="G606" s="757"/>
      <c r="H606" s="763" t="s">
        <v>1896</v>
      </c>
      <c r="K606" s="746">
        <v>13230</v>
      </c>
    </row>
    <row r="607" spans="1:11">
      <c r="A607" s="754">
        <v>600</v>
      </c>
      <c r="B607" s="754"/>
      <c r="C607" s="760" t="s">
        <v>3302</v>
      </c>
      <c r="D607" s="766" t="s">
        <v>685</v>
      </c>
      <c r="E607" s="762">
        <v>13230</v>
      </c>
      <c r="F607" s="762"/>
      <c r="G607" s="757"/>
      <c r="H607" s="763" t="s">
        <v>1896</v>
      </c>
    </row>
    <row r="608" spans="1:11">
      <c r="A608" s="754">
        <v>601</v>
      </c>
      <c r="B608" s="754"/>
      <c r="C608" s="760" t="s">
        <v>3303</v>
      </c>
      <c r="D608" s="766" t="s">
        <v>685</v>
      </c>
      <c r="E608" s="762">
        <v>12480</v>
      </c>
      <c r="F608" s="762"/>
      <c r="G608" s="757"/>
      <c r="H608" s="763" t="s">
        <v>1896</v>
      </c>
      <c r="K608" s="746">
        <v>12480</v>
      </c>
    </row>
    <row r="609" spans="1:11">
      <c r="A609" s="754">
        <v>602</v>
      </c>
      <c r="B609" s="754"/>
      <c r="C609" s="760" t="s">
        <v>3304</v>
      </c>
      <c r="D609" s="766" t="s">
        <v>685</v>
      </c>
      <c r="E609" s="762">
        <v>20360</v>
      </c>
      <c r="F609" s="762"/>
      <c r="G609" s="757"/>
      <c r="H609" s="763" t="s">
        <v>1896</v>
      </c>
      <c r="K609" s="746">
        <v>20360</v>
      </c>
    </row>
    <row r="610" spans="1:11">
      <c r="A610" s="754">
        <v>603</v>
      </c>
      <c r="B610" s="754"/>
      <c r="C610" s="760" t="s">
        <v>3305</v>
      </c>
      <c r="D610" s="766" t="s">
        <v>685</v>
      </c>
      <c r="E610" s="762">
        <v>30820</v>
      </c>
      <c r="F610" s="762"/>
      <c r="G610" s="757"/>
      <c r="H610" s="763" t="s">
        <v>1896</v>
      </c>
      <c r="K610" s="746">
        <v>30820</v>
      </c>
    </row>
    <row r="611" spans="1:11" ht="30">
      <c r="A611" s="754">
        <v>604</v>
      </c>
      <c r="B611" s="754"/>
      <c r="C611" s="760" t="s">
        <v>3306</v>
      </c>
      <c r="D611" s="766" t="s">
        <v>685</v>
      </c>
      <c r="E611" s="762">
        <v>3181.8181818181815</v>
      </c>
      <c r="F611" s="762"/>
      <c r="G611" s="757"/>
      <c r="H611" s="794" t="s">
        <v>3307</v>
      </c>
      <c r="K611" s="746">
        <v>3181.8181818181815</v>
      </c>
    </row>
    <row r="612" spans="1:11" ht="45">
      <c r="A612" s="754">
        <v>605</v>
      </c>
      <c r="B612" s="754"/>
      <c r="C612" s="760" t="s">
        <v>3308</v>
      </c>
      <c r="D612" s="766" t="s">
        <v>685</v>
      </c>
      <c r="E612" s="762">
        <v>24719.999999999996</v>
      </c>
      <c r="F612" s="762"/>
      <c r="G612" s="757"/>
      <c r="H612" s="802" t="s">
        <v>3309</v>
      </c>
      <c r="K612" s="746">
        <v>24719.999999999996</v>
      </c>
    </row>
    <row r="613" spans="1:11" ht="30">
      <c r="A613" s="754">
        <v>606</v>
      </c>
      <c r="B613" s="754"/>
      <c r="C613" s="760" t="s">
        <v>3310</v>
      </c>
      <c r="D613" s="766" t="s">
        <v>655</v>
      </c>
      <c r="E613" s="762">
        <v>24545.454545454544</v>
      </c>
      <c r="F613" s="762"/>
      <c r="G613" s="757"/>
      <c r="H613" s="802" t="s">
        <v>3311</v>
      </c>
      <c r="K613" s="746">
        <v>24545.454545454544</v>
      </c>
    </row>
    <row r="614" spans="1:11">
      <c r="A614" s="754">
        <v>607</v>
      </c>
      <c r="B614" s="754"/>
      <c r="C614" s="760" t="s">
        <v>3312</v>
      </c>
      <c r="D614" s="766" t="s">
        <v>655</v>
      </c>
      <c r="E614" s="762">
        <v>650000</v>
      </c>
      <c r="F614" s="762"/>
      <c r="G614" s="757"/>
      <c r="H614" s="796"/>
      <c r="K614" s="746">
        <v>650000</v>
      </c>
    </row>
    <row r="615" spans="1:11">
      <c r="A615" s="754">
        <v>608</v>
      </c>
      <c r="B615" s="754"/>
      <c r="C615" s="760" t="s">
        <v>3313</v>
      </c>
      <c r="D615" s="766" t="s">
        <v>655</v>
      </c>
      <c r="E615" s="762">
        <v>250000</v>
      </c>
      <c r="F615" s="762"/>
      <c r="G615" s="757"/>
      <c r="H615" s="763" t="s">
        <v>3047</v>
      </c>
      <c r="K615" s="746">
        <v>250000</v>
      </c>
    </row>
    <row r="616" spans="1:11">
      <c r="A616" s="754">
        <v>609</v>
      </c>
      <c r="B616" s="754"/>
      <c r="C616" s="760" t="s">
        <v>3314</v>
      </c>
      <c r="D616" s="766" t="s">
        <v>655</v>
      </c>
      <c r="E616" s="762">
        <v>250000</v>
      </c>
      <c r="F616" s="762"/>
      <c r="G616" s="757"/>
      <c r="H616" s="763" t="s">
        <v>3047</v>
      </c>
      <c r="K616" s="746">
        <v>250000</v>
      </c>
    </row>
    <row r="617" spans="1:11">
      <c r="A617" s="754">
        <v>610</v>
      </c>
      <c r="B617" s="754"/>
      <c r="C617" s="760" t="s">
        <v>3315</v>
      </c>
      <c r="D617" s="766" t="s">
        <v>655</v>
      </c>
      <c r="E617" s="762">
        <v>55000</v>
      </c>
      <c r="F617" s="762"/>
      <c r="G617" s="757"/>
      <c r="H617" s="763"/>
      <c r="K617" s="746">
        <v>55000</v>
      </c>
    </row>
    <row r="618" spans="1:11" ht="15">
      <c r="A618" s="754">
        <v>611</v>
      </c>
      <c r="B618" s="754"/>
      <c r="C618" s="760" t="s">
        <v>3316</v>
      </c>
      <c r="D618" s="766" t="s">
        <v>655</v>
      </c>
      <c r="E618" s="779">
        <f>202000</f>
        <v>202000</v>
      </c>
      <c r="F618" s="762"/>
      <c r="G618" s="757"/>
      <c r="H618" s="800" t="s">
        <v>3317</v>
      </c>
      <c r="K618" s="746">
        <v>45000</v>
      </c>
    </row>
    <row r="619" spans="1:11" ht="15">
      <c r="A619" s="754">
        <v>612</v>
      </c>
      <c r="B619" s="754"/>
      <c r="C619" s="760" t="s">
        <v>3318</v>
      </c>
      <c r="D619" s="766" t="s">
        <v>655</v>
      </c>
      <c r="E619" s="779">
        <f>202000</f>
        <v>202000</v>
      </c>
      <c r="F619" s="762"/>
      <c r="G619" s="757"/>
      <c r="H619" s="800" t="s">
        <v>3317</v>
      </c>
      <c r="K619" s="746">
        <v>45000</v>
      </c>
    </row>
    <row r="620" spans="1:11">
      <c r="A620" s="754">
        <v>613</v>
      </c>
      <c r="B620" s="754"/>
      <c r="C620" s="760" t="s">
        <v>3319</v>
      </c>
      <c r="D620" s="766" t="s">
        <v>655</v>
      </c>
      <c r="E620" s="762">
        <v>125000</v>
      </c>
      <c r="F620" s="762"/>
      <c r="G620" s="757"/>
      <c r="H620" s="763"/>
      <c r="K620" s="746">
        <v>125000</v>
      </c>
    </row>
    <row r="621" spans="1:11">
      <c r="A621" s="754">
        <v>614</v>
      </c>
      <c r="B621" s="754"/>
      <c r="C621" s="760" t="s">
        <v>3320</v>
      </c>
      <c r="D621" s="766" t="s">
        <v>655</v>
      </c>
      <c r="E621" s="762">
        <v>250000</v>
      </c>
      <c r="F621" s="762"/>
      <c r="G621" s="757"/>
      <c r="H621" s="763"/>
      <c r="K621" s="746">
        <v>250000</v>
      </c>
    </row>
    <row r="622" spans="1:11">
      <c r="A622" s="754">
        <v>615</v>
      </c>
      <c r="B622" s="754"/>
      <c r="C622" s="760" t="s">
        <v>3321</v>
      </c>
      <c r="D622" s="766" t="s">
        <v>655</v>
      </c>
      <c r="E622" s="762">
        <v>95000</v>
      </c>
      <c r="F622" s="762"/>
      <c r="G622" s="757"/>
      <c r="H622" s="763"/>
      <c r="K622" s="746">
        <v>95000</v>
      </c>
    </row>
    <row r="623" spans="1:11">
      <c r="A623" s="754">
        <v>616</v>
      </c>
      <c r="B623" s="754"/>
      <c r="C623" s="760" t="s">
        <v>3322</v>
      </c>
      <c r="D623" s="766" t="s">
        <v>655</v>
      </c>
      <c r="E623" s="762">
        <v>195000</v>
      </c>
      <c r="F623" s="762"/>
      <c r="G623" s="757"/>
      <c r="H623" s="763"/>
      <c r="K623" s="746">
        <v>195000</v>
      </c>
    </row>
    <row r="624" spans="1:11" ht="15">
      <c r="A624" s="754">
        <v>617</v>
      </c>
      <c r="B624" s="754"/>
      <c r="C624" s="760" t="s">
        <v>3323</v>
      </c>
      <c r="D624" s="766" t="s">
        <v>655</v>
      </c>
      <c r="E624" s="779">
        <v>1573000</v>
      </c>
      <c r="F624" s="762"/>
      <c r="G624" s="757"/>
      <c r="H624" s="762" t="s">
        <v>3324</v>
      </c>
      <c r="K624" s="746">
        <v>250000</v>
      </c>
    </row>
    <row r="625" spans="1:11" ht="15">
      <c r="A625" s="754">
        <v>618</v>
      </c>
      <c r="B625" s="754"/>
      <c r="C625" s="760" t="s">
        <v>3325</v>
      </c>
      <c r="D625" s="766" t="s">
        <v>655</v>
      </c>
      <c r="E625" s="779">
        <v>3223000</v>
      </c>
      <c r="F625" s="762"/>
      <c r="G625" s="757"/>
      <c r="H625" s="762" t="s">
        <v>3326</v>
      </c>
      <c r="K625" s="746">
        <v>560000</v>
      </c>
    </row>
    <row r="626" spans="1:11">
      <c r="A626" s="754">
        <v>619</v>
      </c>
      <c r="B626" s="754"/>
      <c r="C626" s="760" t="s">
        <v>3327</v>
      </c>
      <c r="D626" s="766" t="s">
        <v>624</v>
      </c>
      <c r="E626" s="762">
        <v>1200000</v>
      </c>
      <c r="F626" s="762"/>
      <c r="G626" s="757"/>
      <c r="H626" s="763"/>
      <c r="K626" s="746">
        <v>1200000</v>
      </c>
    </row>
    <row r="627" spans="1:11">
      <c r="A627" s="754">
        <v>620</v>
      </c>
      <c r="B627" s="754"/>
      <c r="C627" s="760" t="s">
        <v>3328</v>
      </c>
      <c r="D627" s="766" t="s">
        <v>624</v>
      </c>
      <c r="E627" s="762">
        <v>1200000</v>
      </c>
      <c r="F627" s="762"/>
      <c r="G627" s="757"/>
      <c r="H627" s="763"/>
    </row>
    <row r="628" spans="1:11">
      <c r="A628" s="754">
        <v>621</v>
      </c>
      <c r="B628" s="754"/>
      <c r="C628" s="760" t="s">
        <v>3329</v>
      </c>
      <c r="D628" s="766" t="s">
        <v>3330</v>
      </c>
      <c r="E628" s="762">
        <v>6000000</v>
      </c>
      <c r="F628" s="762"/>
      <c r="G628" s="757"/>
      <c r="H628" s="763"/>
      <c r="K628" s="746">
        <v>6000000</v>
      </c>
    </row>
    <row r="629" spans="1:11">
      <c r="A629" s="754">
        <v>622</v>
      </c>
      <c r="B629" s="754"/>
      <c r="C629" s="760" t="s">
        <v>3331</v>
      </c>
      <c r="D629" s="766" t="s">
        <v>655</v>
      </c>
      <c r="E629" s="762">
        <v>500000</v>
      </c>
      <c r="F629" s="762"/>
      <c r="G629" s="757"/>
      <c r="H629" s="763"/>
      <c r="K629" s="746">
        <v>500000</v>
      </c>
    </row>
    <row r="630" spans="1:11">
      <c r="A630" s="754">
        <v>623</v>
      </c>
      <c r="B630" s="754"/>
      <c r="C630" s="760" t="s">
        <v>3332</v>
      </c>
      <c r="D630" s="766" t="s">
        <v>655</v>
      </c>
      <c r="E630" s="762">
        <v>550000</v>
      </c>
      <c r="F630" s="762"/>
      <c r="G630" s="757"/>
      <c r="H630" s="763"/>
      <c r="K630" s="746">
        <v>550000</v>
      </c>
    </row>
    <row r="631" spans="1:11" ht="15">
      <c r="A631" s="754">
        <v>624</v>
      </c>
      <c r="B631" s="754"/>
      <c r="C631" s="760" t="s">
        <v>3333</v>
      </c>
      <c r="D631" s="766" t="s">
        <v>655</v>
      </c>
      <c r="E631" s="779">
        <v>3496800</v>
      </c>
      <c r="F631" s="762"/>
      <c r="G631" s="757"/>
      <c r="H631" s="757" t="s">
        <v>3231</v>
      </c>
      <c r="K631" s="746">
        <v>250000</v>
      </c>
    </row>
    <row r="632" spans="1:11" ht="30">
      <c r="A632" s="754">
        <v>625</v>
      </c>
      <c r="B632" s="754"/>
      <c r="C632" s="760" t="s">
        <v>3334</v>
      </c>
      <c r="D632" s="766" t="s">
        <v>624</v>
      </c>
      <c r="E632" s="762">
        <v>1881818.1818181816</v>
      </c>
      <c r="F632" s="762"/>
      <c r="G632" s="757"/>
      <c r="H632" s="794" t="s">
        <v>3335</v>
      </c>
    </row>
    <row r="633" spans="1:11">
      <c r="A633" s="754">
        <v>626</v>
      </c>
      <c r="B633" s="754"/>
      <c r="C633" s="760" t="s">
        <v>3336</v>
      </c>
      <c r="D633" s="766" t="s">
        <v>3297</v>
      </c>
      <c r="E633" s="762">
        <v>45000</v>
      </c>
      <c r="F633" s="762"/>
      <c r="G633" s="757"/>
      <c r="H633" s="763"/>
      <c r="K633" s="746">
        <v>45000</v>
      </c>
    </row>
    <row r="634" spans="1:11">
      <c r="A634" s="754">
        <v>627</v>
      </c>
      <c r="B634" s="754"/>
      <c r="C634" s="760" t="s">
        <v>3337</v>
      </c>
      <c r="D634" s="766" t="s">
        <v>655</v>
      </c>
      <c r="E634" s="762">
        <v>2000</v>
      </c>
      <c r="F634" s="762"/>
      <c r="G634" s="757"/>
      <c r="H634" s="763"/>
    </row>
    <row r="635" spans="1:11">
      <c r="A635" s="754">
        <v>628</v>
      </c>
      <c r="B635" s="754"/>
      <c r="C635" s="760" t="s">
        <v>3338</v>
      </c>
      <c r="D635" s="766" t="s">
        <v>3297</v>
      </c>
      <c r="E635" s="762">
        <v>45000</v>
      </c>
      <c r="F635" s="762"/>
      <c r="G635" s="757"/>
      <c r="H635" s="763"/>
      <c r="K635" s="746">
        <v>45000</v>
      </c>
    </row>
    <row r="636" spans="1:11">
      <c r="A636" s="754">
        <v>629</v>
      </c>
      <c r="B636" s="754"/>
      <c r="C636" s="760" t="s">
        <v>3339</v>
      </c>
      <c r="D636" s="766" t="s">
        <v>3340</v>
      </c>
      <c r="E636" s="762">
        <v>45000</v>
      </c>
      <c r="F636" s="762"/>
      <c r="G636" s="757"/>
      <c r="H636" s="763"/>
      <c r="K636" s="746">
        <v>45000</v>
      </c>
    </row>
    <row r="637" spans="1:11">
      <c r="A637" s="754">
        <v>630</v>
      </c>
      <c r="B637" s="754"/>
      <c r="C637" s="760" t="s">
        <v>3341</v>
      </c>
      <c r="D637" s="766" t="s">
        <v>624</v>
      </c>
      <c r="E637" s="803">
        <v>283000</v>
      </c>
      <c r="F637" s="762"/>
      <c r="G637" s="757"/>
      <c r="H637" s="763" t="s">
        <v>3342</v>
      </c>
      <c r="K637" s="746">
        <v>150000</v>
      </c>
    </row>
    <row r="638" spans="1:11">
      <c r="A638" s="754">
        <v>631</v>
      </c>
      <c r="B638" s="754"/>
      <c r="C638" s="760" t="s">
        <v>3343</v>
      </c>
      <c r="D638" s="766" t="s">
        <v>655</v>
      </c>
      <c r="E638" s="762">
        <v>95000</v>
      </c>
      <c r="F638" s="762"/>
      <c r="G638" s="757"/>
      <c r="H638" s="763"/>
      <c r="K638" s="746">
        <v>95000</v>
      </c>
    </row>
    <row r="639" spans="1:11">
      <c r="A639" s="754">
        <v>632</v>
      </c>
      <c r="B639" s="754"/>
      <c r="C639" s="760" t="s">
        <v>3344</v>
      </c>
      <c r="D639" s="766" t="s">
        <v>655</v>
      </c>
      <c r="E639" s="762">
        <v>95000</v>
      </c>
      <c r="F639" s="762"/>
      <c r="G639" s="757"/>
      <c r="H639" s="763"/>
      <c r="K639" s="746">
        <v>95000</v>
      </c>
    </row>
    <row r="640" spans="1:11" ht="105">
      <c r="A640" s="754">
        <v>633</v>
      </c>
      <c r="B640" s="754"/>
      <c r="C640" s="760" t="s">
        <v>3345</v>
      </c>
      <c r="D640" s="766" t="s">
        <v>624</v>
      </c>
      <c r="E640" s="762">
        <v>1081818.1818181816</v>
      </c>
      <c r="F640" s="762"/>
      <c r="G640" s="757"/>
      <c r="H640" s="794" t="s">
        <v>3346</v>
      </c>
      <c r="K640" s="746">
        <v>1081818.1818181816</v>
      </c>
    </row>
    <row r="641" spans="1:12" ht="15">
      <c r="A641" s="754">
        <v>634</v>
      </c>
      <c r="B641" s="754"/>
      <c r="C641" s="760" t="s">
        <v>3347</v>
      </c>
      <c r="D641" s="766" t="s">
        <v>624</v>
      </c>
      <c r="E641" s="762">
        <v>2945000</v>
      </c>
      <c r="F641" s="762"/>
      <c r="G641" s="757"/>
      <c r="H641" s="794" t="s">
        <v>3348</v>
      </c>
      <c r="K641" s="746">
        <v>2945000</v>
      </c>
    </row>
    <row r="642" spans="1:12" ht="105">
      <c r="A642" s="754">
        <v>635</v>
      </c>
      <c r="B642" s="754"/>
      <c r="C642" s="760" t="s">
        <v>3349</v>
      </c>
      <c r="D642" s="766" t="s">
        <v>624</v>
      </c>
      <c r="E642" s="762">
        <v>795454.54545454541</v>
      </c>
      <c r="F642" s="762"/>
      <c r="G642" s="757"/>
      <c r="H642" s="794" t="s">
        <v>3350</v>
      </c>
      <c r="K642" s="746">
        <v>795454.54545454541</v>
      </c>
    </row>
    <row r="643" spans="1:12" ht="30">
      <c r="A643" s="754">
        <v>636</v>
      </c>
      <c r="B643" s="754"/>
      <c r="C643" s="760" t="s">
        <v>3351</v>
      </c>
      <c r="D643" s="766" t="s">
        <v>624</v>
      </c>
      <c r="E643" s="762">
        <v>1019999.9999999999</v>
      </c>
      <c r="F643" s="762"/>
      <c r="G643" s="757"/>
      <c r="H643" s="794" t="s">
        <v>3352</v>
      </c>
      <c r="K643" s="746">
        <v>1019999.9999999999</v>
      </c>
    </row>
    <row r="644" spans="1:12" ht="105">
      <c r="A644" s="754">
        <v>637</v>
      </c>
      <c r="B644" s="754"/>
      <c r="C644" s="760" t="s">
        <v>3353</v>
      </c>
      <c r="D644" s="766" t="s">
        <v>624</v>
      </c>
      <c r="E644" s="762">
        <v>954545.45454545447</v>
      </c>
      <c r="F644" s="762"/>
      <c r="G644" s="757"/>
      <c r="H644" s="794" t="s">
        <v>3354</v>
      </c>
      <c r="K644" s="746">
        <v>954545.45454545447</v>
      </c>
    </row>
    <row r="645" spans="1:12" ht="15">
      <c r="A645" s="754">
        <v>638</v>
      </c>
      <c r="B645" s="754"/>
      <c r="C645" s="760" t="s">
        <v>3355</v>
      </c>
      <c r="D645" s="766" t="s">
        <v>624</v>
      </c>
      <c r="E645" s="762">
        <v>283000</v>
      </c>
      <c r="F645" s="762"/>
      <c r="G645" s="757"/>
      <c r="H645" s="794" t="s">
        <v>3342</v>
      </c>
      <c r="K645" s="746">
        <v>199999.99999999997</v>
      </c>
    </row>
    <row r="646" spans="1:12" ht="15">
      <c r="A646" s="754">
        <v>639</v>
      </c>
      <c r="B646" s="754"/>
      <c r="C646" s="760" t="s">
        <v>3356</v>
      </c>
      <c r="D646" s="766" t="s">
        <v>624</v>
      </c>
      <c r="E646" s="762">
        <v>204500</v>
      </c>
      <c r="F646" s="762"/>
      <c r="G646" s="757"/>
      <c r="H646" s="794" t="s">
        <v>3342</v>
      </c>
      <c r="K646" s="746">
        <v>170909.09090909088</v>
      </c>
    </row>
    <row r="647" spans="1:12" ht="15">
      <c r="A647" s="754">
        <v>640</v>
      </c>
      <c r="B647" s="754"/>
      <c r="C647" s="760" t="s">
        <v>3357</v>
      </c>
      <c r="D647" s="766" t="s">
        <v>624</v>
      </c>
      <c r="E647" s="762">
        <v>283000</v>
      </c>
      <c r="F647" s="762"/>
      <c r="G647" s="757"/>
      <c r="H647" s="794" t="s">
        <v>3342</v>
      </c>
      <c r="K647" s="746">
        <v>170909.09090909088</v>
      </c>
    </row>
    <row r="648" spans="1:12" ht="15">
      <c r="A648" s="754">
        <v>641</v>
      </c>
      <c r="B648" s="754"/>
      <c r="C648" s="760" t="s">
        <v>3358</v>
      </c>
      <c r="D648" s="766" t="s">
        <v>624</v>
      </c>
      <c r="E648" s="762">
        <v>177000</v>
      </c>
      <c r="F648" s="762"/>
      <c r="G648" s="757"/>
      <c r="H648" s="794" t="s">
        <v>3342</v>
      </c>
      <c r="K648" s="746">
        <v>177000</v>
      </c>
    </row>
    <row r="649" spans="1:12" ht="15">
      <c r="A649" s="754">
        <v>642</v>
      </c>
      <c r="B649" s="754"/>
      <c r="C649" s="760" t="s">
        <v>3359</v>
      </c>
      <c r="D649" s="766" t="s">
        <v>624</v>
      </c>
      <c r="E649" s="762">
        <v>1098900</v>
      </c>
      <c r="F649" s="762"/>
      <c r="G649" s="757"/>
      <c r="H649" s="794" t="s">
        <v>3342</v>
      </c>
      <c r="K649" s="746">
        <v>1130000</v>
      </c>
    </row>
    <row r="650" spans="1:12" ht="15">
      <c r="A650" s="754">
        <v>643</v>
      </c>
      <c r="B650" s="754"/>
      <c r="C650" s="760" t="s">
        <v>3360</v>
      </c>
      <c r="D650" s="766" t="s">
        <v>624</v>
      </c>
      <c r="E650" s="762">
        <v>2475000</v>
      </c>
      <c r="F650" s="762"/>
      <c r="G650" s="757"/>
      <c r="H650" s="794" t="s">
        <v>3342</v>
      </c>
      <c r="K650" s="746">
        <v>1493636.3636363635</v>
      </c>
    </row>
    <row r="651" spans="1:12" ht="15">
      <c r="A651" s="754">
        <v>644</v>
      </c>
      <c r="B651" s="754"/>
      <c r="C651" s="760" t="s">
        <v>3361</v>
      </c>
      <c r="D651" s="766" t="s">
        <v>624</v>
      </c>
      <c r="E651" s="762">
        <v>254100</v>
      </c>
      <c r="F651" s="762"/>
      <c r="G651" s="757"/>
      <c r="H651" s="764" t="s">
        <v>3362</v>
      </c>
      <c r="K651" s="746">
        <v>183636.36363636362</v>
      </c>
    </row>
    <row r="652" spans="1:12" ht="15">
      <c r="A652" s="754">
        <v>645</v>
      </c>
      <c r="B652" s="754"/>
      <c r="C652" s="760" t="s">
        <v>3363</v>
      </c>
      <c r="D652" s="766" t="s">
        <v>624</v>
      </c>
      <c r="E652" s="762">
        <v>254100</v>
      </c>
      <c r="F652" s="762"/>
      <c r="G652" s="757"/>
      <c r="H652" s="764" t="s">
        <v>3362</v>
      </c>
      <c r="K652" s="746">
        <v>183636.36363636362</v>
      </c>
    </row>
    <row r="653" spans="1:12">
      <c r="A653" s="754">
        <v>646</v>
      </c>
      <c r="B653" s="754"/>
      <c r="C653" s="760" t="s">
        <v>3364</v>
      </c>
      <c r="D653" s="766" t="s">
        <v>624</v>
      </c>
      <c r="E653" s="762">
        <v>254100</v>
      </c>
      <c r="F653" s="762"/>
      <c r="G653" s="757"/>
      <c r="H653" s="763"/>
      <c r="K653" s="746">
        <v>183636.36363636362</v>
      </c>
    </row>
    <row r="654" spans="1:12" ht="30">
      <c r="A654" s="754">
        <v>647</v>
      </c>
      <c r="B654" s="754"/>
      <c r="C654" s="760" t="s">
        <v>3365</v>
      </c>
      <c r="D654" s="766" t="s">
        <v>624</v>
      </c>
      <c r="E654" s="762">
        <v>5000000</v>
      </c>
      <c r="F654" s="762"/>
      <c r="G654" s="757"/>
      <c r="H654" s="763" t="s">
        <v>3366</v>
      </c>
      <c r="K654" s="746">
        <v>5000000</v>
      </c>
      <c r="L654" s="764" t="s">
        <v>3367</v>
      </c>
    </row>
    <row r="655" spans="1:12">
      <c r="A655" s="754">
        <v>648</v>
      </c>
      <c r="B655" s="754"/>
      <c r="C655" s="760" t="s">
        <v>3368</v>
      </c>
      <c r="D655" s="766" t="s">
        <v>624</v>
      </c>
      <c r="E655" s="762">
        <v>1700000</v>
      </c>
      <c r="F655" s="762"/>
      <c r="G655" s="757"/>
      <c r="H655" s="763" t="s">
        <v>3366</v>
      </c>
      <c r="K655" s="746">
        <v>1700000</v>
      </c>
    </row>
    <row r="656" spans="1:12">
      <c r="A656" s="754">
        <v>649</v>
      </c>
      <c r="B656" s="754"/>
      <c r="C656" s="760" t="s">
        <v>3369</v>
      </c>
      <c r="D656" s="766" t="s">
        <v>624</v>
      </c>
      <c r="E656" s="762">
        <v>1700000</v>
      </c>
      <c r="F656" s="762"/>
      <c r="G656" s="757"/>
      <c r="H656" s="763" t="s">
        <v>3366</v>
      </c>
      <c r="K656" s="746">
        <v>1700000</v>
      </c>
    </row>
    <row r="657" spans="1:11">
      <c r="A657" s="754">
        <v>650</v>
      </c>
      <c r="B657" s="754"/>
      <c r="C657" s="760" t="s">
        <v>3370</v>
      </c>
      <c r="D657" s="766" t="s">
        <v>624</v>
      </c>
      <c r="E657" s="762">
        <v>1350000</v>
      </c>
      <c r="F657" s="762"/>
      <c r="G657" s="757"/>
      <c r="H657" s="763" t="s">
        <v>3366</v>
      </c>
      <c r="K657" s="746">
        <v>1350000</v>
      </c>
    </row>
    <row r="658" spans="1:11" ht="31.5">
      <c r="A658" s="754">
        <v>651</v>
      </c>
      <c r="B658" s="754"/>
      <c r="C658" s="760" t="s">
        <v>2259</v>
      </c>
      <c r="D658" s="766" t="s">
        <v>655</v>
      </c>
      <c r="E658" s="762">
        <v>300</v>
      </c>
      <c r="F658" s="762"/>
      <c r="G658" s="757"/>
      <c r="H658" s="763" t="s">
        <v>2668</v>
      </c>
      <c r="K658" s="746">
        <v>300</v>
      </c>
    </row>
    <row r="659" spans="1:11" ht="31.5">
      <c r="A659" s="754">
        <v>652</v>
      </c>
      <c r="B659" s="754"/>
      <c r="C659" s="760" t="s">
        <v>3371</v>
      </c>
      <c r="D659" s="766" t="s">
        <v>624</v>
      </c>
      <c r="E659" s="762">
        <v>300</v>
      </c>
      <c r="F659" s="762"/>
      <c r="G659" s="757"/>
      <c r="H659" s="763" t="s">
        <v>2668</v>
      </c>
      <c r="K659" s="746">
        <v>300</v>
      </c>
    </row>
    <row r="660" spans="1:11" ht="15">
      <c r="A660" s="754">
        <v>653</v>
      </c>
      <c r="B660" s="754"/>
      <c r="C660" s="760" t="s">
        <v>3372</v>
      </c>
      <c r="D660" s="766" t="s">
        <v>655</v>
      </c>
      <c r="E660" s="779">
        <v>1915500</v>
      </c>
      <c r="F660" s="762"/>
      <c r="G660" s="757"/>
      <c r="H660" s="757" t="s">
        <v>3231</v>
      </c>
      <c r="K660" s="746">
        <v>150000</v>
      </c>
    </row>
    <row r="661" spans="1:11" ht="15">
      <c r="A661" s="754">
        <v>654</v>
      </c>
      <c r="B661" s="754"/>
      <c r="C661" s="760" t="s">
        <v>3373</v>
      </c>
      <c r="D661" s="766" t="s">
        <v>655</v>
      </c>
      <c r="E661" s="779">
        <v>1188000</v>
      </c>
      <c r="F661" s="762"/>
      <c r="G661" s="757"/>
      <c r="H661" s="757" t="s">
        <v>3231</v>
      </c>
      <c r="K661" s="746">
        <v>111818</v>
      </c>
    </row>
    <row r="662" spans="1:11" ht="15">
      <c r="A662" s="754">
        <v>655</v>
      </c>
      <c r="B662" s="754"/>
      <c r="C662" s="760" t="s">
        <v>3374</v>
      </c>
      <c r="D662" s="766" t="s">
        <v>655</v>
      </c>
      <c r="E662" s="779">
        <v>1188000</v>
      </c>
      <c r="F662" s="762"/>
      <c r="G662" s="757"/>
      <c r="H662" s="757" t="s">
        <v>3231</v>
      </c>
      <c r="K662" s="746">
        <v>111818</v>
      </c>
    </row>
    <row r="663" spans="1:11" ht="15">
      <c r="A663" s="754">
        <v>656</v>
      </c>
      <c r="B663" s="754"/>
      <c r="C663" s="760" t="s">
        <v>3375</v>
      </c>
      <c r="D663" s="766" t="s">
        <v>655</v>
      </c>
      <c r="E663" s="779">
        <v>1188000</v>
      </c>
      <c r="F663" s="762"/>
      <c r="G663" s="757"/>
      <c r="H663" s="757" t="s">
        <v>3231</v>
      </c>
      <c r="K663" s="746">
        <v>168000</v>
      </c>
    </row>
    <row r="664" spans="1:11">
      <c r="A664" s="754">
        <v>657</v>
      </c>
      <c r="B664" s="754"/>
      <c r="C664" s="760" t="s">
        <v>3376</v>
      </c>
      <c r="D664" s="766" t="s">
        <v>685</v>
      </c>
      <c r="E664" s="762">
        <v>1479</v>
      </c>
      <c r="F664" s="762"/>
      <c r="G664" s="757"/>
      <c r="H664" s="763"/>
      <c r="K664" s="746">
        <v>1479</v>
      </c>
    </row>
    <row r="665" spans="1:11">
      <c r="A665" s="754">
        <v>658</v>
      </c>
      <c r="B665" s="754"/>
      <c r="C665" s="760" t="s">
        <v>3377</v>
      </c>
      <c r="D665" s="766" t="s">
        <v>655</v>
      </c>
      <c r="E665" s="779">
        <v>300000</v>
      </c>
      <c r="F665" s="762"/>
      <c r="G665" s="757"/>
      <c r="H665" s="763"/>
      <c r="K665" s="746">
        <v>150000</v>
      </c>
    </row>
    <row r="666" spans="1:11">
      <c r="A666" s="754">
        <v>659</v>
      </c>
      <c r="B666" s="754"/>
      <c r="C666" s="760" t="s">
        <v>3378</v>
      </c>
      <c r="D666" s="766" t="s">
        <v>655</v>
      </c>
      <c r="E666" s="762">
        <v>250000</v>
      </c>
      <c r="F666" s="762"/>
      <c r="G666" s="757"/>
      <c r="H666" s="763"/>
      <c r="K666" s="746">
        <v>250000</v>
      </c>
    </row>
    <row r="667" spans="1:11">
      <c r="A667" s="754">
        <v>660</v>
      </c>
      <c r="B667" s="754"/>
      <c r="C667" s="760" t="s">
        <v>3379</v>
      </c>
      <c r="D667" s="766" t="s">
        <v>655</v>
      </c>
      <c r="E667" s="762">
        <v>500000</v>
      </c>
      <c r="F667" s="762"/>
      <c r="G667" s="757"/>
      <c r="H667" s="763"/>
      <c r="K667" s="746">
        <v>500000</v>
      </c>
    </row>
    <row r="668" spans="1:11">
      <c r="A668" s="754">
        <v>661</v>
      </c>
      <c r="B668" s="754"/>
      <c r="C668" s="760" t="s">
        <v>3380</v>
      </c>
      <c r="D668" s="766" t="s">
        <v>655</v>
      </c>
      <c r="E668" s="762">
        <v>500000</v>
      </c>
      <c r="F668" s="762"/>
      <c r="G668" s="757"/>
      <c r="H668" s="763"/>
      <c r="K668" s="746">
        <v>500000</v>
      </c>
    </row>
    <row r="669" spans="1:11">
      <c r="A669" s="754">
        <v>662</v>
      </c>
      <c r="B669" s="754"/>
      <c r="C669" s="760" t="s">
        <v>3381</v>
      </c>
      <c r="D669" s="766" t="s">
        <v>655</v>
      </c>
      <c r="E669" s="762">
        <v>500000</v>
      </c>
      <c r="F669" s="762"/>
      <c r="G669" s="757"/>
      <c r="H669" s="763"/>
      <c r="K669" s="746">
        <v>500000</v>
      </c>
    </row>
    <row r="670" spans="1:11">
      <c r="A670" s="754">
        <v>663</v>
      </c>
      <c r="B670" s="754"/>
      <c r="C670" s="760" t="s">
        <v>3382</v>
      </c>
      <c r="D670" s="766" t="s">
        <v>655</v>
      </c>
      <c r="E670" s="762">
        <v>500000</v>
      </c>
      <c r="F670" s="762"/>
      <c r="G670" s="757"/>
      <c r="H670" s="763"/>
      <c r="K670" s="746">
        <v>500000</v>
      </c>
    </row>
    <row r="671" spans="1:11">
      <c r="A671" s="754">
        <v>664</v>
      </c>
      <c r="B671" s="754"/>
      <c r="C671" s="760" t="s">
        <v>3383</v>
      </c>
      <c r="D671" s="766" t="s">
        <v>655</v>
      </c>
      <c r="E671" s="762">
        <v>500000</v>
      </c>
      <c r="F671" s="762"/>
      <c r="G671" s="757"/>
      <c r="H671" s="763"/>
      <c r="K671" s="746">
        <v>500000</v>
      </c>
    </row>
    <row r="672" spans="1:11" ht="31.5">
      <c r="A672" s="754">
        <v>665</v>
      </c>
      <c r="B672" s="754"/>
      <c r="C672" s="760" t="s">
        <v>3384</v>
      </c>
      <c r="D672" s="766" t="s">
        <v>677</v>
      </c>
      <c r="E672" s="762">
        <v>145000</v>
      </c>
      <c r="F672" s="762"/>
      <c r="G672" s="757"/>
      <c r="H672" s="763" t="s">
        <v>2668</v>
      </c>
      <c r="K672" s="746">
        <v>145000</v>
      </c>
    </row>
    <row r="673" spans="1:12">
      <c r="A673" s="754">
        <v>666</v>
      </c>
      <c r="B673" s="754"/>
      <c r="C673" s="760" t="s">
        <v>3385</v>
      </c>
      <c r="D673" s="766" t="s">
        <v>655</v>
      </c>
      <c r="E673" s="762">
        <v>20000</v>
      </c>
      <c r="F673" s="762"/>
      <c r="G673" s="757"/>
      <c r="H673" s="763"/>
      <c r="K673" s="746">
        <v>20000</v>
      </c>
    </row>
    <row r="674" spans="1:12">
      <c r="A674" s="754">
        <v>667</v>
      </c>
      <c r="B674" s="754"/>
      <c r="C674" s="760" t="s">
        <v>3386</v>
      </c>
      <c r="D674" s="766" t="s">
        <v>655</v>
      </c>
      <c r="E674" s="762">
        <v>20000</v>
      </c>
      <c r="F674" s="762"/>
      <c r="G674" s="757"/>
      <c r="H674" s="763"/>
      <c r="K674" s="746">
        <v>20000</v>
      </c>
    </row>
    <row r="675" spans="1:12">
      <c r="A675" s="754">
        <v>668</v>
      </c>
      <c r="B675" s="754"/>
      <c r="C675" s="760" t="s">
        <v>3387</v>
      </c>
      <c r="D675" s="766" t="s">
        <v>655</v>
      </c>
      <c r="E675" s="762">
        <v>9000</v>
      </c>
      <c r="F675" s="762"/>
      <c r="G675" s="757"/>
      <c r="H675" s="763" t="s">
        <v>1896</v>
      </c>
      <c r="K675" s="746">
        <v>9000</v>
      </c>
    </row>
    <row r="676" spans="1:12" ht="30">
      <c r="A676" s="754">
        <v>669</v>
      </c>
      <c r="B676" s="754"/>
      <c r="C676" s="760" t="s">
        <v>3388</v>
      </c>
      <c r="D676" s="766" t="s">
        <v>655</v>
      </c>
      <c r="E676" s="779">
        <f>180000+935000</f>
        <v>1115000</v>
      </c>
      <c r="F676" s="762"/>
      <c r="G676" s="757"/>
      <c r="H676" s="762" t="s">
        <v>3389</v>
      </c>
      <c r="K676" s="746">
        <v>180000</v>
      </c>
    </row>
    <row r="677" spans="1:12" ht="30">
      <c r="A677" s="754">
        <v>670</v>
      </c>
      <c r="B677" s="754"/>
      <c r="C677" s="760" t="s">
        <v>3390</v>
      </c>
      <c r="D677" s="766" t="s">
        <v>655</v>
      </c>
      <c r="E677" s="762">
        <v>180000</v>
      </c>
      <c r="F677" s="762"/>
      <c r="G677" s="757"/>
      <c r="H677" s="794" t="s">
        <v>3391</v>
      </c>
      <c r="K677" s="746">
        <v>180000</v>
      </c>
    </row>
    <row r="678" spans="1:12" ht="45">
      <c r="A678" s="754">
        <v>671</v>
      </c>
      <c r="B678" s="754"/>
      <c r="C678" s="760" t="s">
        <v>3392</v>
      </c>
      <c r="D678" s="766" t="s">
        <v>655</v>
      </c>
      <c r="E678" s="762">
        <v>499999.99999999994</v>
      </c>
      <c r="F678" s="762"/>
      <c r="G678" s="757"/>
      <c r="H678" s="794" t="s">
        <v>3393</v>
      </c>
      <c r="K678" s="746">
        <v>499999.99999999994</v>
      </c>
    </row>
    <row r="679" spans="1:12">
      <c r="A679" s="754">
        <v>672</v>
      </c>
      <c r="B679" s="754"/>
      <c r="C679" s="760" t="s">
        <v>3394</v>
      </c>
      <c r="D679" s="766" t="s">
        <v>655</v>
      </c>
      <c r="E679" s="762">
        <v>9000</v>
      </c>
      <c r="F679" s="762"/>
      <c r="G679" s="757"/>
      <c r="H679" s="763" t="s">
        <v>1896</v>
      </c>
      <c r="K679" s="746">
        <v>9000</v>
      </c>
    </row>
    <row r="680" spans="1:12">
      <c r="A680" s="754">
        <v>673</v>
      </c>
      <c r="B680" s="754"/>
      <c r="C680" s="760" t="s">
        <v>3395</v>
      </c>
      <c r="D680" s="766" t="s">
        <v>655</v>
      </c>
      <c r="E680" s="762">
        <v>9000</v>
      </c>
      <c r="F680" s="762"/>
      <c r="G680" s="757"/>
      <c r="H680" s="763" t="s">
        <v>1896</v>
      </c>
      <c r="K680" s="746">
        <v>9000</v>
      </c>
    </row>
    <row r="681" spans="1:12">
      <c r="A681" s="754">
        <v>674</v>
      </c>
      <c r="B681" s="754"/>
      <c r="C681" s="760" t="s">
        <v>3396</v>
      </c>
      <c r="D681" s="766" t="s">
        <v>655</v>
      </c>
      <c r="E681" s="762">
        <v>9000</v>
      </c>
      <c r="F681" s="762"/>
      <c r="G681" s="757"/>
      <c r="H681" s="763" t="s">
        <v>1896</v>
      </c>
    </row>
    <row r="682" spans="1:12">
      <c r="A682" s="754">
        <v>675</v>
      </c>
      <c r="B682" s="754"/>
      <c r="C682" s="760" t="s">
        <v>3397</v>
      </c>
      <c r="D682" s="766" t="s">
        <v>655</v>
      </c>
      <c r="E682" s="762">
        <v>9000</v>
      </c>
      <c r="F682" s="762"/>
      <c r="G682" s="757"/>
      <c r="H682" s="763" t="s">
        <v>1896</v>
      </c>
      <c r="K682" s="746">
        <v>9000</v>
      </c>
    </row>
    <row r="683" spans="1:12" ht="30">
      <c r="A683" s="754">
        <v>676</v>
      </c>
      <c r="B683" s="754"/>
      <c r="C683" s="760" t="s">
        <v>3398</v>
      </c>
      <c r="D683" s="766" t="s">
        <v>624</v>
      </c>
      <c r="E683" s="779">
        <v>300000</v>
      </c>
      <c r="F683" s="762"/>
      <c r="G683" s="757"/>
      <c r="H683" s="763" t="s">
        <v>198</v>
      </c>
      <c r="K683" s="746">
        <v>150000</v>
      </c>
    </row>
    <row r="684" spans="1:12" ht="30">
      <c r="A684" s="754">
        <v>677</v>
      </c>
      <c r="B684" s="754"/>
      <c r="C684" s="760" t="s">
        <v>3399</v>
      </c>
      <c r="D684" s="766" t="s">
        <v>655</v>
      </c>
      <c r="E684" s="762">
        <v>369090.90909090906</v>
      </c>
      <c r="F684" s="762"/>
      <c r="G684" s="757"/>
      <c r="H684" s="794" t="s">
        <v>3400</v>
      </c>
      <c r="K684" s="746">
        <v>369090.90909090906</v>
      </c>
    </row>
    <row r="685" spans="1:12" ht="30">
      <c r="A685" s="754">
        <v>678</v>
      </c>
      <c r="B685" s="754"/>
      <c r="C685" s="760" t="s">
        <v>3401</v>
      </c>
      <c r="D685" s="766" t="s">
        <v>655</v>
      </c>
      <c r="E685" s="762">
        <v>1469090.9090909089</v>
      </c>
      <c r="F685" s="762"/>
      <c r="G685" s="757"/>
      <c r="H685" s="794" t="s">
        <v>3402</v>
      </c>
      <c r="K685" s="746">
        <v>1469090.9090909089</v>
      </c>
    </row>
    <row r="686" spans="1:12" ht="30">
      <c r="A686" s="754">
        <v>679</v>
      </c>
      <c r="B686" s="754"/>
      <c r="C686" s="760" t="s">
        <v>3403</v>
      </c>
      <c r="D686" s="766" t="s">
        <v>655</v>
      </c>
      <c r="E686" s="762">
        <v>1187272.7272727271</v>
      </c>
      <c r="F686" s="762"/>
      <c r="G686" s="757"/>
      <c r="H686" s="794" t="s">
        <v>3404</v>
      </c>
      <c r="K686" s="746">
        <v>1187272.7272727271</v>
      </c>
    </row>
    <row r="687" spans="1:12" ht="35.25" customHeight="1">
      <c r="A687" s="754">
        <v>680</v>
      </c>
      <c r="B687" s="754"/>
      <c r="C687" s="760" t="s">
        <v>3405</v>
      </c>
      <c r="D687" s="766" t="s">
        <v>624</v>
      </c>
      <c r="E687" s="762">
        <v>2718181.8181818179</v>
      </c>
      <c r="F687" s="762"/>
      <c r="G687" s="757"/>
      <c r="H687" s="794" t="s">
        <v>3406</v>
      </c>
      <c r="J687" s="745" t="s">
        <v>3407</v>
      </c>
      <c r="K687" s="746">
        <v>2718181.8181818179</v>
      </c>
      <c r="L687" s="745" t="s">
        <v>3408</v>
      </c>
    </row>
    <row r="688" spans="1:12">
      <c r="A688" s="754">
        <v>681</v>
      </c>
      <c r="B688" s="754"/>
      <c r="C688" s="760" t="s">
        <v>3409</v>
      </c>
      <c r="D688" s="766" t="s">
        <v>655</v>
      </c>
      <c r="E688" s="762">
        <v>187000</v>
      </c>
      <c r="F688" s="762"/>
      <c r="G688" s="757"/>
      <c r="H688" s="763" t="s">
        <v>1872</v>
      </c>
      <c r="J688" s="762">
        <v>91000</v>
      </c>
      <c r="K688" s="746">
        <v>170000</v>
      </c>
      <c r="L688" s="762">
        <v>111000</v>
      </c>
    </row>
    <row r="689" spans="1:12">
      <c r="A689" s="754">
        <v>682</v>
      </c>
      <c r="B689" s="754"/>
      <c r="C689" s="760" t="s">
        <v>3410</v>
      </c>
      <c r="D689" s="766" t="s">
        <v>655</v>
      </c>
      <c r="E689" s="762">
        <v>407000</v>
      </c>
      <c r="F689" s="762"/>
      <c r="G689" s="757"/>
      <c r="H689" s="763" t="s">
        <v>1872</v>
      </c>
      <c r="J689" s="762">
        <v>128000</v>
      </c>
      <c r="K689" s="746">
        <v>560000</v>
      </c>
      <c r="L689" s="762">
        <v>109000</v>
      </c>
    </row>
    <row r="690" spans="1:12">
      <c r="A690" s="754">
        <v>683</v>
      </c>
      <c r="B690" s="754"/>
      <c r="C690" s="804" t="s">
        <v>3411</v>
      </c>
      <c r="D690" s="766" t="s">
        <v>655</v>
      </c>
      <c r="E690" s="762">
        <v>187000</v>
      </c>
      <c r="F690" s="757"/>
      <c r="G690" s="757"/>
      <c r="H690" s="763" t="s">
        <v>1872</v>
      </c>
      <c r="J690" s="762">
        <v>91000</v>
      </c>
      <c r="K690" s="746">
        <v>170000</v>
      </c>
      <c r="L690" s="762">
        <v>111000</v>
      </c>
    </row>
    <row r="691" spans="1:12">
      <c r="A691" s="754">
        <v>684</v>
      </c>
      <c r="B691" s="754"/>
      <c r="C691" s="804" t="s">
        <v>3412</v>
      </c>
      <c r="D691" s="766" t="s">
        <v>655</v>
      </c>
      <c r="E691" s="762">
        <v>407000</v>
      </c>
      <c r="F691" s="757"/>
      <c r="G691" s="757"/>
      <c r="H691" s="763" t="s">
        <v>1872</v>
      </c>
      <c r="J691" s="762">
        <v>128000</v>
      </c>
      <c r="K691" s="746">
        <v>560000</v>
      </c>
      <c r="L691" s="762">
        <v>109000</v>
      </c>
    </row>
    <row r="692" spans="1:12">
      <c r="A692" s="754">
        <v>685</v>
      </c>
      <c r="B692" s="754"/>
      <c r="C692" s="804" t="s">
        <v>3413</v>
      </c>
      <c r="D692" s="766" t="s">
        <v>655</v>
      </c>
      <c r="E692" s="762">
        <v>187000</v>
      </c>
      <c r="F692" s="757"/>
      <c r="G692" s="757"/>
      <c r="H692" s="763" t="s">
        <v>1872</v>
      </c>
      <c r="J692" s="762">
        <v>91000</v>
      </c>
      <c r="K692" s="746">
        <v>170000</v>
      </c>
      <c r="L692" s="762">
        <v>156000</v>
      </c>
    </row>
    <row r="693" spans="1:12">
      <c r="A693" s="754">
        <v>686</v>
      </c>
      <c r="B693" s="754"/>
      <c r="C693" s="804" t="s">
        <v>3414</v>
      </c>
      <c r="D693" s="766" t="s">
        <v>655</v>
      </c>
      <c r="E693" s="762">
        <v>407000</v>
      </c>
      <c r="F693" s="757"/>
      <c r="G693" s="757"/>
      <c r="H693" s="763" t="s">
        <v>1872</v>
      </c>
      <c r="J693" s="762">
        <v>128000</v>
      </c>
      <c r="K693" s="746">
        <v>560000</v>
      </c>
      <c r="L693" s="762">
        <v>180000</v>
      </c>
    </row>
    <row r="694" spans="1:12">
      <c r="A694" s="754">
        <v>687</v>
      </c>
      <c r="B694" s="754"/>
      <c r="C694" s="804" t="s">
        <v>3415</v>
      </c>
      <c r="D694" s="766" t="s">
        <v>655</v>
      </c>
      <c r="E694" s="762">
        <v>528000</v>
      </c>
      <c r="F694" s="757"/>
      <c r="G694" s="757"/>
      <c r="H694" s="763" t="s">
        <v>1872</v>
      </c>
      <c r="J694" s="762">
        <v>199000</v>
      </c>
      <c r="K694" s="746">
        <v>479999.99999999994</v>
      </c>
      <c r="L694" s="762">
        <v>267000</v>
      </c>
    </row>
    <row r="695" spans="1:12">
      <c r="A695" s="754">
        <v>688</v>
      </c>
      <c r="B695" s="754"/>
      <c r="C695" s="804" t="s">
        <v>3416</v>
      </c>
      <c r="D695" s="766" t="s">
        <v>655</v>
      </c>
      <c r="E695" s="762">
        <v>528000</v>
      </c>
      <c r="F695" s="757"/>
      <c r="G695" s="757"/>
      <c r="H695" s="763" t="s">
        <v>1872</v>
      </c>
      <c r="J695" s="762">
        <v>199000</v>
      </c>
      <c r="K695" s="746">
        <v>479999.99999999994</v>
      </c>
      <c r="L695" s="762">
        <v>267000</v>
      </c>
    </row>
    <row r="696" spans="1:12">
      <c r="A696" s="754">
        <v>689</v>
      </c>
      <c r="B696" s="754"/>
      <c r="C696" s="804" t="s">
        <v>3417</v>
      </c>
      <c r="D696" s="766" t="s">
        <v>655</v>
      </c>
      <c r="E696" s="762">
        <v>528000</v>
      </c>
      <c r="F696" s="757"/>
      <c r="G696" s="757"/>
      <c r="H696" s="763" t="s">
        <v>1872</v>
      </c>
      <c r="J696" s="762">
        <v>199000</v>
      </c>
      <c r="K696" s="746">
        <v>479999.99999999994</v>
      </c>
      <c r="L696" s="762">
        <v>302000</v>
      </c>
    </row>
    <row r="697" spans="1:12">
      <c r="A697" s="754">
        <v>690</v>
      </c>
      <c r="B697" s="754"/>
      <c r="C697" s="804" t="s">
        <v>3418</v>
      </c>
      <c r="D697" s="766" t="s">
        <v>655</v>
      </c>
      <c r="E697" s="762">
        <v>528000</v>
      </c>
      <c r="F697" s="757"/>
      <c r="G697" s="757"/>
      <c r="H697" s="763" t="s">
        <v>1872</v>
      </c>
      <c r="J697" s="762">
        <v>199000</v>
      </c>
      <c r="K697" s="746">
        <v>479999.99999999994</v>
      </c>
      <c r="L697" s="762">
        <v>302000</v>
      </c>
    </row>
    <row r="698" spans="1:12">
      <c r="A698" s="754">
        <v>691</v>
      </c>
      <c r="B698" s="754"/>
      <c r="C698" s="804" t="s">
        <v>3419</v>
      </c>
      <c r="D698" s="766" t="s">
        <v>655</v>
      </c>
      <c r="E698" s="762">
        <v>528000</v>
      </c>
      <c r="F698" s="757"/>
      <c r="G698" s="757"/>
      <c r="H698" s="763" t="s">
        <v>1872</v>
      </c>
      <c r="J698" s="762">
        <v>277000</v>
      </c>
      <c r="K698" s="746">
        <v>479999.99999999994</v>
      </c>
      <c r="L698" s="762">
        <v>426000</v>
      </c>
    </row>
    <row r="699" spans="1:12">
      <c r="A699" s="754">
        <v>692</v>
      </c>
      <c r="B699" s="754"/>
      <c r="C699" s="804" t="s">
        <v>3420</v>
      </c>
      <c r="D699" s="766" t="s">
        <v>655</v>
      </c>
      <c r="E699" s="762">
        <v>935000</v>
      </c>
      <c r="F699" s="757"/>
      <c r="G699" s="757"/>
      <c r="H699" s="763" t="s">
        <v>1872</v>
      </c>
      <c r="J699" s="762">
        <v>444000</v>
      </c>
      <c r="K699" s="746">
        <v>779999.99999999988</v>
      </c>
      <c r="L699" s="762">
        <v>359000</v>
      </c>
    </row>
    <row r="700" spans="1:12">
      <c r="A700" s="754">
        <v>693</v>
      </c>
      <c r="B700" s="754"/>
      <c r="C700" s="804" t="s">
        <v>3421</v>
      </c>
      <c r="D700" s="766" t="s">
        <v>655</v>
      </c>
      <c r="E700" s="762">
        <v>935000</v>
      </c>
      <c r="F700" s="757"/>
      <c r="G700" s="757"/>
      <c r="H700" s="763" t="s">
        <v>1872</v>
      </c>
      <c r="J700" s="762">
        <v>316000</v>
      </c>
      <c r="K700" s="746">
        <v>779999.99999999988</v>
      </c>
      <c r="L700" s="762">
        <v>359000</v>
      </c>
    </row>
    <row r="701" spans="1:12">
      <c r="A701" s="754">
        <v>694</v>
      </c>
      <c r="B701" s="754"/>
      <c r="C701" s="804" t="s">
        <v>3422</v>
      </c>
      <c r="D701" s="766" t="s">
        <v>655</v>
      </c>
      <c r="E701" s="762">
        <v>2420000</v>
      </c>
      <c r="F701" s="757"/>
      <c r="G701" s="757"/>
      <c r="H701" s="763" t="s">
        <v>1872</v>
      </c>
      <c r="J701" s="762">
        <v>444000</v>
      </c>
      <c r="K701" s="746">
        <v>2200000</v>
      </c>
      <c r="L701" s="762">
        <v>379000</v>
      </c>
    </row>
    <row r="702" spans="1:12">
      <c r="A702" s="754">
        <v>695</v>
      </c>
      <c r="B702" s="754"/>
      <c r="C702" s="804" t="s">
        <v>3423</v>
      </c>
      <c r="D702" s="766" t="s">
        <v>655</v>
      </c>
      <c r="E702" s="762">
        <v>2321000</v>
      </c>
      <c r="F702" s="757"/>
      <c r="G702" s="757"/>
      <c r="H702" s="763" t="s">
        <v>1872</v>
      </c>
      <c r="J702" s="762">
        <v>444000</v>
      </c>
      <c r="K702" s="746">
        <v>2200000</v>
      </c>
      <c r="L702" s="762">
        <v>379000</v>
      </c>
    </row>
    <row r="703" spans="1:12">
      <c r="A703" s="754">
        <v>696</v>
      </c>
      <c r="B703" s="754"/>
      <c r="C703" s="804" t="s">
        <v>3424</v>
      </c>
      <c r="D703" s="766" t="s">
        <v>655</v>
      </c>
      <c r="E703" s="762">
        <v>935000</v>
      </c>
      <c r="F703" s="757"/>
      <c r="G703" s="757"/>
      <c r="H703" s="763" t="s">
        <v>1872</v>
      </c>
      <c r="J703" s="762">
        <v>316000</v>
      </c>
      <c r="K703" s="746">
        <v>779999.99999999988</v>
      </c>
      <c r="L703" s="762">
        <v>359000</v>
      </c>
    </row>
    <row r="704" spans="1:12">
      <c r="A704" s="754">
        <v>697</v>
      </c>
      <c r="B704" s="754"/>
      <c r="C704" s="804" t="s">
        <v>3425</v>
      </c>
      <c r="D704" s="766" t="s">
        <v>655</v>
      </c>
      <c r="E704" s="762">
        <v>935000</v>
      </c>
      <c r="F704" s="757"/>
      <c r="G704" s="757"/>
      <c r="H704" s="763" t="s">
        <v>1872</v>
      </c>
      <c r="J704" s="762">
        <v>444000</v>
      </c>
      <c r="K704" s="746">
        <v>779999.99999999988</v>
      </c>
      <c r="L704" s="762">
        <v>359000</v>
      </c>
    </row>
    <row r="705" spans="1:12">
      <c r="A705" s="754">
        <v>698</v>
      </c>
      <c r="B705" s="754"/>
      <c r="C705" s="804" t="s">
        <v>3426</v>
      </c>
      <c r="D705" s="766" t="s">
        <v>655</v>
      </c>
      <c r="E705" s="762">
        <v>2755500</v>
      </c>
      <c r="F705" s="757"/>
      <c r="G705" s="757"/>
      <c r="H705" s="763" t="s">
        <v>1872</v>
      </c>
      <c r="J705" s="762">
        <v>541000</v>
      </c>
      <c r="K705" s="746">
        <v>2505000</v>
      </c>
      <c r="L705" s="762">
        <v>494000</v>
      </c>
    </row>
    <row r="706" spans="1:12">
      <c r="A706" s="754">
        <v>699</v>
      </c>
      <c r="B706" s="754"/>
      <c r="C706" s="804" t="s">
        <v>3427</v>
      </c>
      <c r="D706" s="766" t="s">
        <v>655</v>
      </c>
      <c r="E706" s="762">
        <v>2585000</v>
      </c>
      <c r="F706" s="757"/>
      <c r="G706" s="757"/>
      <c r="H706" s="763" t="s">
        <v>1872</v>
      </c>
      <c r="J706" s="762">
        <v>541000</v>
      </c>
      <c r="K706" s="746">
        <v>2505000</v>
      </c>
      <c r="L706" s="762">
        <v>494000</v>
      </c>
    </row>
    <row r="707" spans="1:12">
      <c r="A707" s="754">
        <v>700</v>
      </c>
      <c r="B707" s="754"/>
      <c r="C707" s="804" t="s">
        <v>3428</v>
      </c>
      <c r="D707" s="766" t="s">
        <v>655</v>
      </c>
      <c r="E707" s="762">
        <v>3723000</v>
      </c>
      <c r="F707" s="757"/>
      <c r="G707" s="757"/>
      <c r="H707" s="763" t="s">
        <v>1872</v>
      </c>
      <c r="J707" s="762">
        <v>541000</v>
      </c>
      <c r="K707" s="746">
        <v>3384999.9999999995</v>
      </c>
      <c r="L707" s="762">
        <v>494000</v>
      </c>
    </row>
    <row r="708" spans="1:12">
      <c r="A708" s="754">
        <v>701</v>
      </c>
      <c r="B708" s="754"/>
      <c r="C708" s="804" t="s">
        <v>3429</v>
      </c>
      <c r="D708" s="766" t="s">
        <v>655</v>
      </c>
      <c r="E708" s="762">
        <v>3723000</v>
      </c>
      <c r="F708" s="757"/>
      <c r="G708" s="757"/>
      <c r="H708" s="763" t="s">
        <v>1872</v>
      </c>
      <c r="J708" s="762">
        <v>541000</v>
      </c>
      <c r="K708" s="746">
        <v>3384999.9999999995</v>
      </c>
      <c r="L708" s="762">
        <v>494000</v>
      </c>
    </row>
    <row r="709" spans="1:12">
      <c r="A709" s="754">
        <v>702</v>
      </c>
      <c r="B709" s="754"/>
      <c r="C709" s="804" t="s">
        <v>3430</v>
      </c>
      <c r="D709" s="766" t="s">
        <v>655</v>
      </c>
      <c r="E709" s="762">
        <v>2172500</v>
      </c>
      <c r="F709" s="757"/>
      <c r="G709" s="757"/>
      <c r="H709" s="763" t="s">
        <v>1872</v>
      </c>
      <c r="J709" s="762">
        <v>1170000</v>
      </c>
      <c r="K709" s="746">
        <v>3384999.9999999995</v>
      </c>
      <c r="L709" s="762">
        <v>1617000</v>
      </c>
    </row>
    <row r="710" spans="1:12">
      <c r="A710" s="754">
        <v>703</v>
      </c>
      <c r="B710" s="754"/>
      <c r="C710" s="804" t="s">
        <v>3431</v>
      </c>
      <c r="D710" s="766" t="s">
        <v>655</v>
      </c>
      <c r="E710" s="762">
        <v>2821500</v>
      </c>
      <c r="F710" s="757"/>
      <c r="G710" s="757"/>
      <c r="H710" s="763" t="s">
        <v>1872</v>
      </c>
      <c r="J710" s="762">
        <v>1170000</v>
      </c>
      <c r="K710" s="746">
        <v>4485000</v>
      </c>
      <c r="L710" s="762">
        <v>2206000</v>
      </c>
    </row>
    <row r="711" spans="1:12">
      <c r="A711" s="754">
        <v>704</v>
      </c>
      <c r="B711" s="754"/>
      <c r="C711" s="804" t="s">
        <v>3432</v>
      </c>
      <c r="D711" s="766" t="s">
        <v>655</v>
      </c>
      <c r="E711" s="762">
        <v>4675000</v>
      </c>
      <c r="F711" s="757"/>
      <c r="G711" s="757"/>
      <c r="H711" s="763" t="s">
        <v>1872</v>
      </c>
      <c r="J711" s="762">
        <v>2220000</v>
      </c>
      <c r="K711" s="746">
        <v>4485000</v>
      </c>
      <c r="L711" s="762">
        <v>2206000</v>
      </c>
    </row>
    <row r="712" spans="1:12">
      <c r="A712" s="754">
        <v>705</v>
      </c>
      <c r="B712" s="754"/>
      <c r="C712" s="804" t="s">
        <v>3433</v>
      </c>
      <c r="D712" s="766" t="s">
        <v>655</v>
      </c>
      <c r="E712" s="762">
        <v>5709000</v>
      </c>
      <c r="F712" s="757"/>
      <c r="G712" s="757"/>
      <c r="H712" s="763" t="s">
        <v>1872</v>
      </c>
      <c r="J712" s="762">
        <v>2220000</v>
      </c>
      <c r="K712" s="746">
        <v>4485000</v>
      </c>
      <c r="L712" s="762">
        <v>3823000</v>
      </c>
    </row>
    <row r="713" spans="1:12">
      <c r="A713" s="754">
        <v>706</v>
      </c>
      <c r="B713" s="754"/>
      <c r="C713" s="804" t="s">
        <v>3434</v>
      </c>
      <c r="D713" s="766" t="s">
        <v>655</v>
      </c>
      <c r="E713" s="762">
        <v>6246500</v>
      </c>
      <c r="F713" s="757"/>
      <c r="G713" s="757"/>
      <c r="H713" s="763" t="s">
        <v>1872</v>
      </c>
      <c r="J713" s="762">
        <v>2220000</v>
      </c>
      <c r="K713" s="746">
        <v>4485000</v>
      </c>
      <c r="L713" s="762">
        <v>3823000</v>
      </c>
    </row>
    <row r="714" spans="1:12">
      <c r="A714" s="754">
        <v>707</v>
      </c>
      <c r="B714" s="754"/>
      <c r="C714" s="804" t="s">
        <v>3435</v>
      </c>
      <c r="D714" s="766" t="s">
        <v>655</v>
      </c>
      <c r="E714" s="762">
        <v>7397500</v>
      </c>
      <c r="F714" s="757"/>
      <c r="G714" s="757"/>
      <c r="H714" s="763" t="s">
        <v>1872</v>
      </c>
      <c r="J714" s="762">
        <v>2220000</v>
      </c>
      <c r="K714" s="746">
        <v>4485000</v>
      </c>
      <c r="L714" s="762">
        <v>4096000</v>
      </c>
    </row>
    <row r="715" spans="1:12">
      <c r="A715" s="754">
        <v>708</v>
      </c>
      <c r="B715" s="754"/>
      <c r="C715" s="804" t="s">
        <v>3436</v>
      </c>
      <c r="D715" s="766" t="s">
        <v>655</v>
      </c>
      <c r="E715" s="762">
        <v>9801000</v>
      </c>
      <c r="F715" s="757"/>
      <c r="G715" s="757"/>
      <c r="H715" s="763" t="s">
        <v>1872</v>
      </c>
      <c r="J715" s="762">
        <v>5920000</v>
      </c>
      <c r="K715" s="746">
        <v>4485000</v>
      </c>
      <c r="L715" s="762">
        <v>9271000</v>
      </c>
    </row>
    <row r="716" spans="1:12">
      <c r="A716" s="754">
        <v>709</v>
      </c>
      <c r="B716" s="754"/>
      <c r="C716" s="804" t="s">
        <v>3437</v>
      </c>
      <c r="D716" s="766" t="s">
        <v>655</v>
      </c>
      <c r="E716" s="762">
        <v>9801000</v>
      </c>
      <c r="F716" s="757"/>
      <c r="G716" s="757"/>
      <c r="H716" s="763" t="s">
        <v>1872</v>
      </c>
      <c r="J716" s="762">
        <v>5920000</v>
      </c>
      <c r="K716" s="746">
        <v>4485000</v>
      </c>
      <c r="L716" s="762">
        <v>9271000</v>
      </c>
    </row>
    <row r="717" spans="1:12" ht="75">
      <c r="A717" s="754">
        <v>710</v>
      </c>
      <c r="B717" s="754"/>
      <c r="C717" s="804" t="s">
        <v>3438</v>
      </c>
      <c r="D717" s="766" t="s">
        <v>655</v>
      </c>
      <c r="E717" s="757">
        <v>660000</v>
      </c>
      <c r="F717" s="757"/>
      <c r="G717" s="757"/>
      <c r="H717" s="794" t="s">
        <v>3439</v>
      </c>
      <c r="K717" s="746">
        <v>660000</v>
      </c>
    </row>
    <row r="718" spans="1:12" ht="75">
      <c r="A718" s="754">
        <v>711</v>
      </c>
      <c r="B718" s="754"/>
      <c r="C718" s="804" t="s">
        <v>3440</v>
      </c>
      <c r="D718" s="766" t="s">
        <v>655</v>
      </c>
      <c r="E718" s="757">
        <v>590000</v>
      </c>
      <c r="F718" s="757"/>
      <c r="G718" s="757"/>
      <c r="H718" s="794" t="s">
        <v>3441</v>
      </c>
      <c r="K718" s="746">
        <v>590000</v>
      </c>
    </row>
    <row r="719" spans="1:12" ht="90">
      <c r="A719" s="754">
        <v>712</v>
      </c>
      <c r="B719" s="754"/>
      <c r="C719" s="804" t="s">
        <v>3442</v>
      </c>
      <c r="D719" s="766" t="s">
        <v>624</v>
      </c>
      <c r="E719" s="757">
        <v>15963636</v>
      </c>
      <c r="F719" s="757"/>
      <c r="G719" s="757"/>
      <c r="H719" s="794" t="s">
        <v>3443</v>
      </c>
    </row>
    <row r="720" spans="1:12" ht="90">
      <c r="A720" s="754">
        <v>713</v>
      </c>
      <c r="B720" s="754"/>
      <c r="C720" s="804" t="s">
        <v>3444</v>
      </c>
      <c r="D720" s="766" t="s">
        <v>624</v>
      </c>
      <c r="E720" s="757">
        <v>15963636</v>
      </c>
      <c r="F720" s="757"/>
      <c r="G720" s="757"/>
      <c r="H720" s="794" t="s">
        <v>3443</v>
      </c>
    </row>
    <row r="721" spans="1:11" ht="15">
      <c r="A721" s="754">
        <v>714</v>
      </c>
      <c r="B721" s="754"/>
      <c r="C721" s="804" t="s">
        <v>3445</v>
      </c>
      <c r="D721" s="766" t="s">
        <v>624</v>
      </c>
      <c r="E721" s="757">
        <v>2500000</v>
      </c>
      <c r="F721" s="757"/>
      <c r="G721" s="757"/>
      <c r="H721" s="794"/>
    </row>
    <row r="722" spans="1:11">
      <c r="A722" s="754">
        <v>715</v>
      </c>
      <c r="B722" s="754"/>
      <c r="C722" s="804" t="s">
        <v>3446</v>
      </c>
      <c r="D722" s="766" t="s">
        <v>3447</v>
      </c>
      <c r="E722" s="757">
        <v>100000</v>
      </c>
      <c r="F722" s="757"/>
      <c r="G722" s="757"/>
      <c r="H722" s="763"/>
      <c r="K722" s="746">
        <v>100000</v>
      </c>
    </row>
    <row r="723" spans="1:11">
      <c r="A723" s="754">
        <v>716</v>
      </c>
      <c r="B723" s="754"/>
      <c r="C723" s="804" t="s">
        <v>3448</v>
      </c>
      <c r="D723" s="766" t="s">
        <v>3447</v>
      </c>
      <c r="E723" s="757">
        <v>100000</v>
      </c>
      <c r="F723" s="757"/>
      <c r="G723" s="757"/>
      <c r="H723" s="763"/>
      <c r="K723" s="746">
        <v>100000</v>
      </c>
    </row>
    <row r="724" spans="1:11">
      <c r="A724" s="754">
        <v>717</v>
      </c>
      <c r="B724" s="754"/>
      <c r="C724" s="804" t="s">
        <v>3449</v>
      </c>
      <c r="D724" s="766" t="s">
        <v>655</v>
      </c>
      <c r="E724" s="757">
        <v>930</v>
      </c>
      <c r="F724" s="757"/>
      <c r="G724" s="757"/>
      <c r="H724" s="763"/>
    </row>
    <row r="725" spans="1:11">
      <c r="A725" s="754">
        <v>718</v>
      </c>
      <c r="B725" s="754"/>
      <c r="C725" s="804" t="s">
        <v>3450</v>
      </c>
      <c r="D725" s="766" t="s">
        <v>655</v>
      </c>
      <c r="E725" s="757">
        <v>930</v>
      </c>
      <c r="F725" s="757"/>
      <c r="G725" s="757"/>
      <c r="H725" s="763" t="s">
        <v>1896</v>
      </c>
      <c r="K725" s="746">
        <v>930</v>
      </c>
    </row>
    <row r="726" spans="1:11">
      <c r="A726" s="754">
        <v>719</v>
      </c>
      <c r="B726" s="754"/>
      <c r="C726" s="804" t="s">
        <v>3451</v>
      </c>
      <c r="D726" s="766" t="s">
        <v>655</v>
      </c>
      <c r="E726" s="757">
        <v>1530</v>
      </c>
      <c r="F726" s="757"/>
      <c r="G726" s="757"/>
      <c r="H726" s="763" t="s">
        <v>1896</v>
      </c>
      <c r="K726" s="746">
        <v>1530</v>
      </c>
    </row>
    <row r="727" spans="1:11">
      <c r="A727" s="754">
        <v>720</v>
      </c>
      <c r="B727" s="754"/>
      <c r="C727" s="804" t="s">
        <v>3452</v>
      </c>
      <c r="D727" s="766" t="s">
        <v>655</v>
      </c>
      <c r="E727" s="757">
        <v>2260</v>
      </c>
      <c r="F727" s="757"/>
      <c r="G727" s="757"/>
      <c r="H727" s="763" t="s">
        <v>1896</v>
      </c>
      <c r="K727" s="746">
        <v>2260</v>
      </c>
    </row>
    <row r="728" spans="1:11">
      <c r="A728" s="754">
        <v>721</v>
      </c>
      <c r="B728" s="754"/>
      <c r="C728" s="804" t="s">
        <v>3453</v>
      </c>
      <c r="D728" s="766" t="s">
        <v>655</v>
      </c>
      <c r="E728" s="757">
        <v>2260</v>
      </c>
      <c r="F728" s="757"/>
      <c r="G728" s="757"/>
      <c r="H728" s="763"/>
      <c r="K728" s="746">
        <v>2260</v>
      </c>
    </row>
    <row r="729" spans="1:11">
      <c r="A729" s="754">
        <v>722</v>
      </c>
      <c r="B729" s="754"/>
      <c r="C729" s="804" t="s">
        <v>3454</v>
      </c>
      <c r="D729" s="766" t="s">
        <v>655</v>
      </c>
      <c r="E729" s="757">
        <v>75000</v>
      </c>
      <c r="F729" s="757"/>
      <c r="G729" s="757"/>
      <c r="H729" s="763"/>
      <c r="K729" s="746">
        <v>75000</v>
      </c>
    </row>
    <row r="730" spans="1:11" ht="30">
      <c r="A730" s="754">
        <v>723</v>
      </c>
      <c r="B730" s="754"/>
      <c r="C730" s="804" t="s">
        <v>3455</v>
      </c>
      <c r="D730" s="766" t="s">
        <v>655</v>
      </c>
      <c r="E730" s="805">
        <f>ROUND((99000+239000+10500)/1.1,0)</f>
        <v>316818</v>
      </c>
      <c r="F730" s="757"/>
      <c r="G730" s="757"/>
      <c r="H730" s="757" t="s">
        <v>1902</v>
      </c>
      <c r="K730" s="746">
        <v>95000</v>
      </c>
    </row>
    <row r="731" spans="1:11">
      <c r="A731" s="754">
        <v>724</v>
      </c>
      <c r="B731" s="754"/>
      <c r="C731" s="804" t="s">
        <v>3456</v>
      </c>
      <c r="D731" s="766" t="s">
        <v>655</v>
      </c>
      <c r="E731" s="757">
        <v>75000</v>
      </c>
      <c r="F731" s="757"/>
      <c r="G731" s="757"/>
      <c r="H731" s="763"/>
      <c r="K731" s="746">
        <v>75000</v>
      </c>
    </row>
    <row r="732" spans="1:11">
      <c r="A732" s="754">
        <v>725</v>
      </c>
      <c r="B732" s="754"/>
      <c r="C732" s="804" t="s">
        <v>3457</v>
      </c>
      <c r="D732" s="766" t="s">
        <v>655</v>
      </c>
      <c r="E732" s="757">
        <v>45000</v>
      </c>
      <c r="F732" s="757"/>
      <c r="G732" s="757"/>
      <c r="H732" s="763"/>
      <c r="K732" s="746">
        <v>45000</v>
      </c>
    </row>
    <row r="733" spans="1:11">
      <c r="A733" s="754">
        <v>726</v>
      </c>
      <c r="B733" s="754"/>
      <c r="C733" s="804" t="s">
        <v>3458</v>
      </c>
      <c r="D733" s="766" t="s">
        <v>685</v>
      </c>
      <c r="E733" s="757">
        <v>95000</v>
      </c>
      <c r="F733" s="757"/>
      <c r="G733" s="757"/>
      <c r="H733" s="763"/>
      <c r="K733" s="746">
        <v>95000</v>
      </c>
    </row>
    <row r="734" spans="1:11" ht="30">
      <c r="A734" s="754">
        <v>727</v>
      </c>
      <c r="B734" s="754"/>
      <c r="C734" s="804" t="s">
        <v>3459</v>
      </c>
      <c r="D734" s="766" t="s">
        <v>685</v>
      </c>
      <c r="E734" s="757">
        <v>6333.333333333333</v>
      </c>
      <c r="F734" s="757"/>
      <c r="G734" s="757"/>
      <c r="H734" s="794" t="s">
        <v>3460</v>
      </c>
      <c r="K734" s="746">
        <v>6333.333333333333</v>
      </c>
    </row>
    <row r="735" spans="1:11" ht="30">
      <c r="A735" s="754">
        <v>728</v>
      </c>
      <c r="B735" s="754"/>
      <c r="C735" s="804" t="s">
        <v>3461</v>
      </c>
      <c r="D735" s="766" t="s">
        <v>685</v>
      </c>
      <c r="E735" s="757">
        <v>7000</v>
      </c>
      <c r="F735" s="757"/>
      <c r="G735" s="757"/>
      <c r="H735" s="794" t="s">
        <v>3460</v>
      </c>
      <c r="K735" s="746">
        <v>7000</v>
      </c>
    </row>
    <row r="736" spans="1:11" ht="30">
      <c r="A736" s="754">
        <v>729</v>
      </c>
      <c r="B736" s="754"/>
      <c r="C736" s="804" t="s">
        <v>3462</v>
      </c>
      <c r="D736" s="766" t="s">
        <v>685</v>
      </c>
      <c r="E736" s="757">
        <v>8000</v>
      </c>
      <c r="F736" s="757"/>
      <c r="G736" s="757"/>
      <c r="H736" s="794" t="s">
        <v>3460</v>
      </c>
      <c r="K736" s="746">
        <v>8000</v>
      </c>
    </row>
    <row r="737" spans="1:12" ht="30">
      <c r="A737" s="754">
        <v>730</v>
      </c>
      <c r="B737" s="754"/>
      <c r="C737" s="804" t="s">
        <v>3463</v>
      </c>
      <c r="D737" s="766" t="s">
        <v>685</v>
      </c>
      <c r="E737" s="757">
        <v>8666.6666666666661</v>
      </c>
      <c r="F737" s="757"/>
      <c r="G737" s="757"/>
      <c r="H737" s="794" t="s">
        <v>3460</v>
      </c>
      <c r="K737" s="746">
        <v>8666.6666666666661</v>
      </c>
    </row>
    <row r="738" spans="1:12" ht="30">
      <c r="A738" s="754">
        <v>731</v>
      </c>
      <c r="B738" s="754"/>
      <c r="C738" s="804" t="s">
        <v>3464</v>
      </c>
      <c r="D738" s="766" t="s">
        <v>685</v>
      </c>
      <c r="E738" s="757">
        <v>5666.666666666667</v>
      </c>
      <c r="F738" s="757"/>
      <c r="G738" s="757"/>
      <c r="H738" s="794" t="s">
        <v>3460</v>
      </c>
      <c r="K738" s="746">
        <v>5666.666666666667</v>
      </c>
    </row>
    <row r="739" spans="1:12" ht="30">
      <c r="A739" s="754">
        <v>732</v>
      </c>
      <c r="B739" s="754"/>
      <c r="C739" s="804" t="s">
        <v>3465</v>
      </c>
      <c r="D739" s="766" t="s">
        <v>685</v>
      </c>
      <c r="E739" s="757">
        <v>6333.333333333333</v>
      </c>
      <c r="F739" s="757"/>
      <c r="G739" s="757"/>
      <c r="H739" s="794" t="s">
        <v>3460</v>
      </c>
      <c r="K739" s="746">
        <v>6333.333333333333</v>
      </c>
    </row>
    <row r="740" spans="1:12">
      <c r="A740" s="754">
        <v>733</v>
      </c>
      <c r="B740" s="806"/>
      <c r="C740" s="807" t="s">
        <v>3466</v>
      </c>
      <c r="D740" s="808" t="s">
        <v>685</v>
      </c>
      <c r="E740" s="757">
        <v>12666.666666666666</v>
      </c>
      <c r="F740" s="809"/>
      <c r="G740" s="809"/>
      <c r="H740" s="810"/>
      <c r="K740" s="746">
        <v>12666.666666666666</v>
      </c>
      <c r="L740" s="764"/>
    </row>
    <row r="741" spans="1:12" ht="30">
      <c r="A741" s="754">
        <v>734</v>
      </c>
      <c r="B741" s="754"/>
      <c r="C741" s="804" t="s">
        <v>3467</v>
      </c>
      <c r="D741" s="766" t="s">
        <v>685</v>
      </c>
      <c r="E741" s="757">
        <v>93666.666666666672</v>
      </c>
      <c r="F741" s="757"/>
      <c r="G741" s="757"/>
      <c r="H741" s="794" t="s">
        <v>3460</v>
      </c>
      <c r="K741" s="746">
        <v>93666.666666666672</v>
      </c>
    </row>
    <row r="742" spans="1:12" ht="30">
      <c r="A742" s="754">
        <v>735</v>
      </c>
      <c r="B742" s="754"/>
      <c r="C742" s="804" t="s">
        <v>3468</v>
      </c>
      <c r="D742" s="766" t="s">
        <v>685</v>
      </c>
      <c r="E742" s="757">
        <v>119666.66666666667</v>
      </c>
      <c r="F742" s="757"/>
      <c r="G742" s="757"/>
      <c r="H742" s="794" t="s">
        <v>3460</v>
      </c>
      <c r="K742" s="746">
        <v>119666.66666666667</v>
      </c>
    </row>
    <row r="743" spans="1:12" ht="30">
      <c r="A743" s="754">
        <v>736</v>
      </c>
      <c r="B743" s="754"/>
      <c r="C743" s="804" t="s">
        <v>3469</v>
      </c>
      <c r="D743" s="766" t="s">
        <v>685</v>
      </c>
      <c r="E743" s="757">
        <v>36066.666666666664</v>
      </c>
      <c r="F743" s="757"/>
      <c r="G743" s="757"/>
      <c r="H743" s="794" t="s">
        <v>3460</v>
      </c>
      <c r="K743" s="746">
        <v>36066.666666666664</v>
      </c>
    </row>
    <row r="744" spans="1:12" ht="30">
      <c r="A744" s="754">
        <v>737</v>
      </c>
      <c r="B744" s="754"/>
      <c r="C744" s="804" t="s">
        <v>3470</v>
      </c>
      <c r="D744" s="766" t="s">
        <v>685</v>
      </c>
      <c r="E744" s="757">
        <v>67066.666666666672</v>
      </c>
      <c r="F744" s="757"/>
      <c r="G744" s="757"/>
      <c r="H744" s="794" t="s">
        <v>3460</v>
      </c>
      <c r="K744" s="746">
        <v>67066.666666666672</v>
      </c>
    </row>
    <row r="745" spans="1:12" ht="75">
      <c r="A745" s="754">
        <v>738</v>
      </c>
      <c r="B745" s="754"/>
      <c r="C745" s="804" t="s">
        <v>3471</v>
      </c>
      <c r="D745" s="766" t="s">
        <v>685</v>
      </c>
      <c r="E745" s="757">
        <v>104500</v>
      </c>
      <c r="F745" s="757"/>
      <c r="G745" s="757"/>
      <c r="H745" s="794" t="s">
        <v>3472</v>
      </c>
      <c r="K745" s="746">
        <v>104500</v>
      </c>
    </row>
    <row r="746" spans="1:12" ht="75">
      <c r="A746" s="754">
        <v>739</v>
      </c>
      <c r="B746" s="754"/>
      <c r="C746" s="804" t="s">
        <v>3473</v>
      </c>
      <c r="D746" s="766" t="s">
        <v>685</v>
      </c>
      <c r="E746" s="757">
        <v>27200</v>
      </c>
      <c r="F746" s="757"/>
      <c r="G746" s="757"/>
      <c r="H746" s="794" t="s">
        <v>3472</v>
      </c>
      <c r="K746" s="746">
        <v>27200</v>
      </c>
    </row>
    <row r="747" spans="1:12" ht="75">
      <c r="A747" s="754">
        <v>740</v>
      </c>
      <c r="B747" s="754"/>
      <c r="C747" s="804" t="s">
        <v>3474</v>
      </c>
      <c r="D747" s="766" t="s">
        <v>685</v>
      </c>
      <c r="E747" s="757">
        <v>39800</v>
      </c>
      <c r="F747" s="757"/>
      <c r="G747" s="757"/>
      <c r="H747" s="794" t="s">
        <v>3472</v>
      </c>
      <c r="K747" s="746">
        <v>39800</v>
      </c>
    </row>
    <row r="748" spans="1:12" ht="75">
      <c r="A748" s="754">
        <v>741</v>
      </c>
      <c r="B748" s="754"/>
      <c r="C748" s="804" t="s">
        <v>3475</v>
      </c>
      <c r="D748" s="766" t="s">
        <v>685</v>
      </c>
      <c r="E748" s="757">
        <v>20200</v>
      </c>
      <c r="F748" s="757"/>
      <c r="G748" s="757"/>
      <c r="H748" s="794" t="s">
        <v>3472</v>
      </c>
      <c r="K748" s="746">
        <v>20200</v>
      </c>
    </row>
    <row r="749" spans="1:12" ht="15">
      <c r="A749" s="754">
        <v>742</v>
      </c>
      <c r="B749" s="754"/>
      <c r="C749" s="804" t="s">
        <v>3476</v>
      </c>
      <c r="D749" s="766" t="s">
        <v>685</v>
      </c>
      <c r="E749" s="757">
        <v>20200</v>
      </c>
      <c r="F749" s="757"/>
      <c r="G749" s="757"/>
      <c r="H749" s="794"/>
      <c r="K749" s="746">
        <v>20200</v>
      </c>
    </row>
    <row r="750" spans="1:12" ht="15">
      <c r="A750" s="754">
        <v>743</v>
      </c>
      <c r="B750" s="754"/>
      <c r="C750" s="804" t="s">
        <v>3477</v>
      </c>
      <c r="D750" s="766" t="s">
        <v>685</v>
      </c>
      <c r="E750" s="757">
        <v>20200</v>
      </c>
      <c r="F750" s="757"/>
      <c r="G750" s="757"/>
      <c r="H750" s="794"/>
    </row>
    <row r="751" spans="1:12" ht="75">
      <c r="A751" s="754">
        <v>744</v>
      </c>
      <c r="B751" s="754"/>
      <c r="C751" s="804" t="s">
        <v>3478</v>
      </c>
      <c r="D751" s="766" t="s">
        <v>685</v>
      </c>
      <c r="E751" s="757">
        <v>39800</v>
      </c>
      <c r="F751" s="757"/>
      <c r="G751" s="757"/>
      <c r="H751" s="794" t="s">
        <v>3472</v>
      </c>
      <c r="K751" s="746">
        <v>39800</v>
      </c>
    </row>
    <row r="752" spans="1:12">
      <c r="A752" s="754">
        <v>745</v>
      </c>
      <c r="B752" s="754"/>
      <c r="C752" s="804" t="s">
        <v>3479</v>
      </c>
      <c r="D752" s="766" t="s">
        <v>685</v>
      </c>
      <c r="E752" s="762">
        <v>13900</v>
      </c>
      <c r="F752" s="757"/>
      <c r="G752" s="757"/>
      <c r="H752" s="763" t="s">
        <v>3023</v>
      </c>
      <c r="K752" s="746">
        <v>13900</v>
      </c>
    </row>
    <row r="753" spans="1:11">
      <c r="A753" s="754">
        <v>746</v>
      </c>
      <c r="B753" s="754"/>
      <c r="C753" s="804" t="s">
        <v>3480</v>
      </c>
      <c r="D753" s="766" t="s">
        <v>685</v>
      </c>
      <c r="E753" s="762">
        <v>20100</v>
      </c>
      <c r="F753" s="757"/>
      <c r="G753" s="757"/>
      <c r="H753" s="763" t="s">
        <v>3023</v>
      </c>
      <c r="K753" s="746">
        <v>20100</v>
      </c>
    </row>
    <row r="754" spans="1:11">
      <c r="A754" s="754">
        <v>747</v>
      </c>
      <c r="B754" s="754"/>
      <c r="C754" s="804" t="s">
        <v>3481</v>
      </c>
      <c r="D754" s="766" t="s">
        <v>685</v>
      </c>
      <c r="E754" s="757">
        <v>6856.1643835616442</v>
      </c>
      <c r="F754" s="757"/>
      <c r="G754" s="757"/>
      <c r="H754" s="763" t="s">
        <v>1896</v>
      </c>
      <c r="K754" s="746">
        <v>6856.1643835616442</v>
      </c>
    </row>
    <row r="755" spans="1:11">
      <c r="A755" s="754">
        <v>748</v>
      </c>
      <c r="B755" s="754"/>
      <c r="C755" s="804" t="s">
        <v>3482</v>
      </c>
      <c r="D755" s="766" t="s">
        <v>685</v>
      </c>
      <c r="E755" s="757">
        <v>12054.794520547946</v>
      </c>
      <c r="F755" s="757"/>
      <c r="G755" s="757"/>
      <c r="H755" s="763" t="s">
        <v>1896</v>
      </c>
      <c r="K755" s="746">
        <v>12054.794520547946</v>
      </c>
    </row>
    <row r="756" spans="1:11">
      <c r="A756" s="754">
        <v>749</v>
      </c>
      <c r="B756" s="754"/>
      <c r="C756" s="804" t="s">
        <v>3483</v>
      </c>
      <c r="D756" s="766" t="s">
        <v>685</v>
      </c>
      <c r="E756" s="757">
        <v>17664.383561643837</v>
      </c>
      <c r="F756" s="757"/>
      <c r="G756" s="757"/>
      <c r="H756" s="763" t="s">
        <v>1896</v>
      </c>
      <c r="K756" s="746">
        <v>17664.383561643837</v>
      </c>
    </row>
    <row r="757" spans="1:11">
      <c r="A757" s="754">
        <v>750</v>
      </c>
      <c r="B757" s="754"/>
      <c r="C757" s="804" t="s">
        <v>3484</v>
      </c>
      <c r="D757" s="766" t="s">
        <v>685</v>
      </c>
      <c r="E757" s="757">
        <v>17664.383561643837</v>
      </c>
      <c r="F757" s="757"/>
      <c r="G757" s="757"/>
      <c r="H757" s="763" t="s">
        <v>1896</v>
      </c>
      <c r="K757" s="746">
        <v>17664.383561643837</v>
      </c>
    </row>
    <row r="758" spans="1:11">
      <c r="A758" s="754">
        <v>751</v>
      </c>
      <c r="B758" s="754"/>
      <c r="C758" s="804" t="s">
        <v>3485</v>
      </c>
      <c r="D758" s="766" t="s">
        <v>685</v>
      </c>
      <c r="E758" s="757">
        <v>5122</v>
      </c>
      <c r="F758" s="757"/>
      <c r="G758" s="757"/>
      <c r="H758" s="763" t="s">
        <v>1896</v>
      </c>
      <c r="K758" s="746">
        <v>5122</v>
      </c>
    </row>
    <row r="759" spans="1:11">
      <c r="A759" s="754">
        <v>752</v>
      </c>
      <c r="B759" s="754"/>
      <c r="C759" s="804" t="s">
        <v>3486</v>
      </c>
      <c r="D759" s="766" t="s">
        <v>685</v>
      </c>
      <c r="E759" s="757">
        <v>5122</v>
      </c>
      <c r="F759" s="757"/>
      <c r="G759" s="757"/>
      <c r="H759" s="763" t="s">
        <v>1896</v>
      </c>
      <c r="K759" s="746">
        <v>5122</v>
      </c>
    </row>
    <row r="760" spans="1:11">
      <c r="A760" s="754">
        <v>753</v>
      </c>
      <c r="B760" s="754"/>
      <c r="C760" s="804" t="s">
        <v>3487</v>
      </c>
      <c r="D760" s="766" t="s">
        <v>685</v>
      </c>
      <c r="E760" s="762">
        <v>410000</v>
      </c>
      <c r="F760" s="757"/>
      <c r="G760" s="757"/>
      <c r="H760" s="763" t="s">
        <v>3047</v>
      </c>
      <c r="K760" s="746">
        <v>410000</v>
      </c>
    </row>
    <row r="761" spans="1:11">
      <c r="A761" s="754">
        <v>754</v>
      </c>
      <c r="B761" s="754"/>
      <c r="C761" s="804" t="s">
        <v>3488</v>
      </c>
      <c r="D761" s="766" t="s">
        <v>685</v>
      </c>
      <c r="E761" s="762">
        <v>410000</v>
      </c>
      <c r="F761" s="762"/>
      <c r="G761" s="757"/>
      <c r="H761" s="763" t="s">
        <v>3047</v>
      </c>
      <c r="K761" s="746">
        <v>410000</v>
      </c>
    </row>
    <row r="762" spans="1:11">
      <c r="A762" s="754">
        <v>755</v>
      </c>
      <c r="B762" s="754"/>
      <c r="C762" s="804" t="s">
        <v>3489</v>
      </c>
      <c r="D762" s="766" t="s">
        <v>685</v>
      </c>
      <c r="E762" s="762">
        <v>688000</v>
      </c>
      <c r="F762" s="762"/>
      <c r="G762" s="757"/>
      <c r="H762" s="763" t="s">
        <v>3047</v>
      </c>
      <c r="K762" s="746">
        <v>688000</v>
      </c>
    </row>
    <row r="763" spans="1:11">
      <c r="A763" s="754">
        <v>756</v>
      </c>
      <c r="B763" s="754"/>
      <c r="C763" s="804" t="s">
        <v>3490</v>
      </c>
      <c r="D763" s="766" t="s">
        <v>685</v>
      </c>
      <c r="E763" s="762">
        <v>290000</v>
      </c>
      <c r="F763" s="762"/>
      <c r="G763" s="757"/>
      <c r="H763" s="763" t="s">
        <v>3047</v>
      </c>
      <c r="K763" s="746">
        <v>290000</v>
      </c>
    </row>
    <row r="764" spans="1:11" ht="15">
      <c r="A764" s="754">
        <v>757</v>
      </c>
      <c r="B764" s="754"/>
      <c r="C764" s="804" t="s">
        <v>3491</v>
      </c>
      <c r="D764" s="766" t="s">
        <v>685</v>
      </c>
      <c r="E764" s="757">
        <v>148000</v>
      </c>
      <c r="F764" s="757"/>
      <c r="G764" s="757"/>
      <c r="H764" s="757" t="s">
        <v>3492</v>
      </c>
      <c r="K764" s="746">
        <v>148000</v>
      </c>
    </row>
    <row r="765" spans="1:11" ht="15">
      <c r="A765" s="754">
        <v>758</v>
      </c>
      <c r="B765" s="754"/>
      <c r="C765" s="804" t="s">
        <v>3493</v>
      </c>
      <c r="D765" s="766" t="s">
        <v>685</v>
      </c>
      <c r="E765" s="805">
        <f>784000/2</f>
        <v>392000</v>
      </c>
      <c r="F765" s="757"/>
      <c r="G765" s="757"/>
      <c r="H765" s="757" t="s">
        <v>3494</v>
      </c>
      <c r="K765" s="746">
        <v>148000</v>
      </c>
    </row>
    <row r="766" spans="1:11" ht="15">
      <c r="A766" s="754">
        <v>759</v>
      </c>
      <c r="B766" s="754"/>
      <c r="C766" s="804" t="s">
        <v>3495</v>
      </c>
      <c r="D766" s="766" t="s">
        <v>685</v>
      </c>
      <c r="E766" s="805">
        <f>896000/2</f>
        <v>448000</v>
      </c>
      <c r="F766" s="757"/>
      <c r="G766" s="757"/>
      <c r="H766" s="757" t="s">
        <v>3496</v>
      </c>
      <c r="K766" s="746">
        <v>148000</v>
      </c>
    </row>
    <row r="767" spans="1:11" ht="105">
      <c r="A767" s="754">
        <v>761</v>
      </c>
      <c r="B767" s="754"/>
      <c r="C767" s="804" t="s">
        <v>3497</v>
      </c>
      <c r="D767" s="766" t="s">
        <v>624</v>
      </c>
      <c r="E767" s="757">
        <v>2509090.9090909087</v>
      </c>
      <c r="F767" s="757"/>
      <c r="G767" s="757"/>
      <c r="H767" s="794" t="s">
        <v>3498</v>
      </c>
      <c r="K767" s="746">
        <v>2509090.9090909087</v>
      </c>
    </row>
    <row r="768" spans="1:11" ht="105">
      <c r="A768" s="754">
        <v>762</v>
      </c>
      <c r="B768" s="754"/>
      <c r="C768" s="804" t="s">
        <v>3499</v>
      </c>
      <c r="D768" s="766" t="s">
        <v>624</v>
      </c>
      <c r="E768" s="757">
        <v>2509090.9090909087</v>
      </c>
      <c r="F768" s="757"/>
      <c r="G768" s="757"/>
      <c r="H768" s="794" t="s">
        <v>3498</v>
      </c>
      <c r="K768" s="746">
        <v>2509090.9090909087</v>
      </c>
    </row>
    <row r="769" spans="1:11" ht="105">
      <c r="A769" s="754">
        <v>763</v>
      </c>
      <c r="B769" s="754"/>
      <c r="C769" s="804" t="s">
        <v>3500</v>
      </c>
      <c r="D769" s="766" t="s">
        <v>624</v>
      </c>
      <c r="E769" s="757">
        <v>2509090.9090909087</v>
      </c>
      <c r="F769" s="757"/>
      <c r="G769" s="757"/>
      <c r="H769" s="794" t="s">
        <v>3498</v>
      </c>
    </row>
    <row r="770" spans="1:11" ht="15">
      <c r="A770" s="754">
        <v>764</v>
      </c>
      <c r="B770" s="754"/>
      <c r="C770" s="804" t="s">
        <v>3501</v>
      </c>
      <c r="D770" s="766" t="s">
        <v>624</v>
      </c>
      <c r="E770" s="805">
        <f>7880000/1.1</f>
        <v>7163636.3636363633</v>
      </c>
      <c r="F770" s="757"/>
      <c r="G770" s="757"/>
      <c r="H770" s="757" t="s">
        <v>3502</v>
      </c>
    </row>
    <row r="771" spans="1:11" ht="45">
      <c r="A771" s="754">
        <v>765</v>
      </c>
      <c r="B771" s="754"/>
      <c r="C771" s="804" t="s">
        <v>3503</v>
      </c>
      <c r="D771" s="766" t="s">
        <v>655</v>
      </c>
      <c r="E771" s="757">
        <v>720000</v>
      </c>
      <c r="F771" s="757"/>
      <c r="G771" s="757"/>
      <c r="H771" s="794" t="s">
        <v>3504</v>
      </c>
      <c r="K771" s="746">
        <v>720000</v>
      </c>
    </row>
    <row r="772" spans="1:11" ht="45">
      <c r="A772" s="754">
        <v>766</v>
      </c>
      <c r="B772" s="754"/>
      <c r="C772" s="804" t="s">
        <v>3505</v>
      </c>
      <c r="D772" s="766" t="s">
        <v>655</v>
      </c>
      <c r="E772" s="757">
        <v>989999.99999999988</v>
      </c>
      <c r="F772" s="757"/>
      <c r="G772" s="757"/>
      <c r="H772" s="794" t="s">
        <v>3506</v>
      </c>
      <c r="K772" s="746">
        <v>989999.99999999988</v>
      </c>
    </row>
    <row r="773" spans="1:11" ht="15">
      <c r="A773" s="754">
        <v>767</v>
      </c>
      <c r="B773" s="754"/>
      <c r="C773" s="804" t="s">
        <v>3507</v>
      </c>
      <c r="D773" s="766" t="s">
        <v>655</v>
      </c>
      <c r="E773" s="805">
        <v>2640000</v>
      </c>
      <c r="F773" s="757"/>
      <c r="G773" s="757"/>
      <c r="H773" s="757" t="s">
        <v>3231</v>
      </c>
      <c r="K773" s="746">
        <v>560000</v>
      </c>
    </row>
    <row r="774" spans="1:11">
      <c r="A774" s="754">
        <v>768</v>
      </c>
      <c r="B774" s="754"/>
      <c r="C774" s="804" t="s">
        <v>3508</v>
      </c>
      <c r="D774" s="766" t="s">
        <v>655</v>
      </c>
      <c r="E774" s="757">
        <v>560000</v>
      </c>
      <c r="F774" s="757"/>
      <c r="G774" s="757"/>
      <c r="H774" s="763"/>
      <c r="K774" s="746">
        <v>560000</v>
      </c>
    </row>
    <row r="775" spans="1:11" ht="31.5">
      <c r="A775" s="754">
        <v>769</v>
      </c>
      <c r="B775" s="754"/>
      <c r="C775" s="804" t="s">
        <v>2513</v>
      </c>
      <c r="D775" s="766" t="s">
        <v>1730</v>
      </c>
      <c r="E775" s="757">
        <v>300000</v>
      </c>
      <c r="F775" s="757"/>
      <c r="G775" s="757"/>
      <c r="H775" s="763" t="s">
        <v>2668</v>
      </c>
      <c r="K775" s="746">
        <v>300000</v>
      </c>
    </row>
    <row r="776" spans="1:11" ht="15">
      <c r="A776" s="754">
        <v>770</v>
      </c>
      <c r="B776" s="754"/>
      <c r="C776" s="804" t="s">
        <v>3509</v>
      </c>
      <c r="D776" s="766" t="s">
        <v>655</v>
      </c>
      <c r="E776" s="805">
        <v>2348500</v>
      </c>
      <c r="F776" s="757"/>
      <c r="G776" s="757"/>
      <c r="H776" s="757" t="s">
        <v>3510</v>
      </c>
      <c r="K776" s="746">
        <v>764999.99999999988</v>
      </c>
    </row>
    <row r="777" spans="1:11" ht="15">
      <c r="A777" s="754">
        <v>771</v>
      </c>
      <c r="B777" s="754"/>
      <c r="C777" s="804" t="s">
        <v>3511</v>
      </c>
      <c r="D777" s="766" t="s">
        <v>655</v>
      </c>
      <c r="E777" s="805">
        <v>2387000</v>
      </c>
      <c r="F777" s="757"/>
      <c r="G777" s="757"/>
      <c r="H777" s="757" t="s">
        <v>3512</v>
      </c>
      <c r="K777" s="746">
        <v>894999.99999999988</v>
      </c>
    </row>
    <row r="778" spans="1:11" ht="15">
      <c r="A778" s="754">
        <v>772</v>
      </c>
      <c r="B778" s="754"/>
      <c r="C778" s="804" t="s">
        <v>3513</v>
      </c>
      <c r="D778" s="766" t="s">
        <v>624</v>
      </c>
      <c r="E778" s="805">
        <f>2575000/1.1</f>
        <v>2340909.0909090908</v>
      </c>
      <c r="F778" s="757"/>
      <c r="G778" s="757"/>
      <c r="H778" s="757" t="s">
        <v>3514</v>
      </c>
      <c r="K778" s="746">
        <v>200000</v>
      </c>
    </row>
    <row r="779" spans="1:11" ht="15">
      <c r="A779" s="754">
        <v>773</v>
      </c>
      <c r="B779" s="754"/>
      <c r="C779" s="804" t="s">
        <v>3515</v>
      </c>
      <c r="D779" s="766" t="s">
        <v>655</v>
      </c>
      <c r="E779" s="805">
        <v>1100000</v>
      </c>
      <c r="F779" s="757"/>
      <c r="G779" s="757"/>
      <c r="H779" s="757" t="s">
        <v>3516</v>
      </c>
      <c r="K779" s="746">
        <v>248181.81818181815</v>
      </c>
    </row>
    <row r="780" spans="1:11" ht="75">
      <c r="A780" s="754">
        <v>774</v>
      </c>
      <c r="B780" s="754"/>
      <c r="C780" s="804" t="s">
        <v>3517</v>
      </c>
      <c r="D780" s="766" t="s">
        <v>624</v>
      </c>
      <c r="E780" s="757">
        <v>1172727.2727272727</v>
      </c>
      <c r="F780" s="757"/>
      <c r="G780" s="757"/>
      <c r="H780" s="794" t="s">
        <v>3518</v>
      </c>
      <c r="K780" s="746">
        <v>1172727.2727272727</v>
      </c>
    </row>
    <row r="781" spans="1:11" ht="45">
      <c r="A781" s="754">
        <v>775</v>
      </c>
      <c r="B781" s="754"/>
      <c r="C781" s="804" t="s">
        <v>3519</v>
      </c>
      <c r="D781" s="766" t="s">
        <v>624</v>
      </c>
      <c r="E781" s="757">
        <v>10175000</v>
      </c>
      <c r="F781" s="757"/>
      <c r="G781" s="757"/>
      <c r="H781" s="794" t="s">
        <v>3520</v>
      </c>
      <c r="K781" s="746">
        <v>10175000</v>
      </c>
    </row>
    <row r="782" spans="1:11" ht="45">
      <c r="A782" s="754">
        <v>776</v>
      </c>
      <c r="B782" s="754"/>
      <c r="C782" s="804" t="s">
        <v>3521</v>
      </c>
      <c r="D782" s="766" t="s">
        <v>655</v>
      </c>
      <c r="E782" s="757">
        <v>3045454.5454545454</v>
      </c>
      <c r="F782" s="757"/>
      <c r="G782" s="757"/>
      <c r="H782" s="794" t="s">
        <v>3522</v>
      </c>
      <c r="K782" s="746">
        <v>3045454.5454545454</v>
      </c>
    </row>
    <row r="783" spans="1:11" ht="45">
      <c r="A783" s="754">
        <v>777</v>
      </c>
      <c r="B783" s="754"/>
      <c r="C783" s="804" t="s">
        <v>3523</v>
      </c>
      <c r="D783" s="766" t="s">
        <v>655</v>
      </c>
      <c r="E783" s="757">
        <v>6718181.8181818174</v>
      </c>
      <c r="F783" s="757"/>
      <c r="G783" s="757"/>
      <c r="H783" s="794" t="s">
        <v>3524</v>
      </c>
      <c r="K783" s="746">
        <v>6718181.8181818174</v>
      </c>
    </row>
    <row r="784" spans="1:11" ht="45">
      <c r="A784" s="754">
        <v>778</v>
      </c>
      <c r="B784" s="754"/>
      <c r="C784" s="804" t="s">
        <v>3525</v>
      </c>
      <c r="D784" s="766" t="s">
        <v>655</v>
      </c>
      <c r="E784" s="757">
        <v>6718181.8181818174</v>
      </c>
      <c r="F784" s="757"/>
      <c r="G784" s="757"/>
      <c r="H784" s="794" t="s">
        <v>3524</v>
      </c>
    </row>
    <row r="785" spans="1:11" ht="45">
      <c r="A785" s="754">
        <v>779</v>
      </c>
      <c r="B785" s="754"/>
      <c r="C785" s="804" t="s">
        <v>3526</v>
      </c>
      <c r="D785" s="766" t="s">
        <v>655</v>
      </c>
      <c r="E785" s="757">
        <v>1072727.2727272727</v>
      </c>
      <c r="F785" s="757"/>
      <c r="G785" s="757"/>
      <c r="H785" s="794" t="s">
        <v>3527</v>
      </c>
      <c r="K785" s="746">
        <v>1072727.2727272727</v>
      </c>
    </row>
    <row r="786" spans="1:11" ht="15">
      <c r="A786" s="754">
        <v>780</v>
      </c>
      <c r="B786" s="754"/>
      <c r="C786" s="804" t="s">
        <v>3528</v>
      </c>
      <c r="D786" s="766" t="s">
        <v>685</v>
      </c>
      <c r="E786" s="805">
        <v>223000</v>
      </c>
      <c r="F786" s="757"/>
      <c r="G786" s="757"/>
      <c r="H786" s="757" t="s">
        <v>2666</v>
      </c>
      <c r="K786" s="746">
        <v>132727.27272727271</v>
      </c>
    </row>
    <row r="787" spans="1:11" ht="15">
      <c r="A787" s="754">
        <v>781</v>
      </c>
      <c r="B787" s="754"/>
      <c r="C787" s="804" t="s">
        <v>3529</v>
      </c>
      <c r="D787" s="766" t="s">
        <v>655</v>
      </c>
      <c r="E787" s="757">
        <v>35000</v>
      </c>
      <c r="F787" s="757"/>
      <c r="G787" s="757"/>
      <c r="H787" s="794"/>
    </row>
    <row r="788" spans="1:11" ht="31.5">
      <c r="A788" s="754">
        <v>782</v>
      </c>
      <c r="B788" s="754"/>
      <c r="C788" s="804" t="s">
        <v>2568</v>
      </c>
      <c r="D788" s="766" t="s">
        <v>1730</v>
      </c>
      <c r="E788" s="757">
        <v>65000</v>
      </c>
      <c r="F788" s="757"/>
      <c r="G788" s="757"/>
      <c r="H788" s="763" t="s">
        <v>2668</v>
      </c>
      <c r="K788" s="746">
        <v>65000</v>
      </c>
    </row>
    <row r="789" spans="1:11" ht="45">
      <c r="A789" s="754">
        <v>783</v>
      </c>
      <c r="B789" s="754"/>
      <c r="C789" s="804" t="s">
        <v>3530</v>
      </c>
      <c r="D789" s="766" t="s">
        <v>624</v>
      </c>
      <c r="E789" s="757">
        <v>11109090.909090908</v>
      </c>
      <c r="F789" s="757"/>
      <c r="G789" s="757"/>
      <c r="H789" s="794" t="s">
        <v>3531</v>
      </c>
      <c r="K789" s="746">
        <v>11109090.909090908</v>
      </c>
    </row>
    <row r="790" spans="1:11" ht="90">
      <c r="A790" s="754">
        <v>784</v>
      </c>
      <c r="B790" s="754"/>
      <c r="C790" s="804" t="s">
        <v>3532</v>
      </c>
      <c r="D790" s="766" t="s">
        <v>624</v>
      </c>
      <c r="E790" s="757">
        <f>8940000/1.1</f>
        <v>8127272.7272727266</v>
      </c>
      <c r="F790" s="757"/>
      <c r="G790" s="757"/>
      <c r="H790" s="794" t="s">
        <v>3533</v>
      </c>
    </row>
    <row r="791" spans="1:11" ht="15">
      <c r="A791" s="754">
        <v>785</v>
      </c>
      <c r="B791" s="754"/>
      <c r="C791" s="804" t="s">
        <v>3534</v>
      </c>
      <c r="D791" s="766" t="s">
        <v>655</v>
      </c>
      <c r="E791" s="757">
        <v>20000</v>
      </c>
      <c r="F791" s="757"/>
      <c r="G791" s="757"/>
      <c r="H791" s="794"/>
    </row>
    <row r="792" spans="1:11" ht="15">
      <c r="A792" s="754">
        <v>786</v>
      </c>
      <c r="B792" s="754"/>
      <c r="C792" s="804" t="s">
        <v>3535</v>
      </c>
      <c r="D792" s="766" t="s">
        <v>685</v>
      </c>
      <c r="E792" s="805">
        <v>93000</v>
      </c>
      <c r="F792" s="757"/>
      <c r="G792" s="757"/>
      <c r="H792" s="757" t="s">
        <v>2666</v>
      </c>
      <c r="K792" s="746">
        <v>67272.727272727265</v>
      </c>
    </row>
    <row r="793" spans="1:11" ht="15">
      <c r="A793" s="754">
        <v>787</v>
      </c>
      <c r="B793" s="754"/>
      <c r="C793" s="804" t="s">
        <v>3536</v>
      </c>
      <c r="D793" s="766" t="s">
        <v>685</v>
      </c>
      <c r="E793" s="805">
        <v>105000</v>
      </c>
      <c r="F793" s="757"/>
      <c r="G793" s="757"/>
      <c r="H793" s="757" t="s">
        <v>2666</v>
      </c>
      <c r="K793" s="746">
        <v>67272.727272727265</v>
      </c>
    </row>
    <row r="794" spans="1:11" ht="15">
      <c r="A794" s="754">
        <v>788</v>
      </c>
      <c r="B794" s="754"/>
      <c r="C794" s="804" t="s">
        <v>3537</v>
      </c>
      <c r="D794" s="766" t="s">
        <v>685</v>
      </c>
      <c r="E794" s="805">
        <v>145000</v>
      </c>
      <c r="F794" s="757"/>
      <c r="G794" s="757"/>
      <c r="H794" s="757" t="s">
        <v>2666</v>
      </c>
      <c r="K794" s="746">
        <v>90000</v>
      </c>
    </row>
    <row r="795" spans="1:11" ht="15">
      <c r="A795" s="754">
        <v>789</v>
      </c>
      <c r="B795" s="754"/>
      <c r="C795" s="804" t="s">
        <v>3538</v>
      </c>
      <c r="D795" s="766" t="s">
        <v>685</v>
      </c>
      <c r="E795" s="805">
        <v>195000</v>
      </c>
      <c r="F795" s="757"/>
      <c r="G795" s="757"/>
      <c r="H795" s="757" t="s">
        <v>2666</v>
      </c>
      <c r="K795" s="746">
        <v>118181.81818181818</v>
      </c>
    </row>
    <row r="796" spans="1:11" ht="15">
      <c r="A796" s="754">
        <v>790</v>
      </c>
      <c r="B796" s="754"/>
      <c r="C796" s="804" t="s">
        <v>3539</v>
      </c>
      <c r="D796" s="766" t="s">
        <v>685</v>
      </c>
      <c r="E796" s="805">
        <v>223000</v>
      </c>
      <c r="F796" s="757"/>
      <c r="G796" s="757"/>
      <c r="H796" s="757" t="s">
        <v>2666</v>
      </c>
      <c r="K796" s="746">
        <v>132727.27272727271</v>
      </c>
    </row>
    <row r="797" spans="1:11" ht="45">
      <c r="A797" s="754">
        <v>791</v>
      </c>
      <c r="B797" s="754"/>
      <c r="C797" s="804" t="s">
        <v>3540</v>
      </c>
      <c r="D797" s="766" t="s">
        <v>655</v>
      </c>
      <c r="E797" s="757">
        <v>1175454.5454545454</v>
      </c>
      <c r="F797" s="757"/>
      <c r="G797" s="757"/>
      <c r="H797" s="794" t="s">
        <v>3541</v>
      </c>
      <c r="K797" s="746">
        <v>1175454.5454545454</v>
      </c>
    </row>
    <row r="798" spans="1:11" ht="45">
      <c r="A798" s="754">
        <v>792</v>
      </c>
      <c r="B798" s="754"/>
      <c r="C798" s="804" t="s">
        <v>3542</v>
      </c>
      <c r="D798" s="766" t="s">
        <v>624</v>
      </c>
      <c r="E798" s="757">
        <v>5259090.9090909082</v>
      </c>
      <c r="F798" s="757"/>
      <c r="G798" s="757"/>
      <c r="H798" s="794" t="s">
        <v>3543</v>
      </c>
      <c r="K798" s="746">
        <v>5259090.9090909082</v>
      </c>
    </row>
    <row r="799" spans="1:11" ht="45">
      <c r="A799" s="754">
        <v>793</v>
      </c>
      <c r="B799" s="754"/>
      <c r="C799" s="804" t="s">
        <v>3544</v>
      </c>
      <c r="D799" s="766" t="s">
        <v>655</v>
      </c>
      <c r="E799" s="757">
        <v>2245454.5454545454</v>
      </c>
      <c r="F799" s="757"/>
      <c r="G799" s="757"/>
      <c r="H799" s="794" t="s">
        <v>3545</v>
      </c>
      <c r="K799" s="746">
        <v>2245454.5454545454</v>
      </c>
    </row>
    <row r="800" spans="1:11" ht="45">
      <c r="A800" s="754">
        <v>794</v>
      </c>
      <c r="B800" s="754"/>
      <c r="C800" s="804" t="s">
        <v>3546</v>
      </c>
      <c r="D800" s="766" t="s">
        <v>655</v>
      </c>
      <c r="E800" s="757">
        <v>1409090.9090909089</v>
      </c>
      <c r="F800" s="757"/>
      <c r="G800" s="757"/>
      <c r="H800" s="794" t="s">
        <v>3547</v>
      </c>
      <c r="K800" s="746">
        <v>1409090.9090909089</v>
      </c>
    </row>
    <row r="801" spans="1:11" ht="15">
      <c r="A801" s="754">
        <v>795</v>
      </c>
      <c r="B801" s="754"/>
      <c r="C801" s="804" t="s">
        <v>3548</v>
      </c>
      <c r="D801" s="766" t="s">
        <v>655</v>
      </c>
      <c r="E801" s="757">
        <v>2245454.5454545454</v>
      </c>
      <c r="F801" s="757"/>
      <c r="G801" s="757"/>
      <c r="H801" s="794"/>
    </row>
    <row r="802" spans="1:11" ht="15">
      <c r="A802" s="754">
        <v>796</v>
      </c>
      <c r="B802" s="754"/>
      <c r="C802" s="804" t="s">
        <v>3549</v>
      </c>
      <c r="D802" s="766" t="s">
        <v>655</v>
      </c>
      <c r="E802" s="757">
        <v>5259090.9090909082</v>
      </c>
      <c r="F802" s="757"/>
      <c r="G802" s="757"/>
      <c r="H802" s="794"/>
    </row>
    <row r="803" spans="1:11">
      <c r="A803" s="754">
        <v>797</v>
      </c>
      <c r="B803" s="754"/>
      <c r="C803" s="804" t="s">
        <v>3550</v>
      </c>
      <c r="D803" s="766" t="s">
        <v>624</v>
      </c>
      <c r="E803" s="757">
        <v>150000</v>
      </c>
      <c r="F803" s="757"/>
      <c r="G803" s="757"/>
      <c r="H803" s="763"/>
      <c r="K803" s="746">
        <v>150000</v>
      </c>
    </row>
    <row r="804" spans="1:11">
      <c r="A804" s="754">
        <v>798</v>
      </c>
      <c r="B804" s="754"/>
      <c r="C804" s="804" t="s">
        <v>3551</v>
      </c>
      <c r="D804" s="766" t="s">
        <v>624</v>
      </c>
      <c r="E804" s="757">
        <v>150000</v>
      </c>
      <c r="F804" s="757"/>
      <c r="G804" s="757"/>
      <c r="H804" s="763"/>
      <c r="K804" s="746">
        <v>150000</v>
      </c>
    </row>
    <row r="805" spans="1:11">
      <c r="A805" s="754">
        <v>799</v>
      </c>
      <c r="B805" s="754"/>
      <c r="C805" s="804" t="s">
        <v>3552</v>
      </c>
      <c r="D805" s="766" t="s">
        <v>1900</v>
      </c>
      <c r="E805" s="757">
        <v>5000000</v>
      </c>
      <c r="F805" s="757"/>
      <c r="G805" s="757"/>
      <c r="H805" s="763"/>
      <c r="K805" s="746">
        <v>5000000</v>
      </c>
    </row>
    <row r="806" spans="1:11" ht="30">
      <c r="A806" s="754">
        <v>800</v>
      </c>
      <c r="B806" s="754"/>
      <c r="C806" s="804" t="s">
        <v>3553</v>
      </c>
      <c r="D806" s="766" t="s">
        <v>624</v>
      </c>
      <c r="E806" s="757">
        <v>5156600</v>
      </c>
      <c r="F806" s="757"/>
      <c r="G806" s="757"/>
      <c r="H806" s="763" t="s">
        <v>3554</v>
      </c>
      <c r="K806" s="746">
        <v>2404545.4545454541</v>
      </c>
    </row>
    <row r="807" spans="1:11" ht="30">
      <c r="A807" s="754">
        <v>801</v>
      </c>
      <c r="B807" s="754"/>
      <c r="C807" s="804" t="s">
        <v>3555</v>
      </c>
      <c r="D807" s="766" t="s">
        <v>624</v>
      </c>
      <c r="E807" s="757">
        <v>87313700</v>
      </c>
      <c r="F807" s="757"/>
      <c r="G807" s="757"/>
      <c r="H807" s="763" t="s">
        <v>3554</v>
      </c>
      <c r="K807" s="746">
        <v>1777272.7272727271</v>
      </c>
    </row>
    <row r="808" spans="1:11" ht="30">
      <c r="A808" s="754"/>
      <c r="B808" s="754"/>
      <c r="C808" s="804" t="s">
        <v>3556</v>
      </c>
      <c r="D808" s="766" t="s">
        <v>680</v>
      </c>
      <c r="E808" s="757">
        <v>1900000</v>
      </c>
      <c r="F808" s="757"/>
      <c r="G808" s="757"/>
      <c r="H808" s="763" t="s">
        <v>3554</v>
      </c>
    </row>
    <row r="809" spans="1:11" ht="30">
      <c r="A809" s="754">
        <v>802</v>
      </c>
      <c r="B809" s="754"/>
      <c r="C809" s="804" t="s">
        <v>3557</v>
      </c>
      <c r="D809" s="766" t="s">
        <v>624</v>
      </c>
      <c r="E809" s="757">
        <v>4570700</v>
      </c>
      <c r="F809" s="757"/>
      <c r="G809" s="757"/>
      <c r="H809" s="763" t="s">
        <v>3554</v>
      </c>
      <c r="K809" s="746">
        <v>1400909.0909090908</v>
      </c>
    </row>
    <row r="810" spans="1:11" ht="45">
      <c r="A810" s="754">
        <v>803</v>
      </c>
      <c r="B810" s="754"/>
      <c r="C810" s="804" t="s">
        <v>3558</v>
      </c>
      <c r="D810" s="766" t="s">
        <v>624</v>
      </c>
      <c r="E810" s="757">
        <v>1045454.5454545454</v>
      </c>
      <c r="F810" s="757"/>
      <c r="G810" s="757"/>
      <c r="H810" s="794" t="s">
        <v>3559</v>
      </c>
      <c r="K810" s="746">
        <v>1045454.5454545454</v>
      </c>
    </row>
    <row r="811" spans="1:11">
      <c r="A811" s="754">
        <v>804</v>
      </c>
      <c r="B811" s="754"/>
      <c r="C811" s="791" t="s">
        <v>3560</v>
      </c>
      <c r="D811" s="766" t="s">
        <v>624</v>
      </c>
      <c r="E811" s="757">
        <v>25000</v>
      </c>
      <c r="F811" s="757"/>
      <c r="G811" s="757"/>
      <c r="H811" s="763"/>
      <c r="K811" s="746">
        <v>25000</v>
      </c>
    </row>
    <row r="812" spans="1:11">
      <c r="A812" s="754">
        <v>805</v>
      </c>
      <c r="B812" s="806"/>
      <c r="C812" s="807" t="s">
        <v>3561</v>
      </c>
      <c r="D812" s="766" t="s">
        <v>624</v>
      </c>
      <c r="E812" s="809">
        <v>13000000</v>
      </c>
      <c r="F812" s="809"/>
      <c r="G812" s="809"/>
      <c r="H812" s="810"/>
      <c r="K812" s="746">
        <v>13000000</v>
      </c>
    </row>
    <row r="813" spans="1:11">
      <c r="A813" s="754">
        <v>806</v>
      </c>
      <c r="B813" s="806"/>
      <c r="C813" s="807" t="s">
        <v>3562</v>
      </c>
      <c r="D813" s="766" t="s">
        <v>624</v>
      </c>
      <c r="E813" s="809">
        <v>1825400</v>
      </c>
      <c r="F813" s="809"/>
      <c r="G813" s="809"/>
      <c r="H813" s="810" t="s">
        <v>3554</v>
      </c>
      <c r="K813" s="746">
        <v>450000</v>
      </c>
    </row>
    <row r="814" spans="1:11" ht="15">
      <c r="A814" s="754">
        <v>807</v>
      </c>
      <c r="B814" s="806"/>
      <c r="C814" s="807" t="s">
        <v>3563</v>
      </c>
      <c r="D814" s="766" t="s">
        <v>624</v>
      </c>
      <c r="E814" s="811">
        <v>2988800</v>
      </c>
      <c r="F814" s="809"/>
      <c r="G814" s="809"/>
      <c r="H814" s="809" t="s">
        <v>3231</v>
      </c>
      <c r="K814" s="746">
        <v>550000</v>
      </c>
    </row>
    <row r="815" spans="1:11">
      <c r="A815" s="754">
        <v>808</v>
      </c>
      <c r="B815" s="806"/>
      <c r="C815" s="807" t="s">
        <v>3564</v>
      </c>
      <c r="D815" s="766" t="s">
        <v>624</v>
      </c>
      <c r="E815" s="809">
        <v>2988800</v>
      </c>
      <c r="F815" s="809"/>
      <c r="G815" s="809"/>
      <c r="H815" s="810" t="s">
        <v>3554</v>
      </c>
      <c r="K815" s="746">
        <v>650000</v>
      </c>
    </row>
    <row r="816" spans="1:11">
      <c r="A816" s="754">
        <v>809</v>
      </c>
      <c r="B816" s="806"/>
      <c r="C816" s="807" t="s">
        <v>3565</v>
      </c>
      <c r="D816" s="766" t="s">
        <v>624</v>
      </c>
      <c r="E816" s="809">
        <v>7680700</v>
      </c>
      <c r="F816" s="809"/>
      <c r="G816" s="809"/>
      <c r="H816" s="810" t="s">
        <v>3554</v>
      </c>
      <c r="K816" s="746">
        <v>2404545</v>
      </c>
    </row>
    <row r="817" spans="1:12">
      <c r="A817" s="754">
        <v>810</v>
      </c>
      <c r="B817" s="806"/>
      <c r="C817" s="807" t="s">
        <v>3566</v>
      </c>
      <c r="D817" s="766" t="s">
        <v>624</v>
      </c>
      <c r="E817" s="809">
        <v>15600000</v>
      </c>
      <c r="F817" s="809"/>
      <c r="G817" s="809"/>
      <c r="H817" s="810"/>
    </row>
    <row r="818" spans="1:12">
      <c r="A818" s="754">
        <v>811</v>
      </c>
      <c r="B818" s="806"/>
      <c r="C818" s="807"/>
      <c r="D818" s="808"/>
      <c r="E818" s="809"/>
      <c r="F818" s="809"/>
      <c r="G818" s="809"/>
      <c r="H818" s="810"/>
    </row>
    <row r="819" spans="1:12">
      <c r="A819" s="754">
        <v>812</v>
      </c>
      <c r="B819" s="806"/>
      <c r="C819" s="807" t="s">
        <v>3567</v>
      </c>
      <c r="D819" s="808" t="s">
        <v>648</v>
      </c>
      <c r="E819" s="809">
        <v>362227800</v>
      </c>
      <c r="F819" s="809"/>
      <c r="G819" s="809"/>
      <c r="H819" s="810" t="s">
        <v>3568</v>
      </c>
      <c r="K819" s="746">
        <v>362227800</v>
      </c>
      <c r="L819" s="764" t="s">
        <v>3569</v>
      </c>
    </row>
    <row r="820" spans="1:12">
      <c r="A820" s="754">
        <v>813</v>
      </c>
      <c r="B820" s="806"/>
      <c r="C820" s="807"/>
      <c r="D820" s="808"/>
      <c r="E820" s="809"/>
      <c r="F820" s="809"/>
      <c r="G820" s="809"/>
      <c r="H820" s="810"/>
      <c r="L820" s="764"/>
    </row>
    <row r="821" spans="1:12">
      <c r="A821" s="754">
        <v>814</v>
      </c>
      <c r="B821" s="806"/>
      <c r="C821" s="807" t="s">
        <v>3570</v>
      </c>
      <c r="D821" s="808" t="s">
        <v>655</v>
      </c>
      <c r="E821" s="809">
        <v>1500000</v>
      </c>
      <c r="F821" s="809"/>
      <c r="G821" s="809"/>
      <c r="H821" s="810"/>
      <c r="K821" s="746">
        <v>1500000</v>
      </c>
      <c r="L821" s="764"/>
    </row>
    <row r="822" spans="1:12">
      <c r="A822" s="754">
        <v>815</v>
      </c>
      <c r="B822" s="806"/>
      <c r="C822" s="807" t="s">
        <v>3571</v>
      </c>
      <c r="D822" s="808" t="s">
        <v>685</v>
      </c>
      <c r="E822" s="809">
        <v>25000</v>
      </c>
      <c r="F822" s="809"/>
      <c r="G822" s="809"/>
      <c r="H822" s="810"/>
      <c r="L822" s="764"/>
    </row>
    <row r="823" spans="1:12" ht="45">
      <c r="A823" s="754">
        <v>816</v>
      </c>
      <c r="B823" s="806"/>
      <c r="C823" s="807" t="s">
        <v>3572</v>
      </c>
      <c r="D823" s="808" t="s">
        <v>685</v>
      </c>
      <c r="E823" s="809">
        <v>25000</v>
      </c>
      <c r="F823" s="809"/>
      <c r="G823" s="809"/>
      <c r="H823" s="812" t="s">
        <v>3573</v>
      </c>
      <c r="L823" s="764"/>
    </row>
    <row r="824" spans="1:12">
      <c r="A824" s="754">
        <v>817</v>
      </c>
      <c r="B824" s="806"/>
      <c r="C824" s="807" t="s">
        <v>3574</v>
      </c>
      <c r="D824" s="808" t="s">
        <v>685</v>
      </c>
      <c r="E824" s="809">
        <v>30540</v>
      </c>
      <c r="F824" s="809"/>
      <c r="G824" s="809"/>
      <c r="H824" s="810" t="s">
        <v>1896</v>
      </c>
      <c r="K824" s="746">
        <v>30540</v>
      </c>
      <c r="L824" s="764"/>
    </row>
    <row r="825" spans="1:12">
      <c r="A825" s="754">
        <v>818</v>
      </c>
      <c r="B825" s="806"/>
      <c r="C825" s="807" t="s">
        <v>3575</v>
      </c>
      <c r="D825" s="808" t="s">
        <v>685</v>
      </c>
      <c r="E825" s="809">
        <v>30540</v>
      </c>
      <c r="F825" s="809"/>
      <c r="G825" s="809"/>
      <c r="H825" s="810"/>
      <c r="L825" s="764"/>
    </row>
    <row r="826" spans="1:12">
      <c r="A826" s="754">
        <v>819</v>
      </c>
      <c r="B826" s="806"/>
      <c r="C826" s="807" t="s">
        <v>3576</v>
      </c>
      <c r="D826" s="808" t="s">
        <v>685</v>
      </c>
      <c r="E826" s="809">
        <v>40720</v>
      </c>
      <c r="F826" s="809"/>
      <c r="G826" s="809"/>
      <c r="H826" s="810"/>
      <c r="K826" s="746">
        <v>40720</v>
      </c>
      <c r="L826" s="764"/>
    </row>
    <row r="827" spans="1:12">
      <c r="A827" s="754">
        <v>820</v>
      </c>
      <c r="B827" s="806"/>
      <c r="C827" s="807" t="s">
        <v>3577</v>
      </c>
      <c r="D827" s="808" t="s">
        <v>655</v>
      </c>
      <c r="E827" s="809">
        <v>250000</v>
      </c>
      <c r="F827" s="809"/>
      <c r="G827" s="809"/>
      <c r="H827" s="810"/>
      <c r="K827" s="746">
        <v>250000</v>
      </c>
      <c r="L827" s="764"/>
    </row>
    <row r="828" spans="1:12">
      <c r="A828" s="754">
        <v>821</v>
      </c>
      <c r="B828" s="806"/>
      <c r="C828" s="807" t="s">
        <v>3578</v>
      </c>
      <c r="D828" s="808" t="s">
        <v>685</v>
      </c>
      <c r="E828" s="809">
        <v>6240</v>
      </c>
      <c r="F828" s="809"/>
      <c r="G828" s="809"/>
      <c r="H828" s="810"/>
      <c r="K828" s="746">
        <v>6240</v>
      </c>
      <c r="L828" s="764"/>
    </row>
    <row r="829" spans="1:12">
      <c r="A829" s="754">
        <v>822</v>
      </c>
      <c r="B829" s="806"/>
      <c r="C829" s="807" t="s">
        <v>3579</v>
      </c>
      <c r="D829" s="808" t="s">
        <v>655</v>
      </c>
      <c r="E829" s="809">
        <v>250000</v>
      </c>
      <c r="F829" s="809"/>
      <c r="G829" s="809"/>
      <c r="H829" s="810"/>
      <c r="K829" s="746">
        <v>250000</v>
      </c>
      <c r="L829" s="764"/>
    </row>
    <row r="830" spans="1:12">
      <c r="A830" s="754">
        <v>823</v>
      </c>
      <c r="B830" s="806"/>
      <c r="C830" s="807" t="s">
        <v>3580</v>
      </c>
      <c r="D830" s="808" t="s">
        <v>655</v>
      </c>
      <c r="E830" s="809">
        <v>650000</v>
      </c>
      <c r="F830" s="809"/>
      <c r="G830" s="809"/>
      <c r="H830" s="810"/>
      <c r="K830" s="746">
        <v>650000</v>
      </c>
      <c r="L830" s="764"/>
    </row>
    <row r="831" spans="1:12">
      <c r="A831" s="754">
        <v>824</v>
      </c>
      <c r="B831" s="806"/>
      <c r="C831" s="807" t="s">
        <v>3581</v>
      </c>
      <c r="D831" s="808" t="s">
        <v>685</v>
      </c>
      <c r="E831" s="809">
        <v>25700</v>
      </c>
      <c r="F831" s="809"/>
      <c r="G831" s="809"/>
      <c r="H831" s="810"/>
      <c r="K831" s="746">
        <v>25700</v>
      </c>
      <c r="L831" s="764"/>
    </row>
    <row r="832" spans="1:12">
      <c r="A832" s="754">
        <v>825</v>
      </c>
      <c r="B832" s="806"/>
      <c r="C832" s="813" t="s">
        <v>3582</v>
      </c>
      <c r="D832" s="808" t="s">
        <v>655</v>
      </c>
      <c r="E832" s="809">
        <v>650000</v>
      </c>
      <c r="F832" s="809"/>
      <c r="G832" s="809"/>
      <c r="H832" s="810"/>
      <c r="K832" s="746">
        <v>650000</v>
      </c>
      <c r="L832" s="764"/>
    </row>
    <row r="833" spans="1:12" ht="30">
      <c r="A833" s="754">
        <v>826</v>
      </c>
      <c r="B833" s="806"/>
      <c r="C833" s="813" t="s">
        <v>3583</v>
      </c>
      <c r="D833" s="808" t="s">
        <v>655</v>
      </c>
      <c r="E833" s="809">
        <v>1440000</v>
      </c>
      <c r="F833" s="809"/>
      <c r="G833" s="809"/>
      <c r="H833" s="810" t="s">
        <v>2666</v>
      </c>
      <c r="K833" s="746">
        <v>1440000</v>
      </c>
      <c r="L833" s="764"/>
    </row>
    <row r="834" spans="1:12" ht="30">
      <c r="A834" s="754">
        <v>827</v>
      </c>
      <c r="B834" s="806"/>
      <c r="C834" s="813" t="s">
        <v>3584</v>
      </c>
      <c r="D834" s="808" t="s">
        <v>655</v>
      </c>
      <c r="E834" s="809">
        <v>525000</v>
      </c>
      <c r="F834" s="809"/>
      <c r="G834" s="809"/>
      <c r="H834" s="810" t="s">
        <v>2666</v>
      </c>
      <c r="K834" s="746">
        <v>525000</v>
      </c>
      <c r="L834" s="764"/>
    </row>
    <row r="835" spans="1:12" ht="30">
      <c r="A835" s="754">
        <v>828</v>
      </c>
      <c r="B835" s="806"/>
      <c r="C835" s="813" t="s">
        <v>3585</v>
      </c>
      <c r="D835" s="808" t="s">
        <v>655</v>
      </c>
      <c r="E835" s="809">
        <v>525000</v>
      </c>
      <c r="F835" s="809"/>
      <c r="G835" s="809"/>
      <c r="H835" s="810" t="s">
        <v>2666</v>
      </c>
      <c r="K835" s="746">
        <v>525000</v>
      </c>
      <c r="L835" s="764"/>
    </row>
    <row r="836" spans="1:12" ht="30">
      <c r="A836" s="754">
        <v>829</v>
      </c>
      <c r="B836" s="806"/>
      <c r="C836" s="813" t="s">
        <v>3586</v>
      </c>
      <c r="D836" s="808" t="s">
        <v>655</v>
      </c>
      <c r="E836" s="809">
        <v>442500</v>
      </c>
      <c r="F836" s="809"/>
      <c r="G836" s="809"/>
      <c r="H836" s="810" t="s">
        <v>2666</v>
      </c>
      <c r="K836" s="746">
        <v>442500</v>
      </c>
      <c r="L836" s="764"/>
    </row>
    <row r="837" spans="1:12" ht="30">
      <c r="A837" s="754">
        <v>830</v>
      </c>
      <c r="B837" s="806"/>
      <c r="C837" s="813" t="s">
        <v>3587</v>
      </c>
      <c r="D837" s="808" t="s">
        <v>655</v>
      </c>
      <c r="E837" s="809">
        <v>442500</v>
      </c>
      <c r="F837" s="809"/>
      <c r="G837" s="809"/>
      <c r="H837" s="810" t="s">
        <v>2666</v>
      </c>
      <c r="K837" s="746">
        <v>442500</v>
      </c>
      <c r="L837" s="764"/>
    </row>
    <row r="838" spans="1:12" ht="30">
      <c r="A838" s="754">
        <v>831</v>
      </c>
      <c r="B838" s="806"/>
      <c r="C838" s="813" t="s">
        <v>3588</v>
      </c>
      <c r="D838" s="808" t="s">
        <v>655</v>
      </c>
      <c r="E838" s="809">
        <v>442500</v>
      </c>
      <c r="F838" s="809"/>
      <c r="G838" s="809"/>
      <c r="H838" s="810" t="s">
        <v>2666</v>
      </c>
      <c r="K838" s="746">
        <v>442500</v>
      </c>
      <c r="L838" s="764"/>
    </row>
    <row r="839" spans="1:12" ht="30">
      <c r="A839" s="754">
        <v>832</v>
      </c>
      <c r="B839" s="806"/>
      <c r="C839" s="813" t="s">
        <v>3589</v>
      </c>
      <c r="D839" s="808" t="s">
        <v>655</v>
      </c>
      <c r="E839" s="809">
        <v>525000</v>
      </c>
      <c r="F839" s="809"/>
      <c r="G839" s="809"/>
      <c r="H839" s="810" t="s">
        <v>2666</v>
      </c>
      <c r="K839" s="746">
        <v>525000</v>
      </c>
      <c r="L839" s="764"/>
    </row>
    <row r="840" spans="1:12" ht="30">
      <c r="A840" s="754">
        <v>833</v>
      </c>
      <c r="B840" s="806"/>
      <c r="C840" s="813" t="s">
        <v>3590</v>
      </c>
      <c r="D840" s="808" t="s">
        <v>655</v>
      </c>
      <c r="E840" s="809">
        <v>442500</v>
      </c>
      <c r="F840" s="809"/>
      <c r="G840" s="809"/>
      <c r="H840" s="810" t="s">
        <v>2666</v>
      </c>
      <c r="K840" s="746">
        <v>442500</v>
      </c>
      <c r="L840" s="764"/>
    </row>
    <row r="841" spans="1:12">
      <c r="A841" s="754">
        <v>834</v>
      </c>
      <c r="B841" s="806"/>
      <c r="C841" s="807" t="s">
        <v>3591</v>
      </c>
      <c r="D841" s="808" t="s">
        <v>655</v>
      </c>
      <c r="E841" s="809">
        <v>1200000</v>
      </c>
      <c r="F841" s="809"/>
      <c r="G841" s="809"/>
      <c r="H841" s="810"/>
      <c r="K841" s="746">
        <v>1200000</v>
      </c>
      <c r="L841" s="764"/>
    </row>
    <row r="842" spans="1:12" ht="15">
      <c r="A842" s="754">
        <v>835</v>
      </c>
      <c r="B842" s="806"/>
      <c r="C842" s="807" t="s">
        <v>3592</v>
      </c>
      <c r="D842" s="808" t="s">
        <v>655</v>
      </c>
      <c r="E842" s="811">
        <f>2250000/1.1</f>
        <v>2045454.5454545452</v>
      </c>
      <c r="F842" s="809"/>
      <c r="G842" s="809"/>
      <c r="H842" s="814" t="s">
        <v>3593</v>
      </c>
      <c r="K842" s="746">
        <v>650000</v>
      </c>
      <c r="L842" s="764"/>
    </row>
    <row r="843" spans="1:12">
      <c r="A843" s="754">
        <v>836</v>
      </c>
      <c r="B843" s="806"/>
      <c r="C843" s="807" t="s">
        <v>3594</v>
      </c>
      <c r="D843" s="808" t="s">
        <v>677</v>
      </c>
      <c r="E843" s="809">
        <v>10416.666666666666</v>
      </c>
      <c r="F843" s="809"/>
      <c r="G843" s="809"/>
      <c r="H843" s="810"/>
      <c r="L843" s="764"/>
    </row>
    <row r="844" spans="1:12">
      <c r="A844" s="754">
        <v>837</v>
      </c>
      <c r="B844" s="806"/>
      <c r="C844" s="807"/>
      <c r="D844" s="808"/>
      <c r="E844" s="809"/>
      <c r="F844" s="809"/>
      <c r="G844" s="809"/>
      <c r="H844" s="810"/>
      <c r="L844" s="764"/>
    </row>
    <row r="845" spans="1:12">
      <c r="A845" s="754">
        <v>838</v>
      </c>
      <c r="B845" s="806"/>
      <c r="C845" s="807"/>
      <c r="D845" s="808"/>
      <c r="E845" s="809"/>
      <c r="F845" s="809"/>
      <c r="G845" s="809"/>
      <c r="H845" s="810"/>
      <c r="L845" s="764"/>
    </row>
    <row r="846" spans="1:12">
      <c r="A846" s="754">
        <v>839</v>
      </c>
      <c r="B846" s="806"/>
      <c r="C846" s="807"/>
      <c r="D846" s="808"/>
      <c r="E846" s="809"/>
      <c r="F846" s="809"/>
      <c r="G846" s="809"/>
      <c r="H846" s="810"/>
      <c r="L846" s="764"/>
    </row>
    <row r="847" spans="1:12">
      <c r="A847" s="754">
        <v>840</v>
      </c>
      <c r="B847" s="806"/>
      <c r="C847" s="807"/>
      <c r="D847" s="808"/>
      <c r="E847" s="809"/>
      <c r="F847" s="809"/>
      <c r="G847" s="809"/>
      <c r="H847" s="810"/>
    </row>
    <row r="848" spans="1:12">
      <c r="A848" s="815"/>
      <c r="B848" s="815"/>
      <c r="C848" s="816"/>
      <c r="D848" s="817"/>
      <c r="E848" s="818"/>
      <c r="F848" s="818"/>
      <c r="G848" s="818"/>
      <c r="H848" s="819"/>
    </row>
  </sheetData>
  <mergeCells count="1">
    <mergeCell ref="A1:H1"/>
  </mergeCells>
  <conditionalFormatting sqref="C690:C65536">
    <cfRule type="duplicateValues" dxfId="78" priority="71" stopIfTrue="1"/>
  </conditionalFormatting>
  <conditionalFormatting sqref="C261:C262">
    <cfRule type="duplicateValues" dxfId="77" priority="72" stopIfTrue="1"/>
  </conditionalFormatting>
  <conditionalFormatting sqref="C367">
    <cfRule type="duplicateValues" dxfId="76" priority="69" stopIfTrue="1"/>
  </conditionalFormatting>
  <conditionalFormatting sqref="C367">
    <cfRule type="duplicateValues" dxfId="75" priority="70" stopIfTrue="1"/>
  </conditionalFormatting>
  <conditionalFormatting sqref="C600">
    <cfRule type="duplicateValues" dxfId="74" priority="67" stopIfTrue="1"/>
  </conditionalFormatting>
  <conditionalFormatting sqref="C600">
    <cfRule type="duplicateValues" dxfId="73" priority="68" stopIfTrue="1"/>
  </conditionalFormatting>
  <conditionalFormatting sqref="C142">
    <cfRule type="duplicateValues" dxfId="72" priority="65" stopIfTrue="1"/>
  </conditionalFormatting>
  <conditionalFormatting sqref="C142">
    <cfRule type="duplicateValues" dxfId="71" priority="66" stopIfTrue="1"/>
  </conditionalFormatting>
  <conditionalFormatting sqref="C155">
    <cfRule type="duplicateValues" dxfId="70" priority="63" stopIfTrue="1"/>
  </conditionalFormatting>
  <conditionalFormatting sqref="C155">
    <cfRule type="duplicateValues" dxfId="69" priority="64" stopIfTrue="1"/>
  </conditionalFormatting>
  <conditionalFormatting sqref="C148">
    <cfRule type="duplicateValues" dxfId="68" priority="61" stopIfTrue="1"/>
  </conditionalFormatting>
  <conditionalFormatting sqref="C148">
    <cfRule type="duplicateValues" dxfId="67" priority="62" stopIfTrue="1"/>
  </conditionalFormatting>
  <conditionalFormatting sqref="C171">
    <cfRule type="duplicateValues" dxfId="66" priority="59" stopIfTrue="1"/>
  </conditionalFormatting>
  <conditionalFormatting sqref="C171">
    <cfRule type="duplicateValues" dxfId="65" priority="60" stopIfTrue="1"/>
  </conditionalFormatting>
  <conditionalFormatting sqref="C172:C173 C179 C175">
    <cfRule type="expression" dxfId="64" priority="75" stopIfTrue="1">
      <formula>AND(COUNTIF($C$172:$C$173, C172)+COUNTIF($C$179:$C$179, C172)+COUNTIF($C$175:$C$175, C172)&gt;1,NOT(ISBLANK(C172)))</formula>
    </cfRule>
  </conditionalFormatting>
  <conditionalFormatting sqref="C238:C246 C180 C165:C166">
    <cfRule type="expression" dxfId="63" priority="76" stopIfTrue="1">
      <formula>AND(COUNTIF($C$238:$C$246, C165)+COUNTIF($C$180:$C$180, C165)+COUNTIF($C$165:$C$166, C165)&gt;1,NOT(ISBLANK(C165)))</formula>
    </cfRule>
  </conditionalFormatting>
  <conditionalFormatting sqref="C393">
    <cfRule type="duplicateValues" dxfId="62" priority="57" stopIfTrue="1"/>
  </conditionalFormatting>
  <conditionalFormatting sqref="C393">
    <cfRule type="duplicateValues" dxfId="61" priority="58" stopIfTrue="1"/>
  </conditionalFormatting>
  <conditionalFormatting sqref="C410">
    <cfRule type="duplicateValues" dxfId="60" priority="55" stopIfTrue="1"/>
  </conditionalFormatting>
  <conditionalFormatting sqref="C410">
    <cfRule type="duplicateValues" dxfId="59" priority="56" stopIfTrue="1"/>
  </conditionalFormatting>
  <conditionalFormatting sqref="C413">
    <cfRule type="duplicateValues" dxfId="58" priority="53" stopIfTrue="1"/>
  </conditionalFormatting>
  <conditionalFormatting sqref="C413">
    <cfRule type="duplicateValues" dxfId="57" priority="54" stopIfTrue="1"/>
  </conditionalFormatting>
  <conditionalFormatting sqref="C417:C427">
    <cfRule type="duplicateValues" dxfId="56" priority="51" stopIfTrue="1"/>
  </conditionalFormatting>
  <conditionalFormatting sqref="C417:C427">
    <cfRule type="duplicateValues" dxfId="55" priority="52" stopIfTrue="1"/>
  </conditionalFormatting>
  <conditionalFormatting sqref="C433:C435">
    <cfRule type="duplicateValues" dxfId="54" priority="49" stopIfTrue="1"/>
  </conditionalFormatting>
  <conditionalFormatting sqref="C433:C435">
    <cfRule type="duplicateValues" dxfId="53" priority="50" stopIfTrue="1"/>
  </conditionalFormatting>
  <conditionalFormatting sqref="C451">
    <cfRule type="duplicateValues" dxfId="52" priority="47" stopIfTrue="1"/>
  </conditionalFormatting>
  <conditionalFormatting sqref="C451">
    <cfRule type="duplicateValues" dxfId="51" priority="48" stopIfTrue="1"/>
  </conditionalFormatting>
  <conditionalFormatting sqref="C510:C511">
    <cfRule type="duplicateValues" dxfId="50" priority="45" stopIfTrue="1"/>
  </conditionalFormatting>
  <conditionalFormatting sqref="C510:C511">
    <cfRule type="duplicateValues" dxfId="49" priority="46" stopIfTrue="1"/>
  </conditionalFormatting>
  <conditionalFormatting sqref="C515:C516">
    <cfRule type="duplicateValues" dxfId="48" priority="43" stopIfTrue="1"/>
  </conditionalFormatting>
  <conditionalFormatting sqref="C515:C516">
    <cfRule type="duplicateValues" dxfId="47" priority="44" stopIfTrue="1"/>
  </conditionalFormatting>
  <conditionalFormatting sqref="C562">
    <cfRule type="duplicateValues" dxfId="46" priority="41" stopIfTrue="1"/>
  </conditionalFormatting>
  <conditionalFormatting sqref="C562">
    <cfRule type="duplicateValues" dxfId="45" priority="42" stopIfTrue="1"/>
  </conditionalFormatting>
  <conditionalFormatting sqref="C538">
    <cfRule type="duplicateValues" dxfId="44" priority="39" stopIfTrue="1"/>
  </conditionalFormatting>
  <conditionalFormatting sqref="C538">
    <cfRule type="duplicateValues" dxfId="43" priority="40" stopIfTrue="1"/>
  </conditionalFormatting>
  <conditionalFormatting sqref="C542">
    <cfRule type="duplicateValues" dxfId="42" priority="37" stopIfTrue="1"/>
  </conditionalFormatting>
  <conditionalFormatting sqref="C542">
    <cfRule type="duplicateValues" dxfId="41" priority="38" stopIfTrue="1"/>
  </conditionalFormatting>
  <conditionalFormatting sqref="C601:C602">
    <cfRule type="duplicateValues" dxfId="40" priority="35" stopIfTrue="1"/>
  </conditionalFormatting>
  <conditionalFormatting sqref="C601:C602">
    <cfRule type="duplicateValues" dxfId="39" priority="36" stopIfTrue="1"/>
  </conditionalFormatting>
  <conditionalFormatting sqref="C603">
    <cfRule type="duplicateValues" dxfId="38" priority="33" stopIfTrue="1"/>
  </conditionalFormatting>
  <conditionalFormatting sqref="C603">
    <cfRule type="duplicateValues" dxfId="37" priority="34" stopIfTrue="1"/>
  </conditionalFormatting>
  <conditionalFormatting sqref="C604:C605">
    <cfRule type="duplicateValues" dxfId="36" priority="31" stopIfTrue="1"/>
  </conditionalFormatting>
  <conditionalFormatting sqref="C604:C605">
    <cfRule type="duplicateValues" dxfId="35" priority="32" stopIfTrue="1"/>
  </conditionalFormatting>
  <conditionalFormatting sqref="C606:C608">
    <cfRule type="duplicateValues" dxfId="34" priority="29" stopIfTrue="1"/>
  </conditionalFormatting>
  <conditionalFormatting sqref="C606:C608">
    <cfRule type="duplicateValues" dxfId="33" priority="30" stopIfTrue="1"/>
  </conditionalFormatting>
  <conditionalFormatting sqref="C35">
    <cfRule type="duplicateValues" dxfId="32" priority="27" stopIfTrue="1"/>
  </conditionalFormatting>
  <conditionalFormatting sqref="C35">
    <cfRule type="duplicateValues" dxfId="31" priority="28" stopIfTrue="1"/>
  </conditionalFormatting>
  <conditionalFormatting sqref="C91:C92">
    <cfRule type="duplicateValues" dxfId="30" priority="25" stopIfTrue="1"/>
  </conditionalFormatting>
  <conditionalFormatting sqref="C91:C92">
    <cfRule type="duplicateValues" dxfId="29" priority="26" stopIfTrue="1"/>
  </conditionalFormatting>
  <conditionalFormatting sqref="C690:C65536 C1:C5 C39 C67:C68 C80 C41:C42 C46:C48">
    <cfRule type="expression" dxfId="28" priority="77" stopIfTrue="1">
      <formula>AND(COUNTIF($C$690:$C$65536, C1)+COUNTIF($C$1:$C$5, C1)+COUNTIF($C$39:$C$39, C1)+COUNTIF($C$67:$C$68, C1)+COUNTIF($C$80:$C$80, C1)+COUNTIF($C$41:$C$42, C1)+COUNTIF($C$46:$C$48, C1)&gt;1,NOT(ISBLANK(C1)))</formula>
    </cfRule>
  </conditionalFormatting>
  <conditionalFormatting sqref="C203">
    <cfRule type="duplicateValues" dxfId="27" priority="23" stopIfTrue="1"/>
  </conditionalFormatting>
  <conditionalFormatting sqref="C203">
    <cfRule type="duplicateValues" dxfId="26" priority="24" stopIfTrue="1"/>
  </conditionalFormatting>
  <conditionalFormatting sqref="C104 C167:C170 C106 C85:C90 C49:C52 C69:C71 C58:C59 C174 C411:C412 C414:C416 C429:C432 C452:C464 C512:C514 C517:C537 C563:C599 C539:C541 C77 C110:C114 C394:C409 C149:C154 C156:C164 C247 C176:C178 C182:C200 C204:C208 C116:C119 C36 C121:C124 C93:C95 C230:C237 C202 C249:C260 C368:C392 C467:C509 C126:C140 C143:C147 C543:C561 C6:C7 C11:C14 C27:C29 C38 C16:C23 C263:C366 C436:C450 C609:C682 C685:C65536">
    <cfRule type="expression" dxfId="25" priority="78" stopIfTrue="1">
      <formula>#VALUE!</formula>
    </cfRule>
  </conditionalFormatting>
  <conditionalFormatting sqref="C411:C412 C167:C170 C85:C90 C106 C34 C174 C414:C416 C429:C432 C452:C464 C512:C514 C517:C537 C563:C599 C539:C541 C58:C59 C104 C394:C409 C149:C154 C156:C164 C247 C176:C178 C182:C200 C204:C208 C41:C42 C36 C110:C124 C93:C95 C230:C237 C202 C249:C260 C368:C392 C467:C509 C126:C140 C143:C147 C543:C561 C1:C7 C11:C14 C27:C29 C67:C74 C46:C52 C38:C39 C16:C23 C263:C366 C76:C80 C436:C450">
    <cfRule type="expression" dxfId="24" priority="79" stopIfTrue="1">
      <formula>#VALUE!</formula>
    </cfRule>
  </conditionalFormatting>
  <conditionalFormatting sqref="C465">
    <cfRule type="duplicateValues" dxfId="23" priority="21" stopIfTrue="1"/>
  </conditionalFormatting>
  <conditionalFormatting sqref="C465">
    <cfRule type="duplicateValues" dxfId="22" priority="22" stopIfTrue="1"/>
  </conditionalFormatting>
  <conditionalFormatting sqref="C141">
    <cfRule type="duplicateValues" dxfId="21" priority="19" stopIfTrue="1"/>
  </conditionalFormatting>
  <conditionalFormatting sqref="C141">
    <cfRule type="duplicateValues" dxfId="20" priority="20" stopIfTrue="1"/>
  </conditionalFormatting>
  <conditionalFormatting sqref="C428">
    <cfRule type="duplicateValues" dxfId="19" priority="17" stopIfTrue="1"/>
  </conditionalFormatting>
  <conditionalFormatting sqref="C428">
    <cfRule type="duplicateValues" dxfId="18" priority="18" stopIfTrue="1"/>
  </conditionalFormatting>
  <conditionalFormatting sqref="C466">
    <cfRule type="duplicateValues" dxfId="17" priority="15" stopIfTrue="1"/>
  </conditionalFormatting>
  <conditionalFormatting sqref="C466">
    <cfRule type="duplicateValues" dxfId="16" priority="16" stopIfTrue="1"/>
  </conditionalFormatting>
  <conditionalFormatting sqref="C26">
    <cfRule type="duplicateValues" dxfId="15" priority="13" stopIfTrue="1"/>
  </conditionalFormatting>
  <conditionalFormatting sqref="C26">
    <cfRule type="duplicateValues" dxfId="14" priority="14" stopIfTrue="1"/>
  </conditionalFormatting>
  <conditionalFormatting sqref="C44">
    <cfRule type="duplicateValues" dxfId="13" priority="11" stopIfTrue="1"/>
  </conditionalFormatting>
  <conditionalFormatting sqref="C44:C45">
    <cfRule type="duplicateValues" dxfId="12" priority="12" stopIfTrue="1"/>
  </conditionalFormatting>
  <conditionalFormatting sqref="C60:C66">
    <cfRule type="duplicateValues" dxfId="11" priority="9" stopIfTrue="1"/>
  </conditionalFormatting>
  <conditionalFormatting sqref="C60:C66">
    <cfRule type="duplicateValues" dxfId="10" priority="10" stopIfTrue="1"/>
  </conditionalFormatting>
  <conditionalFormatting sqref="C83">
    <cfRule type="duplicateValues" dxfId="9" priority="7" stopIfTrue="1"/>
  </conditionalFormatting>
  <conditionalFormatting sqref="C82:C83">
    <cfRule type="duplicateValues" dxfId="8" priority="8" stopIfTrue="1"/>
  </conditionalFormatting>
  <conditionalFormatting sqref="C75">
    <cfRule type="duplicateValues" dxfId="7" priority="5" stopIfTrue="1"/>
  </conditionalFormatting>
  <conditionalFormatting sqref="C75">
    <cfRule type="duplicateValues" dxfId="6" priority="6" stopIfTrue="1"/>
  </conditionalFormatting>
  <conditionalFormatting sqref="C8">
    <cfRule type="duplicateValues" dxfId="5" priority="3" stopIfTrue="1"/>
  </conditionalFormatting>
  <conditionalFormatting sqref="C8">
    <cfRule type="duplicateValues" dxfId="4" priority="4" stopIfTrue="1"/>
  </conditionalFormatting>
  <conditionalFormatting sqref="C100:C101">
    <cfRule type="duplicateValues" dxfId="3" priority="73" stopIfTrue="1"/>
  </conditionalFormatting>
  <conditionalFormatting sqref="C43">
    <cfRule type="duplicateValues" dxfId="2" priority="1" stopIfTrue="1"/>
  </conditionalFormatting>
  <conditionalFormatting sqref="C43">
    <cfRule type="duplicateValues" dxfId="1" priority="2" stopIfTrue="1"/>
  </conditionalFormatting>
  <conditionalFormatting sqref="C683:C684">
    <cfRule type="duplicateValues" dxfId="0" priority="74" stopIfTrue="1"/>
  </conditionalFormatting>
  <hyperlinks>
    <hyperlink ref="L819" r:id="rId1" xr:uid="{00000000-0004-0000-5E00-000000000000}"/>
    <hyperlink ref="L654" r:id="rId2" xr:uid="{00000000-0004-0000-5E00-000001000000}"/>
    <hyperlink ref="H612" r:id="rId3" xr:uid="{00000000-0004-0000-5E00-000002000000}"/>
    <hyperlink ref="H350" r:id="rId4" xr:uid="{00000000-0004-0000-5E00-000003000000}"/>
    <hyperlink ref="H351" r:id="rId5" xr:uid="{00000000-0004-0000-5E00-000004000000}"/>
    <hyperlink ref="H352" r:id="rId6" xr:uid="{00000000-0004-0000-5E00-000005000000}"/>
    <hyperlink ref="H472" r:id="rId7" xr:uid="{00000000-0004-0000-5E00-000006000000}"/>
    <hyperlink ref="H469" r:id="rId8" xr:uid="{00000000-0004-0000-5E00-000007000000}"/>
    <hyperlink ref="H525" r:id="rId9" xr:uid="{00000000-0004-0000-5E00-000008000000}"/>
    <hyperlink ref="H385" r:id="rId10" xr:uid="{00000000-0004-0000-5E00-000009000000}"/>
    <hyperlink ref="H389" r:id="rId11" xr:uid="{00000000-0004-0000-5E00-00000A000000}"/>
    <hyperlink ref="H743" r:id="rId12" xr:uid="{00000000-0004-0000-5E00-00000B000000}"/>
    <hyperlink ref="H741" r:id="rId13" xr:uid="{00000000-0004-0000-5E00-00000C000000}"/>
    <hyperlink ref="H742" r:id="rId14" xr:uid="{00000000-0004-0000-5E00-00000D000000}"/>
    <hyperlink ref="H744" r:id="rId15" xr:uid="{00000000-0004-0000-5E00-00000E000000}"/>
    <hyperlink ref="H734" r:id="rId16" xr:uid="{00000000-0004-0000-5E00-00000F000000}"/>
    <hyperlink ref="H735" r:id="rId17" xr:uid="{00000000-0004-0000-5E00-000010000000}"/>
    <hyperlink ref="H736" r:id="rId18" xr:uid="{00000000-0004-0000-5E00-000011000000}"/>
    <hyperlink ref="H737" r:id="rId19" xr:uid="{00000000-0004-0000-5E00-000012000000}"/>
    <hyperlink ref="H738" r:id="rId20" xr:uid="{00000000-0004-0000-5E00-000013000000}"/>
    <hyperlink ref="H739" r:id="rId21" xr:uid="{00000000-0004-0000-5E00-000014000000}"/>
    <hyperlink ref="H546" display="https://baoholaodong.dongphuctanbinh.com/san-pham/bang-canh-bao-duong-cap-quang-ngam/?utm_source=Google%20Shopping&amp;utm_campaign=bhld&amp;utm_medium=cpc&amp;utm_term=2154&amp;gclid=CjwKCAjwjMiiBhA4EiwAZe6jQ47BeZpcbAEhGUprN0cRfGsmygUmGzTlFozOEmVoI2RV9oDh9iVICRoCsssQAvD" xr:uid="{00000000-0004-0000-5E00-000015000000}"/>
    <hyperlink ref="H550" r:id="rId22" xr:uid="{00000000-0004-0000-5E00-000016000000}"/>
    <hyperlink ref="H554" r:id="rId23" xr:uid="{00000000-0004-0000-5E00-000017000000}"/>
    <hyperlink ref="H559" r:id="rId24" xr:uid="{00000000-0004-0000-5E00-000018000000}"/>
    <hyperlink ref="H560" r:id="rId25" xr:uid="{00000000-0004-0000-5E00-000019000000}"/>
    <hyperlink ref="H561" r:id="rId26" xr:uid="{00000000-0004-0000-5E00-00001A000000}"/>
    <hyperlink ref="H563" r:id="rId27" xr:uid="{00000000-0004-0000-5E00-00001B000000}"/>
    <hyperlink ref="H568" r:id="rId28" xr:uid="{00000000-0004-0000-5E00-00001C000000}"/>
    <hyperlink ref="H575" r:id="rId29" xr:uid="{00000000-0004-0000-5E00-00001D000000}"/>
    <hyperlink ref="H576" r:id="rId30" xr:uid="{00000000-0004-0000-5E00-00001E000000}"/>
    <hyperlink ref="H613" r:id="rId31" xr:uid="{00000000-0004-0000-5E00-00001F000000}"/>
    <hyperlink ref="H677" r:id="rId32" xr:uid="{00000000-0004-0000-5E00-000020000000}"/>
    <hyperlink ref="H678" r:id="rId33" xr:uid="{00000000-0004-0000-5E00-000021000000}"/>
    <hyperlink ref="H684" r:id="rId34" xr:uid="{00000000-0004-0000-5E00-000022000000}"/>
    <hyperlink ref="H686" r:id="rId35" xr:uid="{00000000-0004-0000-5E00-000023000000}"/>
    <hyperlink ref="H685" r:id="rId36" xr:uid="{00000000-0004-0000-5E00-000024000000}"/>
    <hyperlink ref="H687" r:id="rId37" xr:uid="{00000000-0004-0000-5E00-000025000000}"/>
    <hyperlink ref="H771" r:id="rId38" xr:uid="{00000000-0004-0000-5E00-000026000000}"/>
    <hyperlink ref="H772" r:id="rId39" xr:uid="{00000000-0004-0000-5E00-000027000000}"/>
    <hyperlink ref="H781" r:id="rId40" xr:uid="{00000000-0004-0000-5E00-000028000000}"/>
    <hyperlink ref="H797" r:id="rId41" xr:uid="{00000000-0004-0000-5E00-000029000000}"/>
    <hyperlink ref="H798" r:id="rId42" xr:uid="{00000000-0004-0000-5E00-00002A000000}"/>
    <hyperlink ref="H799" r:id="rId43" xr:uid="{00000000-0004-0000-5E00-00002B000000}"/>
    <hyperlink ref="H800" r:id="rId44" xr:uid="{00000000-0004-0000-5E00-00002C000000}"/>
    <hyperlink ref="H789" r:id="rId45" xr:uid="{00000000-0004-0000-5E00-00002D000000}"/>
    <hyperlink ref="H782" r:id="rId46" xr:uid="{00000000-0004-0000-5E00-00002E000000}"/>
    <hyperlink ref="H783" r:id="rId47" xr:uid="{00000000-0004-0000-5E00-00002F000000}"/>
    <hyperlink ref="H785" r:id="rId48" xr:uid="{00000000-0004-0000-5E00-000030000000}"/>
    <hyperlink ref="H780" r:id="rId49" xr:uid="{00000000-0004-0000-5E00-000031000000}"/>
    <hyperlink ref="H807" r:id="rId50" display="https://lotech.com.vn/Bao-Gia-Vo-Tu-Dien-Composite-3399Sp.html" xr:uid="{00000000-0004-0000-5E00-000032000000}"/>
    <hyperlink ref="H810" r:id="rId51" xr:uid="{00000000-0004-0000-5E00-000033000000}"/>
    <hyperlink ref="H604" r:id="rId52" xr:uid="{00000000-0004-0000-5E00-000034000000}"/>
    <hyperlink ref="H611" r:id="rId53" xr:uid="{00000000-0004-0000-5E00-000035000000}"/>
    <hyperlink ref="H717" r:id="rId54" location=":~:text=Gi%C3%A1%20b%C3%A1n%3A%20726.000%20vn%C4%91%2FC%C3%A1i." xr:uid="{00000000-0004-0000-5E00-000036000000}"/>
    <hyperlink ref="H718" r:id="rId55" location=":~:text=Gi%C3%A1%20b%C3%A1n%3A%20649.000%20vn%C4%91%2FC%C3%A1i." xr:uid="{00000000-0004-0000-5E00-000037000000}"/>
    <hyperlink ref="H745" r:id="rId56" xr:uid="{00000000-0004-0000-5E00-000038000000}"/>
    <hyperlink ref="H746" r:id="rId57" xr:uid="{00000000-0004-0000-5E00-000039000000}"/>
    <hyperlink ref="H747" r:id="rId58" xr:uid="{00000000-0004-0000-5E00-00003A000000}"/>
    <hyperlink ref="H748" r:id="rId59" xr:uid="{00000000-0004-0000-5E00-00003B000000}"/>
    <hyperlink ref="H751" r:id="rId60" xr:uid="{00000000-0004-0000-5E00-00003C000000}"/>
    <hyperlink ref="H768" r:id="rId61" xr:uid="{00000000-0004-0000-5E00-00003D000000}"/>
    <hyperlink ref="H767" r:id="rId62" xr:uid="{00000000-0004-0000-5E00-00003E000000}"/>
    <hyperlink ref="H640" r:id="rId63" xr:uid="{00000000-0004-0000-5E00-00003F000000}"/>
    <hyperlink ref="H642" r:id="rId64" xr:uid="{00000000-0004-0000-5E00-000040000000}"/>
    <hyperlink ref="H643" r:id="rId65" xr:uid="{00000000-0004-0000-5E00-000041000000}"/>
    <hyperlink ref="H644" r:id="rId66" xr:uid="{00000000-0004-0000-5E00-000042000000}"/>
    <hyperlink ref="H645" r:id="rId67" display="https://rangdong.com.vn/den-led-am-tran-downlight-12w-pr267.html" xr:uid="{00000000-0004-0000-5E00-000043000000}"/>
    <hyperlink ref="H40" r:id="rId68" xr:uid="{00000000-0004-0000-5E00-000044000000}"/>
    <hyperlink ref="H652" r:id="rId69" display="https://www.mpe.com.vn/bong-den-led-tube-nhom-t8-mpe-1m2" xr:uid="{00000000-0004-0000-5E00-000045000000}"/>
    <hyperlink ref="H651" r:id="rId70" display="https://www.mpe.com.vn/bong-den-led-tube-nhom-t8-mpe-1m2" xr:uid="{00000000-0004-0000-5E00-000046000000}"/>
    <hyperlink ref="H646:H650" r:id="rId71" display="https://rangdong.com.vn/den-led-am-tran-downlight-12w-pr267.html" xr:uid="{00000000-0004-0000-5E00-000047000000}"/>
    <hyperlink ref="H719" r:id="rId72" xr:uid="{00000000-0004-0000-5E00-000048000000}"/>
    <hyperlink ref="H720" r:id="rId73" xr:uid="{00000000-0004-0000-5E00-000049000000}"/>
    <hyperlink ref="H558" r:id="rId74" xr:uid="{00000000-0004-0000-5E00-00004A000000}"/>
    <hyperlink ref="H557" r:id="rId75" xr:uid="{00000000-0004-0000-5E00-00004B000000}"/>
    <hyperlink ref="H605" display="https://phongvu.vn/cap-noi-hdmi-elecom-dh-hdp14e10bk--s1705102?utm_source=gg-ad&amp;utm_medium=pmax&amp;utm_campaign=accessories-cpm&amp;utm_content=responsive&amp;utm_term=gear&amp;utm_agent=alwayson&amp;gclid=Cj0KCQjwz8emBhDrARIsANNJjS65zZ8PWhugKHNyLa5ypNOxMe1xX9LtqDqGlqqjYb6v" xr:uid="{00000000-0004-0000-5E00-00004C000000}"/>
    <hyperlink ref="H823" r:id="rId76" xr:uid="{00000000-0004-0000-5E00-00004D000000}"/>
    <hyperlink ref="H632" r:id="rId77" xr:uid="{00000000-0004-0000-5E00-00004E000000}"/>
    <hyperlink ref="H769" r:id="rId78" xr:uid="{00000000-0004-0000-5E00-00004F000000}"/>
    <hyperlink ref="H784" r:id="rId79" xr:uid="{00000000-0004-0000-5E00-000050000000}"/>
    <hyperlink ref="H790" r:id="rId80" xr:uid="{00000000-0004-0000-5E00-000051000000}"/>
    <hyperlink ref="H809" r:id="rId81" display="https://lotech.com.vn/Bao-Gia-Vo-Tu-Dien-Composite-3399Sp.html" xr:uid="{00000000-0004-0000-5E00-000052000000}"/>
    <hyperlink ref="H806" r:id="rId82" display="https://lotech.com.vn/Bao-Gia-Vo-Tu-Dien-Composite-3399Sp.html" xr:uid="{00000000-0004-0000-5E00-000053000000}"/>
    <hyperlink ref="H447" r:id="rId83" display="https://www.tdm.vn/van-xa-bon-tieu-nam-inax-uf-7v.html" xr:uid="{00000000-0004-0000-5E00-000054000000}"/>
    <hyperlink ref="H527" r:id="rId84" xr:uid="{00000000-0004-0000-5E00-000055000000}"/>
    <hyperlink ref="H526" r:id="rId85" xr:uid="{00000000-0004-0000-5E00-000056000000}"/>
    <hyperlink ref="H529" r:id="rId86" display="https://www.tdm.vn/voi-sen-inax-bfv-17-4c-lanh.html" xr:uid="{00000000-0004-0000-5E00-000057000000}"/>
    <hyperlink ref="H842" r:id="rId87" xr:uid="{00000000-0004-0000-5E00-000058000000}"/>
    <hyperlink ref="H808" r:id="rId88" display="https://lotech.com.vn/Bao-Gia-Vo-Tu-Dien-Composite-3399Sp.html" xr:uid="{00000000-0004-0000-5E00-000059000000}"/>
  </hyperlinks>
  <pageMargins left="0.7" right="0.7" top="0.75" bottom="0.75" header="0.3" footer="0.3"/>
  <drawing r:id="rId89"/>
  <legacyDrawing r:id="rId9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outlinePr summaryBelow="0"/>
  </sheetPr>
  <dimension ref="A1:G22"/>
  <sheetViews>
    <sheetView showZeros="0" view="pageBreakPreview" zoomScaleSheetLayoutView="100" workbookViewId="0">
      <selection activeCell="B11" sqref="B11"/>
    </sheetView>
  </sheetViews>
  <sheetFormatPr defaultColWidth="9.140625" defaultRowHeight="14.25"/>
  <cols>
    <col min="1" max="1" width="6.42578125" style="185" bestFit="1" customWidth="1"/>
    <col min="2" max="2" width="85.140625" style="185" customWidth="1"/>
    <col min="3" max="3" width="39.42578125" style="185" hidden="1" customWidth="1"/>
    <col min="4" max="4" width="18" style="185" hidden="1" customWidth="1"/>
    <col min="5" max="6" width="15.42578125" style="185" hidden="1" customWidth="1"/>
    <col min="7" max="7" width="17" style="185" customWidth="1"/>
    <col min="8" max="16384" width="9.140625" style="185"/>
  </cols>
  <sheetData>
    <row r="1" spans="1:7" ht="76.5">
      <c r="A1" s="323" t="s">
        <v>3595</v>
      </c>
      <c r="B1" s="324"/>
      <c r="C1" s="324"/>
      <c r="D1" s="324"/>
      <c r="E1" s="324"/>
      <c r="F1" s="324"/>
      <c r="G1" s="324"/>
    </row>
    <row r="2" spans="1:7" ht="7.5" customHeight="1">
      <c r="A2" s="187"/>
      <c r="B2" s="187"/>
      <c r="C2" s="187"/>
      <c r="D2" s="187"/>
      <c r="E2" s="187"/>
      <c r="F2" s="187"/>
      <c r="G2" s="187"/>
    </row>
    <row r="3" spans="1:7" ht="20.25">
      <c r="A3" s="325" t="e">
        <f>#REF!</f>
        <v>#REF!</v>
      </c>
      <c r="B3" s="187"/>
      <c r="C3" s="187"/>
      <c r="D3" s="187"/>
      <c r="E3" s="187"/>
      <c r="F3" s="187"/>
      <c r="G3" s="187"/>
    </row>
    <row r="4" spans="1:7" ht="17.25">
      <c r="A4" s="326" t="e">
        <f>#REF!</f>
        <v>#REF!</v>
      </c>
      <c r="B4" s="187"/>
      <c r="C4" s="187"/>
      <c r="D4" s="187"/>
      <c r="E4" s="187"/>
      <c r="F4" s="187"/>
      <c r="G4" s="187"/>
    </row>
    <row r="5" spans="1:7" ht="17.25">
      <c r="A5" s="327" t="e">
        <f>#REF!</f>
        <v>#REF!</v>
      </c>
      <c r="B5" s="187"/>
      <c r="C5" s="187"/>
      <c r="D5" s="187"/>
      <c r="E5" s="187"/>
      <c r="F5" s="187"/>
      <c r="G5" s="187"/>
    </row>
    <row r="6" spans="1:7">
      <c r="A6" s="186"/>
      <c r="B6" s="186"/>
      <c r="C6" s="186"/>
      <c r="D6" s="328"/>
      <c r="G6" s="328" t="s">
        <v>352</v>
      </c>
    </row>
    <row r="7" spans="1:7">
      <c r="A7" s="329" t="s">
        <v>51</v>
      </c>
      <c r="B7" s="329" t="s">
        <v>52</v>
      </c>
      <c r="C7" s="329" t="s">
        <v>54</v>
      </c>
      <c r="D7" s="329" t="s">
        <v>3596</v>
      </c>
      <c r="E7" s="329" t="s">
        <v>3596</v>
      </c>
      <c r="F7" s="329" t="s">
        <v>356</v>
      </c>
      <c r="G7" s="329" t="s">
        <v>3597</v>
      </c>
    </row>
    <row r="8" spans="1:7">
      <c r="A8" s="330"/>
      <c r="B8" s="331"/>
      <c r="C8" s="331"/>
      <c r="D8" s="331" t="s">
        <v>3598</v>
      </c>
      <c r="E8" s="331" t="s">
        <v>354</v>
      </c>
      <c r="F8" s="331" t="s">
        <v>359</v>
      </c>
      <c r="G8" s="331" t="s">
        <v>359</v>
      </c>
    </row>
    <row r="9" spans="1:7">
      <c r="A9" s="332" t="s">
        <v>360</v>
      </c>
      <c r="B9" s="332" t="s">
        <v>361</v>
      </c>
      <c r="C9" s="332"/>
      <c r="D9" s="332" t="s">
        <v>362</v>
      </c>
      <c r="E9" s="332" t="s">
        <v>363</v>
      </c>
      <c r="F9" s="332" t="s">
        <v>1996</v>
      </c>
      <c r="G9" s="332" t="s">
        <v>362</v>
      </c>
    </row>
    <row r="10" spans="1:7" s="336" customFormat="1" ht="17.25" customHeight="1">
      <c r="A10" s="333"/>
      <c r="B10" s="334"/>
      <c r="C10" s="334"/>
      <c r="D10" s="335"/>
      <c r="E10" s="335"/>
      <c r="F10" s="335"/>
      <c r="G10" s="335"/>
    </row>
    <row r="11" spans="1:7">
      <c r="A11" s="337">
        <v>1</v>
      </c>
      <c r="B11" s="338" t="s">
        <v>3599</v>
      </c>
      <c r="C11" s="339" t="s">
        <v>3600</v>
      </c>
      <c r="D11" s="321">
        <f>260396330/1.1</f>
        <v>236723936.36363634</v>
      </c>
      <c r="E11" s="321">
        <f>D11*10%</f>
        <v>23672393.636363637</v>
      </c>
      <c r="F11" s="321">
        <v>354796537</v>
      </c>
      <c r="G11" s="321">
        <f>E11+D11</f>
        <v>260396329.99999997</v>
      </c>
    </row>
    <row r="12" spans="1:7">
      <c r="A12" s="337">
        <v>2</v>
      </c>
      <c r="B12" s="338" t="s">
        <v>3601</v>
      </c>
      <c r="C12" s="339"/>
      <c r="D12" s="321">
        <f>F12/1.1</f>
        <v>322542306.36363631</v>
      </c>
      <c r="E12" s="321">
        <f>D12*10%</f>
        <v>32254230.636363633</v>
      </c>
      <c r="F12" s="321">
        <v>354796537</v>
      </c>
      <c r="G12" s="321">
        <f>E12+D12</f>
        <v>354796536.99999994</v>
      </c>
    </row>
    <row r="13" spans="1:7">
      <c r="A13" s="337">
        <v>3</v>
      </c>
      <c r="B13" s="338" t="s">
        <v>508</v>
      </c>
      <c r="C13" s="339" t="s">
        <v>3602</v>
      </c>
      <c r="D13" s="321">
        <v>15192579</v>
      </c>
      <c r="E13" s="321">
        <f>D13*10%*0</f>
        <v>0</v>
      </c>
      <c r="F13" s="321"/>
      <c r="G13" s="321">
        <f>SUM(D13:E13)</f>
        <v>15192579</v>
      </c>
    </row>
    <row r="14" spans="1:7">
      <c r="A14" s="337">
        <v>4</v>
      </c>
      <c r="B14" s="338" t="s">
        <v>514</v>
      </c>
      <c r="C14" s="339"/>
      <c r="D14" s="321">
        <v>43300461</v>
      </c>
      <c r="E14" s="321"/>
      <c r="F14" s="321"/>
      <c r="G14" s="321">
        <f>SUM(D14:E14)</f>
        <v>43300461</v>
      </c>
    </row>
    <row r="15" spans="1:7">
      <c r="A15" s="337">
        <v>5</v>
      </c>
      <c r="B15" s="338" t="s">
        <v>558</v>
      </c>
      <c r="C15" s="339"/>
      <c r="D15" s="321">
        <v>13072771</v>
      </c>
      <c r="E15" s="321"/>
      <c r="F15" s="321"/>
      <c r="G15" s="321">
        <f>SUM(D15:E15)</f>
        <v>13072771</v>
      </c>
    </row>
    <row r="16" spans="1:7">
      <c r="A16" s="337">
        <v>6</v>
      </c>
      <c r="B16" s="338" t="s">
        <v>598</v>
      </c>
      <c r="C16" s="339"/>
      <c r="D16" s="321">
        <v>34337934</v>
      </c>
      <c r="E16" s="321"/>
      <c r="F16" s="321"/>
      <c r="G16" s="321">
        <f>SUM(D16:E16)</f>
        <v>34337934</v>
      </c>
    </row>
    <row r="17" spans="1:7" hidden="1">
      <c r="A17" s="337">
        <v>3</v>
      </c>
      <c r="B17" s="338" t="s">
        <v>3603</v>
      </c>
      <c r="C17" s="339" t="s">
        <v>3604</v>
      </c>
      <c r="D17" s="321">
        <f>G11/1.1*3.7%</f>
        <v>8758785.6454545446</v>
      </c>
      <c r="E17" s="321">
        <f>D17*10%</f>
        <v>875878.56454545446</v>
      </c>
      <c r="F17" s="321"/>
      <c r="G17" s="321"/>
    </row>
    <row r="18" spans="1:7" ht="28.5" hidden="1">
      <c r="A18" s="337">
        <v>4</v>
      </c>
      <c r="B18" s="338" t="s">
        <v>3605</v>
      </c>
      <c r="C18" s="339" t="s">
        <v>3606</v>
      </c>
      <c r="D18" s="321">
        <f>D11*(0.238%+0.231%)</f>
        <v>1110235.2615454544</v>
      </c>
      <c r="E18" s="321">
        <f>D18*10%</f>
        <v>111023.52615454544</v>
      </c>
      <c r="F18" s="321"/>
      <c r="G18" s="321"/>
    </row>
    <row r="19" spans="1:7" hidden="1">
      <c r="A19" s="337">
        <v>5</v>
      </c>
      <c r="B19" s="338" t="s">
        <v>3607</v>
      </c>
      <c r="C19" s="339" t="s">
        <v>3608</v>
      </c>
      <c r="D19" s="321">
        <f>D11*2.806%+F11/1.1*0.918%</f>
        <v>9603412.0267818179</v>
      </c>
      <c r="E19" s="321">
        <f>D19*10%</f>
        <v>960341.20267818181</v>
      </c>
      <c r="F19" s="321"/>
      <c r="G19" s="321"/>
    </row>
    <row r="20" spans="1:7" hidden="1">
      <c r="A20" s="337">
        <v>6</v>
      </c>
      <c r="B20" s="338" t="s">
        <v>3609</v>
      </c>
      <c r="C20" s="339" t="s">
        <v>3610</v>
      </c>
      <c r="D20" s="321">
        <f>G11/1.1*0.285%</f>
        <v>674663.2186363634</v>
      </c>
      <c r="E20" s="321">
        <f>D20*10%</f>
        <v>67466.321863636345</v>
      </c>
      <c r="F20" s="321"/>
      <c r="G20" s="321"/>
    </row>
    <row r="21" spans="1:7">
      <c r="A21" s="340"/>
      <c r="B21" s="341"/>
      <c r="C21" s="341"/>
      <c r="D21" s="342"/>
      <c r="E21" s="342"/>
      <c r="F21" s="342"/>
      <c r="G21" s="342"/>
    </row>
    <row r="22" spans="1:7">
      <c r="A22" s="343"/>
      <c r="B22" s="344" t="s">
        <v>397</v>
      </c>
      <c r="C22" s="345"/>
      <c r="D22" s="346">
        <f>SUM(D11:D21)</f>
        <v>685317083.87969077</v>
      </c>
      <c r="E22" s="346">
        <f>SUM(E11:E21)</f>
        <v>57941333.887969084</v>
      </c>
      <c r="F22" s="346">
        <f>SUM(F11:F21)</f>
        <v>709593074</v>
      </c>
      <c r="G22" s="346">
        <f>SUM(G11:G21)</f>
        <v>721096611.99999988</v>
      </c>
    </row>
  </sheetData>
  <printOptions horizontalCentered="1"/>
  <pageMargins left="0.31496062992125984" right="0.15748031496062992" top="0.39370078740157483" bottom="0.39370078740157483" header="0.15748031496062992" footer="0.15748031496062992"/>
  <pageSetup paperSize="9" scale="80" orientation="landscape" blackAndWhite="1" r:id="rId1"/>
  <headerFooter alignWithMargins="0">
    <oddHeader>&amp;L&amp;"VNI-Aptima,Italic"&amp;8&amp;F&amp;R&amp;"VNI-Aptima,Italic"&amp;8&amp;A</oddHeader>
    <oddFooter>&amp;C&amp;"VNI-Aptima,Italic"&amp;8TRANG THU &amp;P/&amp;N</oddFooter>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I34"/>
  <sheetViews>
    <sheetView view="pageBreakPreview" zoomScale="120" zoomScaleSheetLayoutView="120" workbookViewId="0">
      <selection activeCell="G19" sqref="G19"/>
    </sheetView>
  </sheetViews>
  <sheetFormatPr defaultColWidth="9.140625" defaultRowHeight="14.25"/>
  <cols>
    <col min="1" max="1" width="33.85546875" style="186" customWidth="1"/>
    <col min="2" max="2" width="9.28515625" style="186" bestFit="1" customWidth="1"/>
    <col min="3" max="3" width="14.42578125" style="186" bestFit="1" customWidth="1"/>
    <col min="4" max="6" width="9.28515625" style="186" bestFit="1" customWidth="1"/>
    <col min="7" max="7" width="25.7109375" style="186" customWidth="1"/>
    <col min="8" max="8" width="17.140625" style="186" customWidth="1"/>
    <col min="9" max="16384" width="9.140625" style="186"/>
  </cols>
  <sheetData>
    <row r="1" spans="1:8" ht="25.5">
      <c r="A1" s="202" t="e">
        <f>#REF!</f>
        <v>#REF!</v>
      </c>
      <c r="B1" s="203"/>
      <c r="C1" s="203"/>
      <c r="D1" s="203"/>
      <c r="E1" s="203"/>
      <c r="F1" s="203"/>
      <c r="G1" s="203"/>
    </row>
    <row r="2" spans="1:8">
      <c r="A2" s="204" t="e">
        <f>#REF!</f>
        <v>#REF!</v>
      </c>
      <c r="B2" s="203"/>
      <c r="C2" s="203"/>
      <c r="D2" s="203"/>
      <c r="E2" s="203"/>
      <c r="F2" s="203"/>
      <c r="G2" s="203"/>
    </row>
    <row r="3" spans="1:8">
      <c r="A3" s="205" t="s">
        <v>3611</v>
      </c>
      <c r="B3" s="203"/>
      <c r="C3" s="203"/>
      <c r="D3" s="203"/>
      <c r="E3" s="203"/>
      <c r="F3" s="203"/>
      <c r="G3" s="203"/>
    </row>
    <row r="5" spans="1:8">
      <c r="A5" s="206" t="s">
        <v>3612</v>
      </c>
      <c r="B5" s="207">
        <v>2011</v>
      </c>
      <c r="C5" s="207"/>
      <c r="D5" s="207"/>
      <c r="E5" s="207"/>
      <c r="F5" s="207"/>
      <c r="G5" s="208"/>
    </row>
    <row r="6" spans="1:8">
      <c r="A6" s="206" t="s">
        <v>3613</v>
      </c>
      <c r="B6" s="209">
        <v>2011</v>
      </c>
      <c r="C6" s="209">
        <v>2012</v>
      </c>
      <c r="D6" s="209">
        <v>2013</v>
      </c>
      <c r="E6" s="209">
        <v>2014</v>
      </c>
      <c r="F6" s="209">
        <v>2015</v>
      </c>
      <c r="G6" s="208"/>
    </row>
    <row r="7" spans="1:8">
      <c r="A7" s="206" t="s">
        <v>3614</v>
      </c>
      <c r="B7" s="210">
        <v>100</v>
      </c>
      <c r="C7" s="211">
        <v>113.24</v>
      </c>
      <c r="D7" s="212">
        <v>114.6</v>
      </c>
      <c r="E7" s="212">
        <v>111.81</v>
      </c>
      <c r="F7" s="212">
        <v>115.89</v>
      </c>
      <c r="G7" s="208"/>
      <c r="H7" s="186">
        <v>215.85</v>
      </c>
    </row>
    <row r="8" spans="1:8">
      <c r="A8" s="206" t="s">
        <v>3615</v>
      </c>
      <c r="B8" s="206"/>
      <c r="C8" s="213">
        <f>ROUND(C7/B7*100,2)</f>
        <v>113.24</v>
      </c>
      <c r="D8" s="206">
        <f>ROUND(D7/C7*100,2)</f>
        <v>101.2</v>
      </c>
      <c r="E8" s="206">
        <f>ROUND(E7/D7*100,2)</f>
        <v>97.57</v>
      </c>
      <c r="F8" s="206">
        <f>ROUND(F7/E7*100,2)</f>
        <v>103.65</v>
      </c>
      <c r="G8" s="208"/>
    </row>
    <row r="9" spans="1:8" ht="20.25">
      <c r="A9" s="214" t="s">
        <v>3616</v>
      </c>
      <c r="B9" s="215">
        <f>ROUND(SUM(C8:F8)/4,2)</f>
        <v>103.92</v>
      </c>
      <c r="C9" s="207"/>
      <c r="D9" s="207"/>
      <c r="E9" s="207"/>
      <c r="F9" s="207"/>
      <c r="G9" s="208"/>
      <c r="H9" s="186">
        <f>165.38/1.0984</f>
        <v>150.564457392571</v>
      </c>
    </row>
    <row r="10" spans="1:8">
      <c r="A10" s="216"/>
      <c r="B10" s="217"/>
      <c r="C10" s="218"/>
      <c r="D10" s="218"/>
      <c r="E10" s="218"/>
      <c r="F10" s="218"/>
      <c r="G10" s="218"/>
    </row>
    <row r="12" spans="1:8">
      <c r="A12" s="209"/>
      <c r="B12" s="206" t="s">
        <v>3617</v>
      </c>
      <c r="C12" s="206" t="s">
        <v>3618</v>
      </c>
      <c r="D12" s="206" t="s">
        <v>3619</v>
      </c>
      <c r="E12" s="206" t="s">
        <v>3620</v>
      </c>
      <c r="F12" s="206"/>
      <c r="G12" s="206" t="s">
        <v>3621</v>
      </c>
    </row>
    <row r="13" spans="1:8">
      <c r="A13" s="206" t="s">
        <v>3622</v>
      </c>
      <c r="B13" s="206">
        <v>1</v>
      </c>
      <c r="C13" s="219" t="e">
        <f>'B THKP'!P143/5%*50%</f>
        <v>#REF!</v>
      </c>
      <c r="D13" s="220" t="e">
        <f t="shared" ref="D13:D18" si="0">C13*30%*12*1.5%*0</f>
        <v>#REF!</v>
      </c>
      <c r="E13" s="221">
        <f>(B9-100)/100</f>
        <v>3.920000000000002E-2</v>
      </c>
      <c r="F13" s="221"/>
      <c r="G13" s="220" t="e">
        <f t="shared" ref="G13:G18" si="1">(C13-D13)*((1+E13+F13)^B13-1)</f>
        <v>#REF!</v>
      </c>
      <c r="H13" s="222">
        <f>E13+F13</f>
        <v>3.920000000000002E-2</v>
      </c>
    </row>
    <row r="14" spans="1:8">
      <c r="A14" s="206" t="s">
        <v>3623</v>
      </c>
      <c r="B14" s="206">
        <v>1</v>
      </c>
      <c r="C14" s="219" t="e">
        <f>'B THKP'!Q143/5%*50%</f>
        <v>#REF!</v>
      </c>
      <c r="D14" s="220" t="e">
        <f t="shared" si="0"/>
        <v>#REF!</v>
      </c>
      <c r="E14" s="221">
        <f>E13</f>
        <v>3.920000000000002E-2</v>
      </c>
      <c r="F14" s="221"/>
      <c r="G14" s="220" t="e">
        <f t="shared" si="1"/>
        <v>#REF!</v>
      </c>
    </row>
    <row r="15" spans="1:8">
      <c r="A15" s="206" t="s">
        <v>3624</v>
      </c>
      <c r="B15" s="206">
        <v>2</v>
      </c>
      <c r="C15" s="219" t="e">
        <f>C13/50%*50%</f>
        <v>#REF!</v>
      </c>
      <c r="D15" s="220" t="e">
        <f t="shared" si="0"/>
        <v>#REF!</v>
      </c>
      <c r="E15" s="221">
        <f>E13</f>
        <v>3.920000000000002E-2</v>
      </c>
      <c r="F15" s="221"/>
      <c r="G15" s="220" t="e">
        <f t="shared" si="1"/>
        <v>#REF!</v>
      </c>
    </row>
    <row r="16" spans="1:8">
      <c r="A16" s="206" t="s">
        <v>3625</v>
      </c>
      <c r="B16" s="206">
        <v>2</v>
      </c>
      <c r="C16" s="219" t="e">
        <f>C14/50%*50%</f>
        <v>#REF!</v>
      </c>
      <c r="D16" s="220" t="e">
        <f t="shared" si="0"/>
        <v>#REF!</v>
      </c>
      <c r="E16" s="221">
        <f>E15</f>
        <v>3.920000000000002E-2</v>
      </c>
      <c r="F16" s="221"/>
      <c r="G16" s="220" t="e">
        <f t="shared" si="1"/>
        <v>#REF!</v>
      </c>
      <c r="H16" s="186" t="s">
        <v>3626</v>
      </c>
    </row>
    <row r="17" spans="1:9" hidden="1">
      <c r="A17" s="206" t="s">
        <v>3627</v>
      </c>
      <c r="B17" s="206">
        <v>3</v>
      </c>
      <c r="C17" s="219" t="e">
        <f>C15*0</f>
        <v>#REF!</v>
      </c>
      <c r="D17" s="220" t="e">
        <f t="shared" si="0"/>
        <v>#REF!</v>
      </c>
      <c r="E17" s="221">
        <f>E15</f>
        <v>3.920000000000002E-2</v>
      </c>
      <c r="F17" s="221"/>
      <c r="G17" s="220" t="e">
        <f t="shared" si="1"/>
        <v>#REF!</v>
      </c>
    </row>
    <row r="18" spans="1:9" hidden="1">
      <c r="A18" s="206" t="s">
        <v>3628</v>
      </c>
      <c r="B18" s="206">
        <v>3</v>
      </c>
      <c r="C18" s="219" t="e">
        <f>C16*0</f>
        <v>#REF!</v>
      </c>
      <c r="D18" s="220" t="e">
        <f t="shared" si="0"/>
        <v>#REF!</v>
      </c>
      <c r="E18" s="221">
        <f>E17</f>
        <v>3.920000000000002E-2</v>
      </c>
      <c r="F18" s="221"/>
      <c r="G18" s="220" t="e">
        <f t="shared" si="1"/>
        <v>#REF!</v>
      </c>
      <c r="H18" s="186" t="s">
        <v>3626</v>
      </c>
    </row>
    <row r="19" spans="1:9">
      <c r="A19" s="223"/>
      <c r="B19" s="224"/>
      <c r="C19" s="225"/>
      <c r="D19" s="224"/>
      <c r="E19" s="226" t="s">
        <v>3629</v>
      </c>
      <c r="F19" s="225" t="s">
        <v>3630</v>
      </c>
      <c r="G19" s="227" t="e">
        <f>SUM(G13:G16)</f>
        <v>#REF!</v>
      </c>
      <c r="H19" s="228" t="e">
        <f>G13+G15</f>
        <v>#REF!</v>
      </c>
    </row>
    <row r="20" spans="1:9">
      <c r="H20" s="222">
        <f>E13+F13</f>
        <v>3.920000000000002E-2</v>
      </c>
    </row>
    <row r="22" spans="1:9">
      <c r="G22" s="229"/>
    </row>
    <row r="27" spans="1:9">
      <c r="A27" s="209"/>
      <c r="B27" s="206" t="s">
        <v>3617</v>
      </c>
      <c r="C27" s="206" t="s">
        <v>3618</v>
      </c>
      <c r="D27" s="206" t="s">
        <v>3619</v>
      </c>
      <c r="E27" s="206" t="s">
        <v>3620</v>
      </c>
      <c r="F27" s="206"/>
      <c r="G27" s="206" t="s">
        <v>3621</v>
      </c>
    </row>
    <row r="28" spans="1:9">
      <c r="A28" s="206" t="s">
        <v>3631</v>
      </c>
      <c r="B28" s="206">
        <v>1</v>
      </c>
      <c r="C28" s="219">
        <f>6800000/1.1</f>
        <v>6181818.1818181816</v>
      </c>
      <c r="D28" s="220">
        <f t="shared" ref="D28:D33" si="2">C28*30%*12*1.5%*0</f>
        <v>0</v>
      </c>
      <c r="E28" s="221">
        <f>(B9-100)/100</f>
        <v>3.920000000000002E-2</v>
      </c>
      <c r="F28" s="221"/>
      <c r="G28" s="220">
        <f t="shared" ref="G28:G33" si="3">(C28-D28)*((1+E28+F28)^B28-1)</f>
        <v>242327.27272727349</v>
      </c>
      <c r="H28" s="222">
        <f>E28+F28</f>
        <v>3.920000000000002E-2</v>
      </c>
      <c r="I28" s="315">
        <f>G28/C28</f>
        <v>3.9200000000000124E-2</v>
      </c>
    </row>
    <row r="29" spans="1:9">
      <c r="A29" s="206" t="s">
        <v>3632</v>
      </c>
      <c r="B29" s="206">
        <v>1</v>
      </c>
      <c r="C29" s="219">
        <f>'B THKP'!Q157*20%</f>
        <v>0</v>
      </c>
      <c r="D29" s="220">
        <f t="shared" si="2"/>
        <v>0</v>
      </c>
      <c r="E29" s="221">
        <f>E28</f>
        <v>3.920000000000002E-2</v>
      </c>
      <c r="F29" s="221"/>
      <c r="G29" s="220">
        <f t="shared" si="3"/>
        <v>0</v>
      </c>
    </row>
    <row r="30" spans="1:9">
      <c r="A30" s="206" t="s">
        <v>3633</v>
      </c>
      <c r="B30" s="206">
        <v>2</v>
      </c>
      <c r="C30" s="219">
        <f>C28/20%*40%</f>
        <v>12363636.363636363</v>
      </c>
      <c r="D30" s="220">
        <f t="shared" si="2"/>
        <v>0</v>
      </c>
      <c r="E30" s="221">
        <f>E28</f>
        <v>3.920000000000002E-2</v>
      </c>
      <c r="F30" s="221"/>
      <c r="G30" s="220">
        <f t="shared" si="3"/>
        <v>988307.54909091326</v>
      </c>
    </row>
    <row r="31" spans="1:9">
      <c r="A31" s="206" t="s">
        <v>3634</v>
      </c>
      <c r="B31" s="206">
        <v>2</v>
      </c>
      <c r="C31" s="219">
        <f>C29/20%*40%</f>
        <v>0</v>
      </c>
      <c r="D31" s="220">
        <f t="shared" si="2"/>
        <v>0</v>
      </c>
      <c r="E31" s="221">
        <f>E30</f>
        <v>3.920000000000002E-2</v>
      </c>
      <c r="F31" s="221"/>
      <c r="G31" s="220">
        <f t="shared" si="3"/>
        <v>0</v>
      </c>
      <c r="H31" s="186" t="s">
        <v>3626</v>
      </c>
    </row>
    <row r="32" spans="1:9">
      <c r="A32" s="206" t="s">
        <v>3627</v>
      </c>
      <c r="B32" s="206">
        <v>3</v>
      </c>
      <c r="C32" s="219">
        <f>C30</f>
        <v>12363636.363636363</v>
      </c>
      <c r="D32" s="220">
        <f t="shared" si="2"/>
        <v>0</v>
      </c>
      <c r="E32" s="221">
        <f>E30</f>
        <v>3.920000000000002E-2</v>
      </c>
      <c r="F32" s="221"/>
      <c r="G32" s="220">
        <f t="shared" si="3"/>
        <v>1511703.7504698234</v>
      </c>
    </row>
    <row r="33" spans="1:8">
      <c r="A33" s="206" t="s">
        <v>3628</v>
      </c>
      <c r="B33" s="206">
        <v>3</v>
      </c>
      <c r="C33" s="219">
        <f>C31</f>
        <v>0</v>
      </c>
      <c r="D33" s="220">
        <f t="shared" si="2"/>
        <v>0</v>
      </c>
      <c r="E33" s="221">
        <f>E32</f>
        <v>3.920000000000002E-2</v>
      </c>
      <c r="F33" s="221"/>
      <c r="G33" s="220">
        <f t="shared" si="3"/>
        <v>0</v>
      </c>
      <c r="H33" s="186" t="s">
        <v>3626</v>
      </c>
    </row>
    <row r="34" spans="1:8">
      <c r="A34" s="223"/>
      <c r="B34" s="224"/>
      <c r="C34" s="225"/>
      <c r="D34" s="224"/>
      <c r="E34" s="226" t="s">
        <v>3629</v>
      </c>
      <c r="F34" s="225" t="s">
        <v>3630</v>
      </c>
      <c r="G34" s="227">
        <f>SUM(G28:G31)</f>
        <v>1230634.8218181867</v>
      </c>
      <c r="H34" s="228">
        <f>G28+G30</f>
        <v>1230634.8218181867</v>
      </c>
    </row>
  </sheetData>
  <phoneticPr fontId="9" type="noConversion"/>
  <printOptions horizontalCentered="1"/>
  <pageMargins left="0.74803149606299213" right="0.74803149606299213" top="0.7" bottom="0.98425196850393704" header="0.51181102362204722" footer="0.51181102362204722"/>
  <pageSetup paperSize="9" orientation="landscape" blackAndWhite="1" r:id="rId1"/>
  <headerFooter alignWithMargins="0"/>
  <drawing r:id="rId2"/>
  <legacyDrawing r:id="rId3"/>
  <oleObjects>
    <mc:AlternateContent xmlns:mc="http://schemas.openxmlformats.org/markup-compatibility/2006">
      <mc:Choice Requires="x14">
        <oleObject progId="Equation.3" shapeId="18433" r:id="rId4">
          <objectPr defaultSize="0" r:id="rId5">
            <anchor moveWithCells="1">
              <from>
                <xdr:col>5</xdr:col>
                <xdr:colOff>190500</xdr:colOff>
                <xdr:row>11</xdr:row>
                <xdr:rowOff>28575</xdr:rowOff>
              </from>
              <to>
                <xdr:col>6</xdr:col>
                <xdr:colOff>0</xdr:colOff>
                <xdr:row>12</xdr:row>
                <xdr:rowOff>28575</xdr:rowOff>
              </to>
            </anchor>
          </objectPr>
        </oleObject>
      </mc:Choice>
      <mc:Fallback>
        <oleObject progId="Equation.3" shapeId="18433" r:id="rId4"/>
      </mc:Fallback>
    </mc:AlternateContent>
    <mc:AlternateContent xmlns:mc="http://schemas.openxmlformats.org/markup-compatibility/2006">
      <mc:Choice Requires="x14">
        <oleObject progId="Equation.3" shapeId="18434" r:id="rId6">
          <objectPr defaultSize="0" r:id="rId5">
            <anchor moveWithCells="1">
              <from>
                <xdr:col>5</xdr:col>
                <xdr:colOff>190500</xdr:colOff>
                <xdr:row>11</xdr:row>
                <xdr:rowOff>28575</xdr:rowOff>
              </from>
              <to>
                <xdr:col>6</xdr:col>
                <xdr:colOff>0</xdr:colOff>
                <xdr:row>12</xdr:row>
                <xdr:rowOff>28575</xdr:rowOff>
              </to>
            </anchor>
          </objectPr>
        </oleObject>
      </mc:Choice>
      <mc:Fallback>
        <oleObject progId="Equation.3" shapeId="18434" r:id="rId6"/>
      </mc:Fallback>
    </mc:AlternateContent>
    <mc:AlternateContent xmlns:mc="http://schemas.openxmlformats.org/markup-compatibility/2006">
      <mc:Choice Requires="x14">
        <oleObject progId="Equation.3" shapeId="18435" r:id="rId7">
          <objectPr defaultSize="0" r:id="rId5">
            <anchor moveWithCells="1">
              <from>
                <xdr:col>5</xdr:col>
                <xdr:colOff>190500</xdr:colOff>
                <xdr:row>26</xdr:row>
                <xdr:rowOff>28575</xdr:rowOff>
              </from>
              <to>
                <xdr:col>6</xdr:col>
                <xdr:colOff>0</xdr:colOff>
                <xdr:row>27</xdr:row>
                <xdr:rowOff>28575</xdr:rowOff>
              </to>
            </anchor>
          </objectPr>
        </oleObject>
      </mc:Choice>
      <mc:Fallback>
        <oleObject progId="Equation.3" shapeId="18435" r:id="rId7"/>
      </mc:Fallback>
    </mc:AlternateContent>
    <mc:AlternateContent xmlns:mc="http://schemas.openxmlformats.org/markup-compatibility/2006">
      <mc:Choice Requires="x14">
        <oleObject progId="Equation.3" shapeId="18436" r:id="rId8">
          <objectPr defaultSize="0" r:id="rId5">
            <anchor moveWithCells="1">
              <from>
                <xdr:col>5</xdr:col>
                <xdr:colOff>190500</xdr:colOff>
                <xdr:row>26</xdr:row>
                <xdr:rowOff>28575</xdr:rowOff>
              </from>
              <to>
                <xdr:col>6</xdr:col>
                <xdr:colOff>0</xdr:colOff>
                <xdr:row>27</xdr:row>
                <xdr:rowOff>28575</xdr:rowOff>
              </to>
            </anchor>
          </objectPr>
        </oleObject>
      </mc:Choice>
      <mc:Fallback>
        <oleObject progId="Equation.3" shapeId="18436" r:id="rId8"/>
      </mc:Fallback>
    </mc:AlternateContent>
  </oleObjec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0000"/>
    <outlinePr summaryBelow="0"/>
  </sheetPr>
  <dimension ref="A1:G324"/>
  <sheetViews>
    <sheetView view="pageBreakPreview" topLeftCell="A175" zoomScale="85" zoomScaleNormal="100" zoomScaleSheetLayoutView="85" workbookViewId="0">
      <selection activeCell="E11" sqref="E11"/>
    </sheetView>
  </sheetViews>
  <sheetFormatPr defaultColWidth="9.140625" defaultRowHeight="17.25" outlineLevelRow="2"/>
  <cols>
    <col min="1" max="1" width="6.5703125" style="625" customWidth="1"/>
    <col min="2" max="2" width="17.5703125" style="626" customWidth="1"/>
    <col min="3" max="3" width="81.42578125" style="627" customWidth="1"/>
    <col min="4" max="4" width="6.7109375" style="625" customWidth="1"/>
    <col min="5" max="5" width="6.28515625" style="625" customWidth="1"/>
    <col min="6" max="6" width="14" style="628" customWidth="1"/>
    <col min="7" max="7" width="17.140625" style="625" customWidth="1"/>
    <col min="8" max="208" width="9.140625" style="513"/>
    <col min="209" max="209" width="6.5703125" style="513" customWidth="1"/>
    <col min="210" max="210" width="17.5703125" style="513" customWidth="1"/>
    <col min="211" max="211" width="37.85546875" style="513" customWidth="1"/>
    <col min="212" max="212" width="6.7109375" style="513" customWidth="1"/>
    <col min="213" max="213" width="6.28515625" style="513" customWidth="1"/>
    <col min="214" max="214" width="14" style="513" customWidth="1"/>
    <col min="215" max="215" width="17.140625" style="513" customWidth="1"/>
    <col min="216" max="216" width="0" style="513" hidden="1" customWidth="1"/>
    <col min="217" max="217" width="9.140625" style="513" customWidth="1"/>
    <col min="218" max="16384" width="9.140625" style="513"/>
  </cols>
  <sheetData>
    <row r="1" spans="1:7" s="512" customFormat="1" ht="36.75">
      <c r="A1" s="631" t="s">
        <v>3635</v>
      </c>
      <c r="B1" s="630"/>
      <c r="C1" s="630"/>
      <c r="D1" s="630"/>
      <c r="E1" s="630"/>
      <c r="F1" s="630"/>
      <c r="G1" s="630"/>
    </row>
    <row r="2" spans="1:7" s="512" customFormat="1" ht="20.25">
      <c r="A2" s="325"/>
      <c r="B2" s="325"/>
      <c r="C2" s="325"/>
      <c r="D2" s="325"/>
      <c r="E2" s="325"/>
      <c r="F2" s="325"/>
      <c r="G2" s="325"/>
    </row>
    <row r="3" spans="1:7" s="512" customFormat="1" ht="20.25">
      <c r="A3" s="325" t="e">
        <f>#REF!</f>
        <v>#REF!</v>
      </c>
      <c r="B3" s="325"/>
      <c r="C3" s="325"/>
      <c r="D3" s="325"/>
      <c r="E3" s="325"/>
      <c r="F3" s="325"/>
      <c r="G3" s="325"/>
    </row>
    <row r="4" spans="1:7" s="512" customFormat="1">
      <c r="A4" s="326" t="e">
        <f>#REF!</f>
        <v>#REF!</v>
      </c>
      <c r="B4" s="326"/>
      <c r="C4" s="326"/>
      <c r="D4" s="326"/>
      <c r="E4" s="326"/>
      <c r="F4" s="326"/>
      <c r="G4" s="326"/>
    </row>
    <row r="5" spans="1:7" s="512" customFormat="1">
      <c r="A5" s="629"/>
      <c r="B5" s="629"/>
      <c r="C5" s="629"/>
      <c r="D5" s="629"/>
      <c r="E5" s="629"/>
      <c r="F5" s="629"/>
      <c r="G5" s="629"/>
    </row>
    <row r="6" spans="1:7" s="512" customFormat="1">
      <c r="A6" s="629"/>
      <c r="B6" s="629"/>
      <c r="C6" s="629"/>
      <c r="D6" s="629"/>
      <c r="E6" s="629"/>
      <c r="F6" s="629"/>
      <c r="G6" s="629"/>
    </row>
    <row r="7" spans="1:7" s="512" customFormat="1">
      <c r="A7" s="513"/>
      <c r="B7" s="514"/>
      <c r="C7" s="514"/>
      <c r="D7" s="515">
        <v>40</v>
      </c>
      <c r="E7" s="514"/>
      <c r="F7" s="514"/>
      <c r="G7" s="514"/>
    </row>
    <row r="8" spans="1:7" s="512" customFormat="1" ht="51.75">
      <c r="A8" s="516" t="s">
        <v>761</v>
      </c>
      <c r="B8" s="516" t="s">
        <v>3636</v>
      </c>
      <c r="C8" s="516" t="s">
        <v>3637</v>
      </c>
      <c r="D8" s="516" t="s">
        <v>616</v>
      </c>
      <c r="E8" s="516" t="s">
        <v>617</v>
      </c>
      <c r="F8" s="517" t="s">
        <v>1004</v>
      </c>
      <c r="G8" s="518" t="s">
        <v>769</v>
      </c>
    </row>
    <row r="9" spans="1:7" s="512" customFormat="1">
      <c r="A9" s="1741" t="s">
        <v>3638</v>
      </c>
      <c r="B9" s="1741"/>
      <c r="C9" s="1741"/>
      <c r="D9" s="1741"/>
      <c r="E9" s="1741"/>
      <c r="F9" s="1741"/>
      <c r="G9" s="1741"/>
    </row>
    <row r="10" spans="1:7" s="512" customFormat="1">
      <c r="A10" s="519" t="s">
        <v>3639</v>
      </c>
      <c r="B10" s="520" t="s">
        <v>3640</v>
      </c>
      <c r="C10" s="519"/>
      <c r="D10" s="519"/>
      <c r="E10" s="519"/>
      <c r="F10" s="521"/>
      <c r="G10" s="522"/>
    </row>
    <row r="11" spans="1:7" s="512" customFormat="1">
      <c r="A11" s="523" t="s">
        <v>500</v>
      </c>
      <c r="B11" s="524" t="s">
        <v>1041</v>
      </c>
      <c r="C11" s="525"/>
      <c r="D11" s="526" t="s">
        <v>1134</v>
      </c>
      <c r="E11" s="526">
        <v>1</v>
      </c>
      <c r="F11" s="527"/>
      <c r="G11" s="526"/>
    </row>
    <row r="12" spans="1:7" s="512" customFormat="1" ht="86.25" outlineLevel="1">
      <c r="A12" s="528">
        <v>1</v>
      </c>
      <c r="B12" s="529" t="s">
        <v>3641</v>
      </c>
      <c r="C12" s="530" t="s">
        <v>3642</v>
      </c>
      <c r="D12" s="528" t="s">
        <v>680</v>
      </c>
      <c r="E12" s="528">
        <v>1</v>
      </c>
      <c r="F12" s="531">
        <v>12748000</v>
      </c>
      <c r="G12" s="532">
        <f>E12*F12</f>
        <v>12748000</v>
      </c>
    </row>
    <row r="13" spans="1:7" s="512" customFormat="1" ht="51.75" outlineLevel="1">
      <c r="A13" s="528">
        <f t="shared" ref="A13:A19" si="0">A12+1</f>
        <v>2</v>
      </c>
      <c r="B13" s="529" t="s">
        <v>3643</v>
      </c>
      <c r="C13" s="533" t="s">
        <v>3644</v>
      </c>
      <c r="D13" s="528" t="s">
        <v>627</v>
      </c>
      <c r="E13" s="528">
        <v>1</v>
      </c>
      <c r="F13" s="531">
        <v>1500000</v>
      </c>
      <c r="G13" s="532">
        <f t="shared" ref="G13:G55" si="1">E13*F13</f>
        <v>1500000</v>
      </c>
    </row>
    <row r="14" spans="1:7" s="512" customFormat="1" outlineLevel="1">
      <c r="A14" s="528">
        <f t="shared" si="0"/>
        <v>3</v>
      </c>
      <c r="B14" s="529" t="s">
        <v>3645</v>
      </c>
      <c r="C14" s="534" t="s">
        <v>3646</v>
      </c>
      <c r="D14" s="528" t="s">
        <v>627</v>
      </c>
      <c r="E14" s="528">
        <v>1</v>
      </c>
      <c r="F14" s="531">
        <v>3500000</v>
      </c>
      <c r="G14" s="532">
        <f t="shared" si="1"/>
        <v>3500000</v>
      </c>
    </row>
    <row r="15" spans="1:7" s="512" customFormat="1" ht="51.75" outlineLevel="1">
      <c r="A15" s="528">
        <f t="shared" si="0"/>
        <v>4</v>
      </c>
      <c r="B15" s="529" t="s">
        <v>3647</v>
      </c>
      <c r="C15" s="534" t="s">
        <v>3648</v>
      </c>
      <c r="D15" s="528" t="s">
        <v>627</v>
      </c>
      <c r="E15" s="528">
        <v>2</v>
      </c>
      <c r="F15" s="531">
        <v>1050000</v>
      </c>
      <c r="G15" s="532">
        <f t="shared" si="1"/>
        <v>2100000</v>
      </c>
    </row>
    <row r="16" spans="1:7" s="512" customFormat="1" ht="86.25" outlineLevel="1">
      <c r="A16" s="528">
        <f t="shared" si="0"/>
        <v>5</v>
      </c>
      <c r="B16" s="529" t="s">
        <v>3649</v>
      </c>
      <c r="C16" s="530" t="s">
        <v>3650</v>
      </c>
      <c r="D16" s="528" t="s">
        <v>627</v>
      </c>
      <c r="E16" s="528">
        <v>1</v>
      </c>
      <c r="F16" s="531">
        <v>5600000</v>
      </c>
      <c r="G16" s="532">
        <f t="shared" si="1"/>
        <v>5600000</v>
      </c>
    </row>
    <row r="17" spans="1:7" s="512" customFormat="1" ht="207" outlineLevel="1">
      <c r="A17" s="528">
        <f t="shared" si="0"/>
        <v>6</v>
      </c>
      <c r="B17" s="535" t="s">
        <v>1058</v>
      </c>
      <c r="C17" s="535" t="s">
        <v>3651</v>
      </c>
      <c r="D17" s="528" t="s">
        <v>627</v>
      </c>
      <c r="E17" s="528">
        <v>1</v>
      </c>
      <c r="F17" s="536">
        <v>11900000</v>
      </c>
      <c r="G17" s="532">
        <f t="shared" si="1"/>
        <v>11900000</v>
      </c>
    </row>
    <row r="18" spans="1:7" s="512" customFormat="1" ht="241.5" outlineLevel="1">
      <c r="A18" s="528">
        <f t="shared" si="0"/>
        <v>7</v>
      </c>
      <c r="B18" s="535" t="s">
        <v>1062</v>
      </c>
      <c r="C18" s="537" t="s">
        <v>3652</v>
      </c>
      <c r="D18" s="528" t="s">
        <v>627</v>
      </c>
      <c r="E18" s="528">
        <v>1</v>
      </c>
      <c r="F18" s="531">
        <v>6000000</v>
      </c>
      <c r="G18" s="532">
        <f t="shared" si="1"/>
        <v>6000000</v>
      </c>
    </row>
    <row r="19" spans="1:7" s="512" customFormat="1" ht="86.25" outlineLevel="1">
      <c r="A19" s="528">
        <f t="shared" si="0"/>
        <v>8</v>
      </c>
      <c r="B19" s="529" t="s">
        <v>3653</v>
      </c>
      <c r="C19" s="534" t="s">
        <v>3654</v>
      </c>
      <c r="D19" s="528" t="s">
        <v>680</v>
      </c>
      <c r="E19" s="528">
        <v>1</v>
      </c>
      <c r="F19" s="531">
        <v>12742000</v>
      </c>
      <c r="G19" s="532">
        <f t="shared" si="1"/>
        <v>12742000</v>
      </c>
    </row>
    <row r="20" spans="1:7" s="512" customFormat="1">
      <c r="A20" s="523" t="s">
        <v>504</v>
      </c>
      <c r="B20" s="524" t="s">
        <v>1081</v>
      </c>
      <c r="C20" s="525"/>
      <c r="D20" s="526" t="s">
        <v>1134</v>
      </c>
      <c r="E20" s="526">
        <v>1</v>
      </c>
      <c r="F20" s="527"/>
      <c r="G20" s="526"/>
    </row>
    <row r="21" spans="1:7" ht="51.75" outlineLevel="1">
      <c r="A21" s="528">
        <f>A19+1</f>
        <v>9</v>
      </c>
      <c r="B21" s="529" t="s">
        <v>3655</v>
      </c>
      <c r="C21" s="538" t="s">
        <v>3656</v>
      </c>
      <c r="D21" s="539" t="s">
        <v>627</v>
      </c>
      <c r="E21" s="528">
        <v>3</v>
      </c>
      <c r="F21" s="540">
        <v>3150000</v>
      </c>
      <c r="G21" s="532">
        <f t="shared" si="1"/>
        <v>9450000</v>
      </c>
    </row>
    <row r="22" spans="1:7" outlineLevel="1">
      <c r="A22" s="528">
        <f t="shared" ref="A22:A29" si="2">A21+1</f>
        <v>10</v>
      </c>
      <c r="B22" s="529" t="s">
        <v>3657</v>
      </c>
      <c r="C22" s="534" t="s">
        <v>3658</v>
      </c>
      <c r="D22" s="539" t="s">
        <v>627</v>
      </c>
      <c r="E22" s="528">
        <v>3</v>
      </c>
      <c r="F22" s="540">
        <v>1200000</v>
      </c>
      <c r="G22" s="532">
        <f t="shared" si="1"/>
        <v>3600000</v>
      </c>
    </row>
    <row r="23" spans="1:7" s="544" customFormat="1" ht="51.75" outlineLevel="1">
      <c r="A23" s="528">
        <f t="shared" si="2"/>
        <v>11</v>
      </c>
      <c r="B23" s="541" t="s">
        <v>3659</v>
      </c>
      <c r="C23" s="542" t="s">
        <v>3660</v>
      </c>
      <c r="D23" s="528" t="s">
        <v>655</v>
      </c>
      <c r="E23" s="528">
        <v>3</v>
      </c>
      <c r="F23" s="531">
        <v>529000</v>
      </c>
      <c r="G23" s="532">
        <f>E23*F23</f>
        <v>1587000</v>
      </c>
    </row>
    <row r="24" spans="1:7" ht="51.75" outlineLevel="1">
      <c r="A24" s="528">
        <f t="shared" si="2"/>
        <v>12</v>
      </c>
      <c r="B24" s="529" t="s">
        <v>3661</v>
      </c>
      <c r="C24" s="538" t="s">
        <v>3662</v>
      </c>
      <c r="D24" s="539" t="s">
        <v>627</v>
      </c>
      <c r="E24" s="528">
        <v>3</v>
      </c>
      <c r="F24" s="531">
        <v>5600000</v>
      </c>
      <c r="G24" s="532">
        <f t="shared" si="1"/>
        <v>16800000</v>
      </c>
    </row>
    <row r="25" spans="1:7" ht="51.75" outlineLevel="1">
      <c r="A25" s="528">
        <f t="shared" si="2"/>
        <v>13</v>
      </c>
      <c r="B25" s="529" t="s">
        <v>3663</v>
      </c>
      <c r="C25" s="533" t="s">
        <v>3664</v>
      </c>
      <c r="D25" s="539" t="s">
        <v>627</v>
      </c>
      <c r="E25" s="528">
        <v>1</v>
      </c>
      <c r="F25" s="531">
        <v>1500000</v>
      </c>
      <c r="G25" s="532">
        <f t="shared" si="1"/>
        <v>1500000</v>
      </c>
    </row>
    <row r="26" spans="1:7" ht="207" outlineLevel="1">
      <c r="A26" s="528">
        <f t="shared" si="2"/>
        <v>14</v>
      </c>
      <c r="B26" s="545" t="s">
        <v>1058</v>
      </c>
      <c r="C26" s="535" t="s">
        <v>3651</v>
      </c>
      <c r="D26" s="546" t="s">
        <v>627</v>
      </c>
      <c r="E26" s="547">
        <v>3</v>
      </c>
      <c r="F26" s="531">
        <v>11900000</v>
      </c>
      <c r="G26" s="532">
        <f t="shared" si="1"/>
        <v>35700000</v>
      </c>
    </row>
    <row r="27" spans="1:7" ht="241.5" outlineLevel="1">
      <c r="A27" s="528">
        <f t="shared" si="2"/>
        <v>15</v>
      </c>
      <c r="B27" s="545" t="s">
        <v>1062</v>
      </c>
      <c r="C27" s="537" t="s">
        <v>3652</v>
      </c>
      <c r="D27" s="546" t="s">
        <v>627</v>
      </c>
      <c r="E27" s="547">
        <v>1</v>
      </c>
      <c r="F27" s="531">
        <v>6000000</v>
      </c>
      <c r="G27" s="532">
        <f t="shared" si="1"/>
        <v>6000000</v>
      </c>
    </row>
    <row r="28" spans="1:7" ht="69" outlineLevel="1">
      <c r="A28" s="528">
        <f t="shared" si="2"/>
        <v>16</v>
      </c>
      <c r="B28" s="548" t="s">
        <v>1092</v>
      </c>
      <c r="C28" s="548" t="s">
        <v>3665</v>
      </c>
      <c r="D28" s="546" t="s">
        <v>627</v>
      </c>
      <c r="E28" s="547">
        <v>1</v>
      </c>
      <c r="F28" s="540">
        <v>60550000</v>
      </c>
      <c r="G28" s="532">
        <f t="shared" si="1"/>
        <v>60550000</v>
      </c>
    </row>
    <row r="29" spans="1:7" ht="34.5" outlineLevel="1">
      <c r="A29" s="528">
        <f t="shared" si="2"/>
        <v>17</v>
      </c>
      <c r="B29" s="541" t="s">
        <v>1056</v>
      </c>
      <c r="C29" s="534" t="s">
        <v>3666</v>
      </c>
      <c r="D29" s="547" t="s">
        <v>627</v>
      </c>
      <c r="E29" s="547">
        <v>3</v>
      </c>
      <c r="F29" s="540">
        <v>850000</v>
      </c>
      <c r="G29" s="532">
        <f t="shared" si="1"/>
        <v>2550000</v>
      </c>
    </row>
    <row r="30" spans="1:7">
      <c r="A30" s="523" t="s">
        <v>507</v>
      </c>
      <c r="B30" s="524" t="s">
        <v>3667</v>
      </c>
      <c r="C30" s="524"/>
      <c r="D30" s="526" t="s">
        <v>1134</v>
      </c>
      <c r="E30" s="526">
        <v>1</v>
      </c>
      <c r="F30" s="527"/>
      <c r="G30" s="527"/>
    </row>
    <row r="31" spans="1:7" ht="86.25" outlineLevel="1">
      <c r="A31" s="528">
        <f>A29+1</f>
        <v>18</v>
      </c>
      <c r="B31" s="529" t="s">
        <v>3641</v>
      </c>
      <c r="C31" s="530" t="s">
        <v>3642</v>
      </c>
      <c r="D31" s="528" t="s">
        <v>680</v>
      </c>
      <c r="E31" s="528">
        <v>1</v>
      </c>
      <c r="F31" s="531">
        <v>12748000</v>
      </c>
      <c r="G31" s="532">
        <f t="shared" si="1"/>
        <v>12748000</v>
      </c>
    </row>
    <row r="32" spans="1:7" ht="51.75" outlineLevel="1">
      <c r="A32" s="528">
        <f t="shared" ref="A32:A37" si="3">A31+1</f>
        <v>19</v>
      </c>
      <c r="B32" s="529" t="s">
        <v>3643</v>
      </c>
      <c r="C32" s="533" t="s">
        <v>3668</v>
      </c>
      <c r="D32" s="528" t="s">
        <v>627</v>
      </c>
      <c r="E32" s="528">
        <v>1</v>
      </c>
      <c r="F32" s="531">
        <v>1500000</v>
      </c>
      <c r="G32" s="532">
        <f t="shared" si="1"/>
        <v>1500000</v>
      </c>
    </row>
    <row r="33" spans="1:7" outlineLevel="1">
      <c r="A33" s="528">
        <f t="shared" si="3"/>
        <v>20</v>
      </c>
      <c r="B33" s="529" t="s">
        <v>3645</v>
      </c>
      <c r="C33" s="534" t="s">
        <v>3646</v>
      </c>
      <c r="D33" s="528" t="s">
        <v>627</v>
      </c>
      <c r="E33" s="528">
        <v>1</v>
      </c>
      <c r="F33" s="531">
        <v>3500000</v>
      </c>
      <c r="G33" s="532">
        <f t="shared" si="1"/>
        <v>3500000</v>
      </c>
    </row>
    <row r="34" spans="1:7" ht="51.75" outlineLevel="1">
      <c r="A34" s="528">
        <f t="shared" si="3"/>
        <v>21</v>
      </c>
      <c r="B34" s="529" t="s">
        <v>3647</v>
      </c>
      <c r="C34" s="534" t="s">
        <v>3648</v>
      </c>
      <c r="D34" s="528" t="s">
        <v>627</v>
      </c>
      <c r="E34" s="528">
        <v>2</v>
      </c>
      <c r="F34" s="531">
        <v>1050000</v>
      </c>
      <c r="G34" s="532">
        <f t="shared" si="1"/>
        <v>2100000</v>
      </c>
    </row>
    <row r="35" spans="1:7" ht="86.25" outlineLevel="1">
      <c r="A35" s="528">
        <f t="shared" si="3"/>
        <v>22</v>
      </c>
      <c r="B35" s="529" t="s">
        <v>3649</v>
      </c>
      <c r="C35" s="530" t="s">
        <v>3650</v>
      </c>
      <c r="D35" s="528" t="s">
        <v>627</v>
      </c>
      <c r="E35" s="528">
        <v>1</v>
      </c>
      <c r="F35" s="531">
        <v>5600000</v>
      </c>
      <c r="G35" s="532">
        <f t="shared" si="1"/>
        <v>5600000</v>
      </c>
    </row>
    <row r="36" spans="1:7" ht="207" outlineLevel="1">
      <c r="A36" s="528">
        <f t="shared" si="3"/>
        <v>23</v>
      </c>
      <c r="B36" s="535" t="s">
        <v>1058</v>
      </c>
      <c r="C36" s="535" t="s">
        <v>3651</v>
      </c>
      <c r="D36" s="528" t="s">
        <v>627</v>
      </c>
      <c r="E36" s="528">
        <v>1</v>
      </c>
      <c r="F36" s="531">
        <v>11900000</v>
      </c>
      <c r="G36" s="532">
        <f t="shared" si="1"/>
        <v>11900000</v>
      </c>
    </row>
    <row r="37" spans="1:7" s="512" customFormat="1" ht="241.5" outlineLevel="1">
      <c r="A37" s="528">
        <f t="shared" si="3"/>
        <v>24</v>
      </c>
      <c r="B37" s="535" t="s">
        <v>1062</v>
      </c>
      <c r="C37" s="537" t="s">
        <v>3652</v>
      </c>
      <c r="D37" s="528" t="s">
        <v>627</v>
      </c>
      <c r="E37" s="528">
        <v>1</v>
      </c>
      <c r="F37" s="531">
        <v>6000000</v>
      </c>
      <c r="G37" s="532">
        <f t="shared" si="1"/>
        <v>6000000</v>
      </c>
    </row>
    <row r="38" spans="1:7" s="512" customFormat="1">
      <c r="A38" s="523" t="s">
        <v>513</v>
      </c>
      <c r="B38" s="524" t="s">
        <v>3669</v>
      </c>
      <c r="C38" s="525"/>
      <c r="D38" s="526" t="s">
        <v>1134</v>
      </c>
      <c r="E38" s="526">
        <v>1</v>
      </c>
      <c r="F38" s="527"/>
      <c r="G38" s="527"/>
    </row>
    <row r="39" spans="1:7" s="512" customFormat="1" ht="51.75" outlineLevel="1">
      <c r="A39" s="528">
        <v>1</v>
      </c>
      <c r="B39" s="541" t="s">
        <v>3670</v>
      </c>
      <c r="C39" s="548" t="s">
        <v>3671</v>
      </c>
      <c r="D39" s="546" t="s">
        <v>627</v>
      </c>
      <c r="E39" s="547">
        <v>1</v>
      </c>
      <c r="F39" s="536">
        <v>6750000</v>
      </c>
      <c r="G39" s="532">
        <f t="shared" si="1"/>
        <v>6750000</v>
      </c>
    </row>
    <row r="40" spans="1:7" s="512" customFormat="1" ht="51.75" outlineLevel="1">
      <c r="A40" s="528">
        <v>2</v>
      </c>
      <c r="B40" s="541" t="s">
        <v>3659</v>
      </c>
      <c r="C40" s="542" t="s">
        <v>3660</v>
      </c>
      <c r="D40" s="546" t="s">
        <v>627</v>
      </c>
      <c r="E40" s="547">
        <v>6</v>
      </c>
      <c r="F40" s="536">
        <v>529000</v>
      </c>
      <c r="G40" s="532">
        <f t="shared" si="1"/>
        <v>3174000</v>
      </c>
    </row>
    <row r="41" spans="1:7" s="512" customFormat="1" outlineLevel="1">
      <c r="A41" s="523" t="s">
        <v>513</v>
      </c>
      <c r="B41" s="524" t="s">
        <v>1110</v>
      </c>
      <c r="C41" s="525"/>
      <c r="D41" s="526" t="s">
        <v>1134</v>
      </c>
      <c r="E41" s="526">
        <v>1</v>
      </c>
      <c r="F41" s="525"/>
      <c r="G41" s="525"/>
    </row>
    <row r="42" spans="1:7" s="512" customFormat="1" ht="51.75" outlineLevel="1">
      <c r="A42" s="528">
        <v>1</v>
      </c>
      <c r="B42" s="541" t="s">
        <v>3672</v>
      </c>
      <c r="C42" s="549" t="s">
        <v>3673</v>
      </c>
      <c r="D42" s="547" t="s">
        <v>627</v>
      </c>
      <c r="E42" s="547">
        <v>1</v>
      </c>
      <c r="F42" s="536">
        <v>3990000</v>
      </c>
      <c r="G42" s="532">
        <f t="shared" si="1"/>
        <v>3990000</v>
      </c>
    </row>
    <row r="43" spans="1:7" s="512" customFormat="1" outlineLevel="1">
      <c r="A43" s="547">
        <v>2</v>
      </c>
      <c r="B43" s="541" t="s">
        <v>3657</v>
      </c>
      <c r="C43" s="550" t="s">
        <v>3658</v>
      </c>
      <c r="D43" s="546" t="s">
        <v>627</v>
      </c>
      <c r="E43" s="547">
        <v>1</v>
      </c>
      <c r="F43" s="536">
        <v>1200000</v>
      </c>
      <c r="G43" s="551">
        <f>E43*F43</f>
        <v>1200000</v>
      </c>
    </row>
    <row r="44" spans="1:7" s="512" customFormat="1" ht="34.5" outlineLevel="1">
      <c r="A44" s="528">
        <v>3</v>
      </c>
      <c r="B44" s="541" t="s">
        <v>3674</v>
      </c>
      <c r="C44" s="541" t="s">
        <v>3675</v>
      </c>
      <c r="D44" s="547" t="s">
        <v>695</v>
      </c>
      <c r="E44" s="547">
        <v>2</v>
      </c>
      <c r="F44" s="536">
        <v>400000</v>
      </c>
      <c r="G44" s="532">
        <f t="shared" si="1"/>
        <v>800000</v>
      </c>
    </row>
    <row r="45" spans="1:7" s="512" customFormat="1" ht="86.25" outlineLevel="1">
      <c r="A45" s="528">
        <v>4</v>
      </c>
      <c r="B45" s="541" t="s">
        <v>1112</v>
      </c>
      <c r="C45" s="549" t="s">
        <v>3676</v>
      </c>
      <c r="D45" s="547" t="s">
        <v>627</v>
      </c>
      <c r="E45" s="547">
        <v>2</v>
      </c>
      <c r="F45" s="536">
        <v>2500000</v>
      </c>
      <c r="G45" s="532">
        <f t="shared" si="1"/>
        <v>5000000</v>
      </c>
    </row>
    <row r="46" spans="1:7" s="512" customFormat="1" ht="51.75" outlineLevel="1">
      <c r="A46" s="528">
        <v>7</v>
      </c>
      <c r="B46" s="541" t="s">
        <v>1116</v>
      </c>
      <c r="C46" s="550" t="s">
        <v>1117</v>
      </c>
      <c r="D46" s="547" t="s">
        <v>627</v>
      </c>
      <c r="E46" s="547">
        <v>1</v>
      </c>
      <c r="F46" s="540">
        <v>2085000</v>
      </c>
      <c r="G46" s="532">
        <f t="shared" si="1"/>
        <v>2085000</v>
      </c>
    </row>
    <row r="47" spans="1:7" s="512" customFormat="1" outlineLevel="1">
      <c r="A47" s="528">
        <v>9</v>
      </c>
      <c r="B47" s="552" t="s">
        <v>3677</v>
      </c>
      <c r="C47" s="553" t="s">
        <v>3678</v>
      </c>
      <c r="D47" s="554" t="s">
        <v>627</v>
      </c>
      <c r="E47" s="554">
        <v>1</v>
      </c>
      <c r="F47" s="540">
        <v>850000</v>
      </c>
      <c r="G47" s="532">
        <f t="shared" si="1"/>
        <v>850000</v>
      </c>
    </row>
    <row r="48" spans="1:7" s="512" customFormat="1" ht="86.25" outlineLevel="1">
      <c r="A48" s="528">
        <v>10</v>
      </c>
      <c r="B48" s="552" t="s">
        <v>1118</v>
      </c>
      <c r="C48" s="542" t="s">
        <v>3679</v>
      </c>
      <c r="D48" s="554" t="s">
        <v>680</v>
      </c>
      <c r="E48" s="554">
        <v>1</v>
      </c>
      <c r="F48" s="540">
        <v>10000000</v>
      </c>
      <c r="G48" s="532">
        <f t="shared" si="1"/>
        <v>10000000</v>
      </c>
    </row>
    <row r="49" spans="1:7" s="512" customFormat="1" ht="34.5" outlineLevel="1">
      <c r="A49" s="528">
        <v>11</v>
      </c>
      <c r="B49" s="529" t="s">
        <v>3680</v>
      </c>
      <c r="C49" s="529" t="s">
        <v>3681</v>
      </c>
      <c r="D49" s="528" t="s">
        <v>627</v>
      </c>
      <c r="E49" s="528">
        <v>1</v>
      </c>
      <c r="F49" s="540">
        <v>4128000</v>
      </c>
      <c r="G49" s="532">
        <f t="shared" si="1"/>
        <v>4128000</v>
      </c>
    </row>
    <row r="50" spans="1:7" s="512" customFormat="1" outlineLevel="1">
      <c r="A50" s="528">
        <v>12</v>
      </c>
      <c r="B50" s="553" t="s">
        <v>3682</v>
      </c>
      <c r="C50" s="553" t="s">
        <v>1122</v>
      </c>
      <c r="D50" s="554" t="s">
        <v>3683</v>
      </c>
      <c r="E50" s="554">
        <v>1</v>
      </c>
      <c r="F50" s="540">
        <v>1200000</v>
      </c>
      <c r="G50" s="532">
        <f t="shared" si="1"/>
        <v>1200000</v>
      </c>
    </row>
    <row r="51" spans="1:7" s="512" customFormat="1">
      <c r="A51" s="523" t="s">
        <v>1937</v>
      </c>
      <c r="B51" s="524" t="s">
        <v>3684</v>
      </c>
      <c r="C51" s="525"/>
      <c r="D51" s="526" t="s">
        <v>1134</v>
      </c>
      <c r="E51" s="526">
        <v>1</v>
      </c>
      <c r="F51" s="527"/>
      <c r="G51" s="527"/>
    </row>
    <row r="52" spans="1:7" s="512" customFormat="1" ht="69" outlineLevel="1">
      <c r="A52" s="528">
        <v>1</v>
      </c>
      <c r="B52" s="555" t="s">
        <v>3641</v>
      </c>
      <c r="C52" s="548" t="s">
        <v>3685</v>
      </c>
      <c r="D52" s="554" t="s">
        <v>655</v>
      </c>
      <c r="E52" s="556">
        <v>1</v>
      </c>
      <c r="F52" s="540">
        <v>3150000</v>
      </c>
      <c r="G52" s="532">
        <f t="shared" si="1"/>
        <v>3150000</v>
      </c>
    </row>
    <row r="53" spans="1:7" ht="69" outlineLevel="1">
      <c r="A53" s="528">
        <v>2</v>
      </c>
      <c r="B53" s="541" t="s">
        <v>3686</v>
      </c>
      <c r="C53" s="542" t="s">
        <v>3687</v>
      </c>
      <c r="D53" s="554" t="s">
        <v>655</v>
      </c>
      <c r="E53" s="556">
        <v>1</v>
      </c>
      <c r="F53" s="540">
        <v>529000</v>
      </c>
      <c r="G53" s="532">
        <f t="shared" si="1"/>
        <v>529000</v>
      </c>
    </row>
    <row r="54" spans="1:7" s="544" customFormat="1" ht="51.75" outlineLevel="1">
      <c r="A54" s="528">
        <v>3</v>
      </c>
      <c r="B54" s="557" t="s">
        <v>3688</v>
      </c>
      <c r="C54" s="548" t="s">
        <v>3671</v>
      </c>
      <c r="D54" s="554" t="s">
        <v>680</v>
      </c>
      <c r="E54" s="554">
        <v>1</v>
      </c>
      <c r="F54" s="540">
        <v>9924000</v>
      </c>
      <c r="G54" s="532">
        <f t="shared" si="1"/>
        <v>9924000</v>
      </c>
    </row>
    <row r="55" spans="1:7" ht="86.25" outlineLevel="1">
      <c r="A55" s="528">
        <v>4</v>
      </c>
      <c r="B55" s="529" t="s">
        <v>3649</v>
      </c>
      <c r="C55" s="530" t="s">
        <v>3650</v>
      </c>
      <c r="D55" s="554" t="s">
        <v>627</v>
      </c>
      <c r="E55" s="554">
        <v>1</v>
      </c>
      <c r="F55" s="540">
        <v>5600000</v>
      </c>
      <c r="G55" s="532">
        <f t="shared" si="1"/>
        <v>5600000</v>
      </c>
    </row>
    <row r="56" spans="1:7" s="544" customFormat="1">
      <c r="A56" s="558" t="s">
        <v>1928</v>
      </c>
      <c r="B56" s="559" t="s">
        <v>3689</v>
      </c>
      <c r="C56" s="560"/>
      <c r="D56" s="561" t="s">
        <v>1134</v>
      </c>
      <c r="E56" s="561">
        <v>1</v>
      </c>
      <c r="F56" s="562"/>
      <c r="G56" s="562"/>
    </row>
    <row r="57" spans="1:7" s="543" customFormat="1" ht="51.75" outlineLevel="1">
      <c r="A57" s="563">
        <v>1</v>
      </c>
      <c r="B57" s="564" t="s">
        <v>3690</v>
      </c>
      <c r="C57" s="564" t="s">
        <v>3691</v>
      </c>
      <c r="D57" s="565" t="s">
        <v>3692</v>
      </c>
      <c r="E57" s="565">
        <v>4</v>
      </c>
      <c r="F57" s="566">
        <v>3960000</v>
      </c>
      <c r="G57" s="567">
        <f>E57*F57</f>
        <v>15840000</v>
      </c>
    </row>
    <row r="58" spans="1:7" s="544" customFormat="1">
      <c r="A58" s="558" t="s">
        <v>1937</v>
      </c>
      <c r="B58" s="559" t="s">
        <v>3693</v>
      </c>
      <c r="C58" s="560"/>
      <c r="D58" s="561" t="s">
        <v>1134</v>
      </c>
      <c r="E58" s="561">
        <v>1</v>
      </c>
      <c r="F58" s="562"/>
      <c r="G58" s="562"/>
    </row>
    <row r="59" spans="1:7" s="544" customFormat="1" ht="51.75" outlineLevel="1">
      <c r="A59" s="563">
        <v>1</v>
      </c>
      <c r="B59" s="568" t="s">
        <v>3694</v>
      </c>
      <c r="C59" s="568" t="s">
        <v>3695</v>
      </c>
      <c r="D59" s="569" t="s">
        <v>627</v>
      </c>
      <c r="E59" s="569">
        <v>1</v>
      </c>
      <c r="F59" s="570">
        <v>3300000</v>
      </c>
      <c r="G59" s="567">
        <f>E59*F59</f>
        <v>3300000</v>
      </c>
    </row>
    <row r="60" spans="1:7" s="544" customFormat="1" ht="51.75" outlineLevel="1">
      <c r="A60" s="563">
        <f>A59+1</f>
        <v>2</v>
      </c>
      <c r="B60" s="568" t="s">
        <v>3696</v>
      </c>
      <c r="C60" s="571" t="s">
        <v>3660</v>
      </c>
      <c r="D60" s="569" t="s">
        <v>627</v>
      </c>
      <c r="E60" s="569">
        <v>8</v>
      </c>
      <c r="F60" s="570">
        <v>529000</v>
      </c>
      <c r="G60" s="567">
        <f>E60*F60</f>
        <v>4232000</v>
      </c>
    </row>
    <row r="61" spans="1:7" s="544" customFormat="1" ht="86.25" outlineLevel="1">
      <c r="A61" s="563">
        <f>A60+1</f>
        <v>3</v>
      </c>
      <c r="B61" s="568" t="s">
        <v>3697</v>
      </c>
      <c r="C61" s="572" t="s">
        <v>3698</v>
      </c>
      <c r="D61" s="569" t="s">
        <v>627</v>
      </c>
      <c r="E61" s="569">
        <v>4</v>
      </c>
      <c r="F61" s="570">
        <v>4500000</v>
      </c>
      <c r="G61" s="567">
        <f>E61*F61</f>
        <v>18000000</v>
      </c>
    </row>
    <row r="62" spans="1:7">
      <c r="A62" s="523" t="s">
        <v>1939</v>
      </c>
      <c r="B62" s="524" t="s">
        <v>3699</v>
      </c>
      <c r="C62" s="525"/>
      <c r="D62" s="526" t="s">
        <v>1134</v>
      </c>
      <c r="E62" s="526">
        <v>1</v>
      </c>
      <c r="F62" s="527"/>
      <c r="G62" s="527"/>
    </row>
    <row r="63" spans="1:7" ht="69" outlineLevel="1">
      <c r="A63" s="528">
        <v>1</v>
      </c>
      <c r="B63" s="529" t="s">
        <v>1454</v>
      </c>
      <c r="C63" s="573" t="s">
        <v>3700</v>
      </c>
      <c r="D63" s="528" t="s">
        <v>1028</v>
      </c>
      <c r="E63" s="547">
        <v>75</v>
      </c>
      <c r="F63" s="531">
        <v>3800000</v>
      </c>
      <c r="G63" s="532">
        <f t="shared" ref="G63:G97" si="4">E63*F63</f>
        <v>285000000</v>
      </c>
    </row>
    <row r="64" spans="1:7" ht="51.75" outlineLevel="1">
      <c r="A64" s="528">
        <v>2</v>
      </c>
      <c r="B64" s="529" t="s">
        <v>3701</v>
      </c>
      <c r="C64" s="533" t="s">
        <v>3702</v>
      </c>
      <c r="D64" s="528" t="s">
        <v>655</v>
      </c>
      <c r="E64" s="547">
        <v>4</v>
      </c>
      <c r="F64" s="531">
        <v>1500000</v>
      </c>
      <c r="G64" s="532">
        <f t="shared" si="4"/>
        <v>6000000</v>
      </c>
    </row>
    <row r="65" spans="1:7">
      <c r="A65" s="523" t="s">
        <v>1955</v>
      </c>
      <c r="B65" s="524" t="s">
        <v>3703</v>
      </c>
      <c r="C65" s="525"/>
      <c r="D65" s="526" t="s">
        <v>1134</v>
      </c>
      <c r="E65" s="526">
        <v>1</v>
      </c>
      <c r="F65" s="527"/>
      <c r="G65" s="527"/>
    </row>
    <row r="66" spans="1:7" ht="69" outlineLevel="1">
      <c r="A66" s="528">
        <v>1</v>
      </c>
      <c r="B66" s="529" t="s">
        <v>3704</v>
      </c>
      <c r="C66" s="533" t="s">
        <v>3705</v>
      </c>
      <c r="D66" s="528" t="s">
        <v>655</v>
      </c>
      <c r="E66" s="528">
        <v>2</v>
      </c>
      <c r="F66" s="531">
        <v>13200000</v>
      </c>
      <c r="G66" s="532">
        <f t="shared" si="4"/>
        <v>26400000</v>
      </c>
    </row>
    <row r="67" spans="1:7" ht="69" outlineLevel="1">
      <c r="A67" s="528">
        <v>2</v>
      </c>
      <c r="B67" s="529" t="s">
        <v>3706</v>
      </c>
      <c r="C67" s="574" t="s">
        <v>3707</v>
      </c>
      <c r="D67" s="528" t="s">
        <v>627</v>
      </c>
      <c r="E67" s="528">
        <v>2</v>
      </c>
      <c r="F67" s="531">
        <v>21450000</v>
      </c>
      <c r="G67" s="532">
        <f t="shared" si="4"/>
        <v>42900000</v>
      </c>
    </row>
    <row r="68" spans="1:7" ht="51.75" outlineLevel="1">
      <c r="A68" s="528">
        <v>3</v>
      </c>
      <c r="B68" s="529" t="s">
        <v>3708</v>
      </c>
      <c r="C68" s="575" t="s">
        <v>3709</v>
      </c>
      <c r="D68" s="528" t="s">
        <v>655</v>
      </c>
      <c r="E68" s="528">
        <v>2</v>
      </c>
      <c r="F68" s="531">
        <v>9680000</v>
      </c>
      <c r="G68" s="532">
        <f t="shared" si="4"/>
        <v>19360000</v>
      </c>
    </row>
    <row r="69" spans="1:7" s="512" customFormat="1" ht="138" outlineLevel="1">
      <c r="A69" s="528">
        <v>4</v>
      </c>
      <c r="B69" s="529" t="s">
        <v>3710</v>
      </c>
      <c r="C69" s="574" t="s">
        <v>3711</v>
      </c>
      <c r="D69" s="528" t="s">
        <v>627</v>
      </c>
      <c r="E69" s="528">
        <v>2</v>
      </c>
      <c r="F69" s="531">
        <v>28400000</v>
      </c>
      <c r="G69" s="532">
        <f t="shared" si="4"/>
        <v>56800000</v>
      </c>
    </row>
    <row r="70" spans="1:7" s="512" customFormat="1" ht="86.25" outlineLevel="1">
      <c r="A70" s="547">
        <v>5</v>
      </c>
      <c r="B70" s="541" t="s">
        <v>3712</v>
      </c>
      <c r="C70" s="575" t="s">
        <v>3713</v>
      </c>
      <c r="D70" s="547" t="s">
        <v>1466</v>
      </c>
      <c r="E70" s="547">
        <v>1</v>
      </c>
      <c r="F70" s="536">
        <v>45760000</v>
      </c>
      <c r="G70" s="551">
        <f t="shared" si="4"/>
        <v>45760000</v>
      </c>
    </row>
    <row r="71" spans="1:7" s="512" customFormat="1" ht="172.5" outlineLevel="1">
      <c r="A71" s="528">
        <v>6</v>
      </c>
      <c r="B71" s="529" t="s">
        <v>1467</v>
      </c>
      <c r="C71" s="533" t="s">
        <v>3714</v>
      </c>
      <c r="D71" s="528" t="s">
        <v>627</v>
      </c>
      <c r="E71" s="528">
        <v>1</v>
      </c>
      <c r="F71" s="531">
        <v>40040000</v>
      </c>
      <c r="G71" s="532">
        <f t="shared" si="4"/>
        <v>40040000</v>
      </c>
    </row>
    <row r="72" spans="1:7" s="512" customFormat="1" ht="207" outlineLevel="1">
      <c r="A72" s="528">
        <v>7</v>
      </c>
      <c r="B72" s="529" t="s">
        <v>3715</v>
      </c>
      <c r="C72" s="533" t="s">
        <v>3716</v>
      </c>
      <c r="D72" s="528" t="s">
        <v>655</v>
      </c>
      <c r="E72" s="528">
        <v>1</v>
      </c>
      <c r="F72" s="531">
        <v>28000000</v>
      </c>
      <c r="G72" s="532">
        <f t="shared" si="4"/>
        <v>28000000</v>
      </c>
    </row>
    <row r="73" spans="1:7" s="512" customFormat="1" ht="103.5" outlineLevel="1">
      <c r="A73" s="528">
        <v>8</v>
      </c>
      <c r="B73" s="541" t="s">
        <v>3717</v>
      </c>
      <c r="C73" s="533" t="s">
        <v>3718</v>
      </c>
      <c r="D73" s="528" t="s">
        <v>1466</v>
      </c>
      <c r="E73" s="528">
        <v>1</v>
      </c>
      <c r="F73" s="531">
        <v>5000000</v>
      </c>
      <c r="G73" s="532">
        <f t="shared" si="4"/>
        <v>5000000</v>
      </c>
    </row>
    <row r="74" spans="1:7" s="512" customFormat="1" ht="86.25" outlineLevel="1">
      <c r="A74" s="528">
        <v>9</v>
      </c>
      <c r="B74" s="529" t="s">
        <v>3719</v>
      </c>
      <c r="C74" s="533" t="s">
        <v>3720</v>
      </c>
      <c r="D74" s="528" t="s">
        <v>1466</v>
      </c>
      <c r="E74" s="528">
        <v>1</v>
      </c>
      <c r="F74" s="531">
        <v>10000000</v>
      </c>
      <c r="G74" s="532">
        <f t="shared" si="4"/>
        <v>10000000</v>
      </c>
    </row>
    <row r="75" spans="1:7" s="512" customFormat="1" ht="69" outlineLevel="1">
      <c r="A75" s="547">
        <v>10</v>
      </c>
      <c r="B75" s="541" t="s">
        <v>1473</v>
      </c>
      <c r="C75" s="574" t="s">
        <v>3721</v>
      </c>
      <c r="D75" s="547" t="s">
        <v>655</v>
      </c>
      <c r="E75" s="547">
        <v>2</v>
      </c>
      <c r="F75" s="536">
        <v>6050000</v>
      </c>
      <c r="G75" s="551">
        <f t="shared" si="4"/>
        <v>12100000</v>
      </c>
    </row>
    <row r="76" spans="1:7" s="512" customFormat="1" ht="86.25" outlineLevel="1">
      <c r="A76" s="528">
        <v>11</v>
      </c>
      <c r="B76" s="529" t="s">
        <v>3722</v>
      </c>
      <c r="C76" s="575" t="s">
        <v>3723</v>
      </c>
      <c r="D76" s="528" t="s">
        <v>655</v>
      </c>
      <c r="E76" s="528">
        <v>2</v>
      </c>
      <c r="F76" s="531">
        <v>13200000</v>
      </c>
      <c r="G76" s="532">
        <f t="shared" si="4"/>
        <v>26400000</v>
      </c>
    </row>
    <row r="77" spans="1:7" s="512" customFormat="1" ht="51.75" outlineLevel="1">
      <c r="A77" s="528">
        <v>13</v>
      </c>
      <c r="B77" s="529" t="s">
        <v>1485</v>
      </c>
      <c r="C77" s="533" t="s">
        <v>3724</v>
      </c>
      <c r="D77" s="528" t="s">
        <v>655</v>
      </c>
      <c r="E77" s="528">
        <v>1</v>
      </c>
      <c r="F77" s="531">
        <v>12000000</v>
      </c>
      <c r="G77" s="532">
        <f t="shared" si="4"/>
        <v>12000000</v>
      </c>
    </row>
    <row r="78" spans="1:7" s="512" customFormat="1" ht="51.75" outlineLevel="1">
      <c r="A78" s="528">
        <v>14</v>
      </c>
      <c r="B78" s="529" t="s">
        <v>3725</v>
      </c>
      <c r="C78" s="533" t="s">
        <v>3726</v>
      </c>
      <c r="D78" s="528" t="s">
        <v>655</v>
      </c>
      <c r="E78" s="528">
        <v>1</v>
      </c>
      <c r="F78" s="531">
        <v>11000000</v>
      </c>
      <c r="G78" s="532">
        <f t="shared" si="4"/>
        <v>11000000</v>
      </c>
    </row>
    <row r="79" spans="1:7" s="512" customFormat="1" ht="34.5" outlineLevel="1">
      <c r="A79" s="528">
        <v>15</v>
      </c>
      <c r="B79" s="529" t="s">
        <v>3727</v>
      </c>
      <c r="C79" s="533" t="s">
        <v>3728</v>
      </c>
      <c r="D79" s="528" t="s">
        <v>655</v>
      </c>
      <c r="E79" s="528">
        <v>1</v>
      </c>
      <c r="F79" s="531">
        <v>7050000</v>
      </c>
      <c r="G79" s="532">
        <f t="shared" si="4"/>
        <v>7050000</v>
      </c>
    </row>
    <row r="80" spans="1:7" s="512" customFormat="1" ht="69" outlineLevel="1">
      <c r="A80" s="528">
        <v>16</v>
      </c>
      <c r="B80" s="529" t="s">
        <v>3729</v>
      </c>
      <c r="C80" s="574" t="s">
        <v>3707</v>
      </c>
      <c r="D80" s="528" t="s">
        <v>655</v>
      </c>
      <c r="E80" s="528">
        <v>1</v>
      </c>
      <c r="F80" s="531">
        <v>21450000</v>
      </c>
      <c r="G80" s="532">
        <f t="shared" si="4"/>
        <v>21450000</v>
      </c>
    </row>
    <row r="81" spans="1:7" s="512" customFormat="1" ht="34.5" outlineLevel="1">
      <c r="A81" s="528">
        <v>20</v>
      </c>
      <c r="B81" s="529" t="s">
        <v>3730</v>
      </c>
      <c r="C81" s="533" t="s">
        <v>3731</v>
      </c>
      <c r="D81" s="528" t="s">
        <v>627</v>
      </c>
      <c r="E81" s="528">
        <v>1</v>
      </c>
      <c r="F81" s="531">
        <v>11140000</v>
      </c>
      <c r="G81" s="532">
        <f t="shared" si="4"/>
        <v>11140000</v>
      </c>
    </row>
    <row r="82" spans="1:7" s="512" customFormat="1" ht="34.5" outlineLevel="1">
      <c r="A82" s="528">
        <v>21</v>
      </c>
      <c r="B82" s="529" t="s">
        <v>3732</v>
      </c>
      <c r="C82" s="533" t="s">
        <v>3733</v>
      </c>
      <c r="D82" s="528" t="s">
        <v>627</v>
      </c>
      <c r="E82" s="528">
        <v>2</v>
      </c>
      <c r="F82" s="531">
        <v>3500000</v>
      </c>
      <c r="G82" s="532">
        <f t="shared" si="4"/>
        <v>7000000</v>
      </c>
    </row>
    <row r="83" spans="1:7" s="512" customFormat="1" ht="69" outlineLevel="1">
      <c r="A83" s="528">
        <v>22</v>
      </c>
      <c r="B83" s="529" t="s">
        <v>1511</v>
      </c>
      <c r="C83" s="533" t="s">
        <v>3734</v>
      </c>
      <c r="D83" s="528" t="s">
        <v>627</v>
      </c>
      <c r="E83" s="528">
        <v>1</v>
      </c>
      <c r="F83" s="531">
        <v>9295000</v>
      </c>
      <c r="G83" s="532">
        <f t="shared" si="4"/>
        <v>9295000</v>
      </c>
    </row>
    <row r="84" spans="1:7" s="512" customFormat="1" ht="120.75" outlineLevel="1">
      <c r="A84" s="528">
        <f>A83+1</f>
        <v>23</v>
      </c>
      <c r="B84" s="529" t="s">
        <v>3735</v>
      </c>
      <c r="C84" s="533" t="s">
        <v>1518</v>
      </c>
      <c r="D84" s="528" t="s">
        <v>680</v>
      </c>
      <c r="E84" s="528">
        <v>2</v>
      </c>
      <c r="F84" s="531">
        <v>1200000</v>
      </c>
      <c r="G84" s="532">
        <f t="shared" si="4"/>
        <v>2400000</v>
      </c>
    </row>
    <row r="85" spans="1:7" s="512" customFormat="1" ht="34.5" outlineLevel="1">
      <c r="A85" s="528">
        <f t="shared" ref="A85:A95" si="5">A84+1</f>
        <v>24</v>
      </c>
      <c r="B85" s="529" t="s">
        <v>1527</v>
      </c>
      <c r="C85" s="575" t="s">
        <v>1528</v>
      </c>
      <c r="D85" s="528" t="s">
        <v>680</v>
      </c>
      <c r="E85" s="528">
        <v>1</v>
      </c>
      <c r="F85" s="531">
        <v>1000000</v>
      </c>
      <c r="G85" s="532">
        <f t="shared" si="4"/>
        <v>1000000</v>
      </c>
    </row>
    <row r="86" spans="1:7" s="512" customFormat="1" ht="69" outlineLevel="1">
      <c r="A86" s="528">
        <f t="shared" si="5"/>
        <v>25</v>
      </c>
      <c r="B86" s="529" t="s">
        <v>1522</v>
      </c>
      <c r="C86" s="533" t="s">
        <v>3736</v>
      </c>
      <c r="D86" s="528" t="s">
        <v>680</v>
      </c>
      <c r="E86" s="528">
        <v>1</v>
      </c>
      <c r="F86" s="531">
        <v>3000000</v>
      </c>
      <c r="G86" s="532">
        <f t="shared" si="4"/>
        <v>3000000</v>
      </c>
    </row>
    <row r="87" spans="1:7" s="512" customFormat="1" ht="51.75" outlineLevel="1">
      <c r="A87" s="528">
        <f t="shared" si="5"/>
        <v>26</v>
      </c>
      <c r="B87" s="529" t="s">
        <v>3737</v>
      </c>
      <c r="C87" s="575" t="s">
        <v>3738</v>
      </c>
      <c r="D87" s="528" t="s">
        <v>680</v>
      </c>
      <c r="E87" s="528">
        <v>1</v>
      </c>
      <c r="F87" s="531">
        <v>3000000</v>
      </c>
      <c r="G87" s="532">
        <f t="shared" si="4"/>
        <v>3000000</v>
      </c>
    </row>
    <row r="88" spans="1:7" s="512" customFormat="1" ht="86.25" outlineLevel="1">
      <c r="A88" s="528">
        <f t="shared" si="5"/>
        <v>27</v>
      </c>
      <c r="B88" s="529" t="s">
        <v>3739</v>
      </c>
      <c r="C88" s="533" t="s">
        <v>3740</v>
      </c>
      <c r="D88" s="528" t="s">
        <v>1028</v>
      </c>
      <c r="E88" s="528">
        <v>1</v>
      </c>
      <c r="F88" s="531">
        <v>5000000</v>
      </c>
      <c r="G88" s="532">
        <f t="shared" si="4"/>
        <v>5000000</v>
      </c>
    </row>
    <row r="89" spans="1:7" s="512" customFormat="1" ht="51.75" outlineLevel="1">
      <c r="A89" s="528">
        <f t="shared" si="5"/>
        <v>28</v>
      </c>
      <c r="B89" s="529" t="s">
        <v>3741</v>
      </c>
      <c r="C89" s="533" t="s">
        <v>3742</v>
      </c>
      <c r="D89" s="528" t="s">
        <v>1028</v>
      </c>
      <c r="E89" s="528">
        <v>2</v>
      </c>
      <c r="F89" s="531">
        <v>12870000</v>
      </c>
      <c r="G89" s="532">
        <f t="shared" si="4"/>
        <v>25740000</v>
      </c>
    </row>
    <row r="90" spans="1:7" s="512" customFormat="1" ht="34.5" outlineLevel="1">
      <c r="A90" s="528">
        <f t="shared" si="5"/>
        <v>29</v>
      </c>
      <c r="B90" s="529" t="s">
        <v>3743</v>
      </c>
      <c r="C90" s="575" t="s">
        <v>3744</v>
      </c>
      <c r="D90" s="528" t="s">
        <v>680</v>
      </c>
      <c r="E90" s="528">
        <v>1</v>
      </c>
      <c r="F90" s="531">
        <v>1000000</v>
      </c>
      <c r="G90" s="532">
        <f t="shared" si="4"/>
        <v>1000000</v>
      </c>
    </row>
    <row r="91" spans="1:7" s="512" customFormat="1" ht="51.75" outlineLevel="1">
      <c r="A91" s="528">
        <f t="shared" si="5"/>
        <v>30</v>
      </c>
      <c r="B91" s="529" t="s">
        <v>3745</v>
      </c>
      <c r="C91" s="533" t="s">
        <v>3746</v>
      </c>
      <c r="D91" s="528" t="s">
        <v>680</v>
      </c>
      <c r="E91" s="528">
        <v>1</v>
      </c>
      <c r="F91" s="531">
        <v>1500000</v>
      </c>
      <c r="G91" s="532">
        <f t="shared" si="4"/>
        <v>1500000</v>
      </c>
    </row>
    <row r="92" spans="1:7" s="512" customFormat="1" ht="51.75" outlineLevel="1">
      <c r="A92" s="528">
        <f t="shared" si="5"/>
        <v>31</v>
      </c>
      <c r="B92" s="529" t="s">
        <v>3747</v>
      </c>
      <c r="C92" s="533" t="s">
        <v>3748</v>
      </c>
      <c r="D92" s="528" t="s">
        <v>680</v>
      </c>
      <c r="E92" s="528">
        <v>1</v>
      </c>
      <c r="F92" s="531">
        <v>12000000</v>
      </c>
      <c r="G92" s="532">
        <f t="shared" si="4"/>
        <v>12000000</v>
      </c>
    </row>
    <row r="93" spans="1:7" s="512" customFormat="1" ht="34.5" outlineLevel="1">
      <c r="A93" s="528">
        <f t="shared" si="5"/>
        <v>32</v>
      </c>
      <c r="B93" s="529" t="s">
        <v>1540</v>
      </c>
      <c r="C93" s="533" t="s">
        <v>3749</v>
      </c>
      <c r="D93" s="528" t="s">
        <v>627</v>
      </c>
      <c r="E93" s="528">
        <v>10</v>
      </c>
      <c r="F93" s="531">
        <v>200000</v>
      </c>
      <c r="G93" s="532">
        <f t="shared" si="4"/>
        <v>2000000</v>
      </c>
    </row>
    <row r="94" spans="1:7" s="512" customFormat="1" ht="34.5" outlineLevel="1">
      <c r="A94" s="547">
        <f t="shared" si="5"/>
        <v>33</v>
      </c>
      <c r="B94" s="541" t="s">
        <v>3750</v>
      </c>
      <c r="C94" s="575" t="s">
        <v>3751</v>
      </c>
      <c r="D94" s="547" t="s">
        <v>624</v>
      </c>
      <c r="E94" s="547">
        <v>1200</v>
      </c>
      <c r="F94" s="536">
        <v>160000</v>
      </c>
      <c r="G94" s="551">
        <f t="shared" si="4"/>
        <v>192000000</v>
      </c>
    </row>
    <row r="95" spans="1:7" s="512" customFormat="1" outlineLevel="1">
      <c r="A95" s="547">
        <f t="shared" si="5"/>
        <v>34</v>
      </c>
      <c r="B95" s="553" t="s">
        <v>3752</v>
      </c>
      <c r="C95" s="553" t="s">
        <v>3752</v>
      </c>
      <c r="D95" s="547" t="s">
        <v>624</v>
      </c>
      <c r="E95" s="547">
        <v>1200</v>
      </c>
      <c r="F95" s="536">
        <v>24000</v>
      </c>
      <c r="G95" s="551">
        <f t="shared" si="4"/>
        <v>28800000</v>
      </c>
    </row>
    <row r="96" spans="1:7" s="512" customFormat="1">
      <c r="A96" s="523" t="s">
        <v>1960</v>
      </c>
      <c r="B96" s="524" t="s">
        <v>3753</v>
      </c>
      <c r="C96" s="524"/>
      <c r="D96" s="526" t="s">
        <v>1134</v>
      </c>
      <c r="E96" s="526">
        <v>1</v>
      </c>
      <c r="F96" s="527"/>
      <c r="G96" s="527"/>
    </row>
    <row r="97" spans="1:7" s="512" customFormat="1" ht="51.75" outlineLevel="1">
      <c r="A97" s="528">
        <f>A95+1</f>
        <v>35</v>
      </c>
      <c r="B97" s="552" t="s">
        <v>3754</v>
      </c>
      <c r="C97" s="552" t="s">
        <v>3755</v>
      </c>
      <c r="D97" s="554" t="s">
        <v>3692</v>
      </c>
      <c r="E97" s="554">
        <v>5</v>
      </c>
      <c r="F97" s="540">
        <v>3960000</v>
      </c>
      <c r="G97" s="532">
        <f t="shared" si="4"/>
        <v>19800000</v>
      </c>
    </row>
    <row r="98" spans="1:7" s="512" customFormat="1" ht="51.75" outlineLevel="1">
      <c r="A98" s="528">
        <f>A97+1</f>
        <v>36</v>
      </c>
      <c r="B98" s="552" t="s">
        <v>3756</v>
      </c>
      <c r="C98" s="552" t="s">
        <v>3757</v>
      </c>
      <c r="D98" s="554" t="s">
        <v>3692</v>
      </c>
      <c r="E98" s="554">
        <v>5</v>
      </c>
      <c r="F98" s="540">
        <v>3960000</v>
      </c>
      <c r="G98" s="532">
        <f>E98*F98</f>
        <v>19800000</v>
      </c>
    </row>
    <row r="99" spans="1:7" s="512" customFormat="1">
      <c r="A99" s="523" t="s">
        <v>3758</v>
      </c>
      <c r="B99" s="524" t="s">
        <v>1010</v>
      </c>
      <c r="C99" s="524"/>
      <c r="D99" s="526" t="s">
        <v>1134</v>
      </c>
      <c r="E99" s="526">
        <v>14</v>
      </c>
      <c r="F99" s="527"/>
      <c r="G99" s="527"/>
    </row>
    <row r="100" spans="1:7" s="512" customFormat="1" ht="86.25" outlineLevel="1">
      <c r="A100" s="547">
        <v>1</v>
      </c>
      <c r="B100" s="541" t="s">
        <v>3759</v>
      </c>
      <c r="C100" s="548" t="s">
        <v>3760</v>
      </c>
      <c r="D100" s="546" t="s">
        <v>680</v>
      </c>
      <c r="E100" s="547">
        <f>D7/2*E99</f>
        <v>280</v>
      </c>
      <c r="F100" s="536">
        <v>2085000</v>
      </c>
      <c r="G100" s="551">
        <f t="shared" ref="G100:G106" si="6">E100*F100</f>
        <v>583800000</v>
      </c>
    </row>
    <row r="101" spans="1:7" s="512" customFormat="1" ht="69" outlineLevel="1">
      <c r="A101" s="528">
        <v>2</v>
      </c>
      <c r="B101" s="541" t="s">
        <v>1017</v>
      </c>
      <c r="C101" s="576" t="s">
        <v>3685</v>
      </c>
      <c r="D101" s="546" t="s">
        <v>627</v>
      </c>
      <c r="E101" s="547">
        <v>14</v>
      </c>
      <c r="F101" s="536">
        <v>3150000</v>
      </c>
      <c r="G101" s="532">
        <f t="shared" si="6"/>
        <v>44100000</v>
      </c>
    </row>
    <row r="102" spans="1:7" s="512" customFormat="1" ht="69" outlineLevel="1">
      <c r="A102" s="528">
        <v>3</v>
      </c>
      <c r="B102" s="541" t="s">
        <v>1019</v>
      </c>
      <c r="C102" s="542" t="s">
        <v>3687</v>
      </c>
      <c r="D102" s="546" t="s">
        <v>680</v>
      </c>
      <c r="E102" s="547">
        <v>14</v>
      </c>
      <c r="F102" s="536">
        <v>529000</v>
      </c>
      <c r="G102" s="532">
        <f t="shared" si="6"/>
        <v>7406000</v>
      </c>
    </row>
    <row r="103" spans="1:7" s="512" customFormat="1" ht="86.25" outlineLevel="1">
      <c r="A103" s="528">
        <v>4</v>
      </c>
      <c r="B103" s="541" t="s">
        <v>1031</v>
      </c>
      <c r="C103" s="548" t="s">
        <v>3761</v>
      </c>
      <c r="D103" s="546" t="s">
        <v>627</v>
      </c>
      <c r="E103" s="547">
        <v>14</v>
      </c>
      <c r="F103" s="536">
        <v>3200000</v>
      </c>
      <c r="G103" s="532">
        <f t="shared" si="6"/>
        <v>44800000</v>
      </c>
    </row>
    <row r="104" spans="1:7" s="512" customFormat="1" ht="86.25" outlineLevel="1">
      <c r="A104" s="528">
        <v>6</v>
      </c>
      <c r="B104" s="541" t="s">
        <v>3762</v>
      </c>
      <c r="C104" s="541" t="s">
        <v>3763</v>
      </c>
      <c r="D104" s="546" t="s">
        <v>627</v>
      </c>
      <c r="E104" s="547">
        <v>14</v>
      </c>
      <c r="F104" s="536">
        <v>5600000</v>
      </c>
      <c r="G104" s="532">
        <f t="shared" si="6"/>
        <v>78400000</v>
      </c>
    </row>
    <row r="105" spans="1:7" s="512" customFormat="1" ht="69" outlineLevel="1">
      <c r="A105" s="528">
        <v>9</v>
      </c>
      <c r="B105" s="541" t="s">
        <v>1025</v>
      </c>
      <c r="C105" s="541" t="s">
        <v>3764</v>
      </c>
      <c r="D105" s="546" t="s">
        <v>1028</v>
      </c>
      <c r="E105" s="547">
        <v>14</v>
      </c>
      <c r="F105" s="536">
        <v>650000</v>
      </c>
      <c r="G105" s="532">
        <f t="shared" si="6"/>
        <v>9100000</v>
      </c>
    </row>
    <row r="106" spans="1:7" s="512" customFormat="1" ht="34.5" outlineLevel="1">
      <c r="A106" s="528">
        <v>10</v>
      </c>
      <c r="B106" s="541" t="s">
        <v>1029</v>
      </c>
      <c r="C106" s="541" t="s">
        <v>3765</v>
      </c>
      <c r="D106" s="546" t="s">
        <v>3766</v>
      </c>
      <c r="E106" s="547">
        <v>14</v>
      </c>
      <c r="F106" s="536">
        <v>120000</v>
      </c>
      <c r="G106" s="532">
        <f t="shared" si="6"/>
        <v>1680000</v>
      </c>
    </row>
    <row r="107" spans="1:7" s="512" customFormat="1">
      <c r="A107" s="523" t="s">
        <v>3767</v>
      </c>
      <c r="B107" s="524" t="s">
        <v>3768</v>
      </c>
      <c r="C107" s="524"/>
      <c r="D107" s="526" t="s">
        <v>1134</v>
      </c>
      <c r="E107" s="526">
        <v>1</v>
      </c>
      <c r="F107" s="527"/>
      <c r="G107" s="527"/>
    </row>
    <row r="108" spans="1:7" s="512" customFormat="1" ht="103.5" outlineLevel="1">
      <c r="A108" s="528">
        <v>1</v>
      </c>
      <c r="B108" s="577" t="s">
        <v>3641</v>
      </c>
      <c r="C108" s="578" t="s">
        <v>3769</v>
      </c>
      <c r="D108" s="554" t="s">
        <v>627</v>
      </c>
      <c r="E108" s="579">
        <v>1</v>
      </c>
      <c r="F108" s="540">
        <v>3346000</v>
      </c>
      <c r="G108" s="532">
        <f>+F108*E108</f>
        <v>3346000</v>
      </c>
    </row>
    <row r="109" spans="1:7" s="512" customFormat="1" ht="86.25" outlineLevel="1">
      <c r="A109" s="528">
        <v>2</v>
      </c>
      <c r="B109" s="577" t="s">
        <v>3770</v>
      </c>
      <c r="C109" s="578" t="s">
        <v>3771</v>
      </c>
      <c r="D109" s="554" t="s">
        <v>627</v>
      </c>
      <c r="E109" s="579">
        <v>4</v>
      </c>
      <c r="F109" s="540">
        <v>550000</v>
      </c>
      <c r="G109" s="532">
        <f>+F109*E109</f>
        <v>2200000</v>
      </c>
    </row>
    <row r="110" spans="1:7" s="512" customFormat="1" ht="86.25" outlineLevel="1">
      <c r="A110" s="528">
        <v>3</v>
      </c>
      <c r="B110" s="578" t="s">
        <v>3772</v>
      </c>
      <c r="C110" s="573" t="s">
        <v>3773</v>
      </c>
      <c r="D110" s="554" t="s">
        <v>1028</v>
      </c>
      <c r="E110" s="579">
        <v>1</v>
      </c>
      <c r="F110" s="540">
        <v>9600000</v>
      </c>
      <c r="G110" s="532">
        <f>+F110*E110</f>
        <v>9600000</v>
      </c>
    </row>
    <row r="111" spans="1:7" s="512" customFormat="1">
      <c r="A111" s="519" t="s">
        <v>3774</v>
      </c>
      <c r="B111" s="520" t="s">
        <v>3775</v>
      </c>
      <c r="C111" s="519"/>
      <c r="D111" s="519"/>
      <c r="E111" s="519"/>
      <c r="F111" s="521"/>
      <c r="G111" s="522"/>
    </row>
    <row r="112" spans="1:7" s="512" customFormat="1">
      <c r="A112" s="523" t="s">
        <v>500</v>
      </c>
      <c r="B112" s="524" t="s">
        <v>1010</v>
      </c>
      <c r="C112" s="524"/>
      <c r="D112" s="526" t="s">
        <v>1134</v>
      </c>
      <c r="E112" s="526">
        <v>14</v>
      </c>
      <c r="F112" s="527"/>
      <c r="G112" s="527"/>
    </row>
    <row r="113" spans="1:7" s="512" customFormat="1" ht="86.25" outlineLevel="1">
      <c r="A113" s="528">
        <v>1</v>
      </c>
      <c r="B113" s="541" t="s">
        <v>3759</v>
      </c>
      <c r="C113" s="548" t="s">
        <v>3760</v>
      </c>
      <c r="D113" s="546" t="s">
        <v>680</v>
      </c>
      <c r="E113" s="547">
        <f>D7/2*E112</f>
        <v>280</v>
      </c>
      <c r="F113" s="536">
        <v>2085000</v>
      </c>
      <c r="G113" s="532">
        <f t="shared" ref="G113:G119" si="7">E113*F113</f>
        <v>583800000</v>
      </c>
    </row>
    <row r="114" spans="1:7" s="512" customFormat="1" ht="69" outlineLevel="1">
      <c r="A114" s="528">
        <f t="shared" ref="A114:A119" si="8">A113+1</f>
        <v>2</v>
      </c>
      <c r="B114" s="541" t="s">
        <v>1017</v>
      </c>
      <c r="C114" s="576" t="s">
        <v>3685</v>
      </c>
      <c r="D114" s="546" t="s">
        <v>627</v>
      </c>
      <c r="E114" s="547">
        <f>E112</f>
        <v>14</v>
      </c>
      <c r="F114" s="536">
        <v>3150000</v>
      </c>
      <c r="G114" s="532">
        <f t="shared" si="7"/>
        <v>44100000</v>
      </c>
    </row>
    <row r="115" spans="1:7" s="512" customFormat="1" ht="69" outlineLevel="1">
      <c r="A115" s="528">
        <f t="shared" si="8"/>
        <v>3</v>
      </c>
      <c r="B115" s="541" t="s">
        <v>1019</v>
      </c>
      <c r="C115" s="542" t="s">
        <v>3687</v>
      </c>
      <c r="D115" s="546" t="s">
        <v>680</v>
      </c>
      <c r="E115" s="547">
        <v>14</v>
      </c>
      <c r="F115" s="536">
        <v>529000</v>
      </c>
      <c r="G115" s="532">
        <f t="shared" si="7"/>
        <v>7406000</v>
      </c>
    </row>
    <row r="116" spans="1:7" s="512" customFormat="1" ht="86.25" outlineLevel="1">
      <c r="A116" s="528">
        <f t="shared" si="8"/>
        <v>4</v>
      </c>
      <c r="B116" s="541" t="s">
        <v>1031</v>
      </c>
      <c r="C116" s="548" t="s">
        <v>3761</v>
      </c>
      <c r="D116" s="546" t="s">
        <v>627</v>
      </c>
      <c r="E116" s="547">
        <v>14</v>
      </c>
      <c r="F116" s="536">
        <v>3200000</v>
      </c>
      <c r="G116" s="532">
        <f t="shared" si="7"/>
        <v>44800000</v>
      </c>
    </row>
    <row r="117" spans="1:7" s="512" customFormat="1" ht="103.5" outlineLevel="1">
      <c r="A117" s="528">
        <f t="shared" si="8"/>
        <v>5</v>
      </c>
      <c r="B117" s="541" t="s">
        <v>3762</v>
      </c>
      <c r="C117" s="541" t="s">
        <v>3776</v>
      </c>
      <c r="D117" s="546" t="s">
        <v>627</v>
      </c>
      <c r="E117" s="547">
        <v>14</v>
      </c>
      <c r="F117" s="536">
        <v>5600000</v>
      </c>
      <c r="G117" s="532">
        <f t="shared" si="7"/>
        <v>78400000</v>
      </c>
    </row>
    <row r="118" spans="1:7" s="512" customFormat="1" ht="69" outlineLevel="1">
      <c r="A118" s="528">
        <f t="shared" si="8"/>
        <v>6</v>
      </c>
      <c r="B118" s="541" t="s">
        <v>1025</v>
      </c>
      <c r="C118" s="541" t="s">
        <v>3777</v>
      </c>
      <c r="D118" s="546" t="s">
        <v>1028</v>
      </c>
      <c r="E118" s="547">
        <v>14</v>
      </c>
      <c r="F118" s="536">
        <v>650000</v>
      </c>
      <c r="G118" s="532">
        <f t="shared" si="7"/>
        <v>9100000</v>
      </c>
    </row>
    <row r="119" spans="1:7" s="512" customFormat="1" ht="34.5" outlineLevel="1">
      <c r="A119" s="528">
        <f t="shared" si="8"/>
        <v>7</v>
      </c>
      <c r="B119" s="541" t="s">
        <v>1029</v>
      </c>
      <c r="C119" s="541" t="s">
        <v>3765</v>
      </c>
      <c r="D119" s="546" t="s">
        <v>3766</v>
      </c>
      <c r="E119" s="547">
        <v>14</v>
      </c>
      <c r="F119" s="536">
        <v>120000</v>
      </c>
      <c r="G119" s="532">
        <f t="shared" si="7"/>
        <v>1680000</v>
      </c>
    </row>
    <row r="120" spans="1:7" s="512" customFormat="1">
      <c r="A120" s="523" t="s">
        <v>504</v>
      </c>
      <c r="B120" s="524" t="s">
        <v>1187</v>
      </c>
      <c r="C120" s="524"/>
      <c r="D120" s="526" t="s">
        <v>1134</v>
      </c>
      <c r="E120" s="526">
        <v>1</v>
      </c>
      <c r="F120" s="527"/>
      <c r="G120" s="527"/>
    </row>
    <row r="121" spans="1:7" s="512" customFormat="1" ht="189.75" outlineLevel="2">
      <c r="A121" s="528">
        <v>1</v>
      </c>
      <c r="B121" s="580" t="s">
        <v>1197</v>
      </c>
      <c r="C121" s="576" t="s">
        <v>3778</v>
      </c>
      <c r="D121" s="581" t="s">
        <v>680</v>
      </c>
      <c r="E121" s="581">
        <v>1</v>
      </c>
      <c r="F121" s="582">
        <v>60000000</v>
      </c>
      <c r="G121" s="532">
        <f t="shared" ref="G121:G126" si="9">E121*F121</f>
        <v>60000000</v>
      </c>
    </row>
    <row r="122" spans="1:7" s="512" customFormat="1" ht="189.75" outlineLevel="2">
      <c r="A122" s="528">
        <v>7</v>
      </c>
      <c r="B122" s="576" t="s">
        <v>1191</v>
      </c>
      <c r="C122" s="576" t="s">
        <v>3779</v>
      </c>
      <c r="D122" s="581" t="s">
        <v>680</v>
      </c>
      <c r="E122" s="581">
        <v>1</v>
      </c>
      <c r="F122" s="582">
        <v>68000000</v>
      </c>
      <c r="G122" s="532">
        <f t="shared" si="9"/>
        <v>68000000</v>
      </c>
    </row>
    <row r="123" spans="1:7" s="512" customFormat="1" ht="86.25" outlineLevel="2">
      <c r="A123" s="528">
        <v>9</v>
      </c>
      <c r="B123" s="576" t="s">
        <v>1193</v>
      </c>
      <c r="C123" s="550" t="s">
        <v>3780</v>
      </c>
      <c r="D123" s="581" t="s">
        <v>627</v>
      </c>
      <c r="E123" s="581">
        <v>1</v>
      </c>
      <c r="F123" s="582">
        <v>4800000</v>
      </c>
      <c r="G123" s="532">
        <f t="shared" si="9"/>
        <v>4800000</v>
      </c>
    </row>
    <row r="124" spans="1:7" s="512" customFormat="1" ht="51.75" outlineLevel="2">
      <c r="A124" s="528">
        <v>10</v>
      </c>
      <c r="B124" s="576" t="s">
        <v>1195</v>
      </c>
      <c r="C124" s="552" t="s">
        <v>3781</v>
      </c>
      <c r="D124" s="581" t="s">
        <v>627</v>
      </c>
      <c r="E124" s="581">
        <v>1</v>
      </c>
      <c r="F124" s="582">
        <v>3200000</v>
      </c>
      <c r="G124" s="532">
        <f t="shared" si="9"/>
        <v>3200000</v>
      </c>
    </row>
    <row r="125" spans="1:7" s="512" customFormat="1" ht="69" outlineLevel="2">
      <c r="A125" s="528">
        <v>11</v>
      </c>
      <c r="B125" s="580" t="s">
        <v>1146</v>
      </c>
      <c r="C125" s="552" t="s">
        <v>3782</v>
      </c>
      <c r="D125" s="581" t="s">
        <v>627</v>
      </c>
      <c r="E125" s="554">
        <v>196</v>
      </c>
      <c r="F125" s="582">
        <v>1800000</v>
      </c>
      <c r="G125" s="532">
        <f t="shared" si="9"/>
        <v>352800000</v>
      </c>
    </row>
    <row r="126" spans="1:7" s="512" customFormat="1" ht="69" outlineLevel="2">
      <c r="A126" s="547">
        <v>12</v>
      </c>
      <c r="B126" s="541" t="s">
        <v>3783</v>
      </c>
      <c r="C126" s="542" t="s">
        <v>3687</v>
      </c>
      <c r="D126" s="554" t="s">
        <v>627</v>
      </c>
      <c r="E126" s="554">
        <v>392</v>
      </c>
      <c r="F126" s="540">
        <v>529000</v>
      </c>
      <c r="G126" s="551">
        <f t="shared" si="9"/>
        <v>207368000</v>
      </c>
    </row>
    <row r="127" spans="1:7" s="512" customFormat="1">
      <c r="A127" s="523" t="s">
        <v>504</v>
      </c>
      <c r="B127" s="524" t="s">
        <v>3689</v>
      </c>
      <c r="C127" s="525"/>
      <c r="D127" s="526" t="s">
        <v>1134</v>
      </c>
      <c r="E127" s="526">
        <v>1</v>
      </c>
      <c r="F127" s="527"/>
      <c r="G127" s="527"/>
    </row>
    <row r="128" spans="1:7" s="512" customFormat="1" ht="51.75" outlineLevel="1">
      <c r="A128" s="528">
        <v>1</v>
      </c>
      <c r="B128" s="552" t="s">
        <v>3690</v>
      </c>
      <c r="C128" s="552" t="s">
        <v>3784</v>
      </c>
      <c r="D128" s="554" t="s">
        <v>3692</v>
      </c>
      <c r="E128" s="554">
        <v>6</v>
      </c>
      <c r="F128" s="540">
        <v>3960000</v>
      </c>
      <c r="G128" s="532">
        <f>E128*F128</f>
        <v>23760000</v>
      </c>
    </row>
    <row r="129" spans="1:7" s="512" customFormat="1">
      <c r="A129" s="523" t="s">
        <v>507</v>
      </c>
      <c r="B129" s="524" t="s">
        <v>3785</v>
      </c>
      <c r="C129" s="524"/>
      <c r="D129" s="526" t="s">
        <v>1134</v>
      </c>
      <c r="E129" s="526">
        <v>1</v>
      </c>
      <c r="F129" s="527"/>
      <c r="G129" s="527"/>
    </row>
    <row r="130" spans="1:7" s="512" customFormat="1" ht="86.25" outlineLevel="1">
      <c r="A130" s="528">
        <v>1</v>
      </c>
      <c r="B130" s="529" t="s">
        <v>3641</v>
      </c>
      <c r="C130" s="549" t="s">
        <v>3786</v>
      </c>
      <c r="D130" s="528" t="s">
        <v>680</v>
      </c>
      <c r="E130" s="528">
        <v>1</v>
      </c>
      <c r="F130" s="531">
        <v>12748000</v>
      </c>
      <c r="G130" s="532">
        <f t="shared" ref="G130:G137" si="10">E130*F130</f>
        <v>12748000</v>
      </c>
    </row>
    <row r="131" spans="1:7" s="512" customFormat="1" ht="51.75" outlineLevel="1">
      <c r="A131" s="528">
        <f>A130+1</f>
        <v>2</v>
      </c>
      <c r="B131" s="529" t="s">
        <v>3643</v>
      </c>
      <c r="C131" s="533" t="s">
        <v>3644</v>
      </c>
      <c r="D131" s="528" t="s">
        <v>627</v>
      </c>
      <c r="E131" s="528">
        <v>1</v>
      </c>
      <c r="F131" s="531">
        <v>1500000</v>
      </c>
      <c r="G131" s="532">
        <f t="shared" si="10"/>
        <v>1500000</v>
      </c>
    </row>
    <row r="132" spans="1:7" s="512" customFormat="1" outlineLevel="1">
      <c r="A132" s="528">
        <f>A131+1</f>
        <v>3</v>
      </c>
      <c r="B132" s="529" t="s">
        <v>3645</v>
      </c>
      <c r="C132" s="534" t="s">
        <v>3646</v>
      </c>
      <c r="D132" s="528" t="s">
        <v>627</v>
      </c>
      <c r="E132" s="528">
        <v>1</v>
      </c>
      <c r="F132" s="531">
        <v>3500000</v>
      </c>
      <c r="G132" s="532">
        <f t="shared" si="10"/>
        <v>3500000</v>
      </c>
    </row>
    <row r="133" spans="1:7" s="512" customFormat="1" ht="51.75" outlineLevel="1">
      <c r="A133" s="528">
        <f>A132+1</f>
        <v>4</v>
      </c>
      <c r="B133" s="529" t="s">
        <v>3647</v>
      </c>
      <c r="C133" s="534" t="s">
        <v>3648</v>
      </c>
      <c r="D133" s="528" t="s">
        <v>627</v>
      </c>
      <c r="E133" s="528">
        <v>2</v>
      </c>
      <c r="F133" s="531">
        <v>1050000</v>
      </c>
      <c r="G133" s="532">
        <f t="shared" si="10"/>
        <v>2100000</v>
      </c>
    </row>
    <row r="134" spans="1:7" s="512" customFormat="1" ht="103.5" outlineLevel="1">
      <c r="A134" s="528">
        <f>A133+1</f>
        <v>5</v>
      </c>
      <c r="B134" s="529" t="s">
        <v>3649</v>
      </c>
      <c r="C134" s="530" t="s">
        <v>3787</v>
      </c>
      <c r="D134" s="528" t="s">
        <v>627</v>
      </c>
      <c r="E134" s="528">
        <v>1</v>
      </c>
      <c r="F134" s="531">
        <v>5600000</v>
      </c>
      <c r="G134" s="532">
        <f t="shared" si="10"/>
        <v>5600000</v>
      </c>
    </row>
    <row r="135" spans="1:7" s="512" customFormat="1" ht="34.5" outlineLevel="1">
      <c r="A135" s="528" t="e">
        <f>#REF!+1</f>
        <v>#REF!</v>
      </c>
      <c r="B135" s="529" t="s">
        <v>1056</v>
      </c>
      <c r="C135" s="534" t="s">
        <v>3788</v>
      </c>
      <c r="D135" s="528" t="s">
        <v>627</v>
      </c>
      <c r="E135" s="528">
        <v>1</v>
      </c>
      <c r="F135" s="531">
        <v>502000</v>
      </c>
      <c r="G135" s="532">
        <f t="shared" si="10"/>
        <v>502000</v>
      </c>
    </row>
    <row r="136" spans="1:7" s="512" customFormat="1" ht="207" outlineLevel="1">
      <c r="A136" s="528" t="e">
        <f>#REF!+1</f>
        <v>#REF!</v>
      </c>
      <c r="B136" s="535" t="s">
        <v>1058</v>
      </c>
      <c r="C136" s="535" t="s">
        <v>3651</v>
      </c>
      <c r="D136" s="528" t="s">
        <v>627</v>
      </c>
      <c r="E136" s="528">
        <v>1</v>
      </c>
      <c r="F136" s="531">
        <v>11900000</v>
      </c>
      <c r="G136" s="532">
        <f t="shared" si="10"/>
        <v>11900000</v>
      </c>
    </row>
    <row r="137" spans="1:7" s="512" customFormat="1" ht="241.5" outlineLevel="1">
      <c r="A137" s="528" t="e">
        <f>A136+1</f>
        <v>#REF!</v>
      </c>
      <c r="B137" s="535" t="s">
        <v>1062</v>
      </c>
      <c r="C137" s="537" t="s">
        <v>3652</v>
      </c>
      <c r="D137" s="528" t="s">
        <v>627</v>
      </c>
      <c r="E137" s="528">
        <v>1</v>
      </c>
      <c r="F137" s="531">
        <v>6000000</v>
      </c>
      <c r="G137" s="532">
        <f t="shared" si="10"/>
        <v>6000000</v>
      </c>
    </row>
    <row r="138" spans="1:7" s="512" customFormat="1">
      <c r="A138" s="523" t="s">
        <v>513</v>
      </c>
      <c r="B138" s="524" t="s">
        <v>3789</v>
      </c>
      <c r="C138" s="524"/>
      <c r="D138" s="526" t="s">
        <v>1134</v>
      </c>
      <c r="E138" s="526">
        <v>1</v>
      </c>
      <c r="F138" s="527"/>
      <c r="G138" s="527"/>
    </row>
    <row r="139" spans="1:7" s="512" customFormat="1" ht="51.75" outlineLevel="1">
      <c r="A139" s="528">
        <v>3</v>
      </c>
      <c r="B139" s="541" t="s">
        <v>3790</v>
      </c>
      <c r="C139" s="549" t="s">
        <v>3791</v>
      </c>
      <c r="D139" s="547" t="s">
        <v>627</v>
      </c>
      <c r="E139" s="547">
        <v>1</v>
      </c>
      <c r="F139" s="536">
        <v>7200000</v>
      </c>
      <c r="G139" s="551">
        <f>E139*F139</f>
        <v>7200000</v>
      </c>
    </row>
    <row r="140" spans="1:7" s="512" customFormat="1" ht="86.25" outlineLevel="1">
      <c r="A140" s="528">
        <v>4</v>
      </c>
      <c r="B140" s="541" t="s">
        <v>3696</v>
      </c>
      <c r="C140" s="550" t="s">
        <v>3792</v>
      </c>
      <c r="D140" s="528" t="s">
        <v>627</v>
      </c>
      <c r="E140" s="528">
        <v>10</v>
      </c>
      <c r="F140" s="531">
        <v>1050000</v>
      </c>
      <c r="G140" s="532">
        <f>E140*F140</f>
        <v>10500000</v>
      </c>
    </row>
    <row r="141" spans="1:7" s="512" customFormat="1" ht="51.75" outlineLevel="1">
      <c r="A141" s="528">
        <v>5</v>
      </c>
      <c r="B141" s="583" t="s">
        <v>3793</v>
      </c>
      <c r="C141" s="584" t="s">
        <v>3794</v>
      </c>
      <c r="D141" s="585" t="s">
        <v>627</v>
      </c>
      <c r="E141" s="554">
        <v>1</v>
      </c>
      <c r="F141" s="586">
        <v>1500000</v>
      </c>
      <c r="G141" s="532">
        <f>E141*F141</f>
        <v>1500000</v>
      </c>
    </row>
    <row r="142" spans="1:7" s="512" customFormat="1" ht="86.25" outlineLevel="1">
      <c r="A142" s="528">
        <v>8</v>
      </c>
      <c r="B142" s="529" t="s">
        <v>3795</v>
      </c>
      <c r="C142" s="549" t="s">
        <v>3796</v>
      </c>
      <c r="D142" s="585" t="s">
        <v>627</v>
      </c>
      <c r="E142" s="554">
        <v>1</v>
      </c>
      <c r="F142" s="586">
        <v>7840000</v>
      </c>
      <c r="G142" s="532">
        <f>E142*F142</f>
        <v>7840000</v>
      </c>
    </row>
    <row r="143" spans="1:7" s="512" customFormat="1">
      <c r="A143" s="523" t="s">
        <v>557</v>
      </c>
      <c r="B143" s="524" t="s">
        <v>1145</v>
      </c>
      <c r="C143" s="524"/>
      <c r="D143" s="526" t="s">
        <v>1134</v>
      </c>
      <c r="E143" s="526">
        <v>1</v>
      </c>
      <c r="F143" s="527"/>
      <c r="G143" s="527"/>
    </row>
    <row r="144" spans="1:7" s="512" customFormat="1" ht="103.5" outlineLevel="1">
      <c r="A144" s="547">
        <v>1</v>
      </c>
      <c r="B144" s="529" t="s">
        <v>3797</v>
      </c>
      <c r="C144" s="587" t="s">
        <v>3798</v>
      </c>
      <c r="D144" s="528" t="s">
        <v>680</v>
      </c>
      <c r="E144" s="588">
        <v>1</v>
      </c>
      <c r="F144" s="589">
        <v>38244000</v>
      </c>
      <c r="G144" s="551">
        <f>+F144*E144</f>
        <v>38244000</v>
      </c>
    </row>
    <row r="145" spans="1:7" s="512" customFormat="1" ht="86.25" outlineLevel="1">
      <c r="A145" s="547">
        <v>2</v>
      </c>
      <c r="B145" s="541" t="s">
        <v>3696</v>
      </c>
      <c r="C145" s="550" t="s">
        <v>3792</v>
      </c>
      <c r="D145" s="547" t="s">
        <v>627</v>
      </c>
      <c r="E145" s="547">
        <v>30</v>
      </c>
      <c r="F145" s="590">
        <v>1050000</v>
      </c>
      <c r="G145" s="551">
        <f>+F145*E145</f>
        <v>31500000</v>
      </c>
    </row>
    <row r="146" spans="1:7" s="512" customFormat="1">
      <c r="A146" s="523" t="s">
        <v>597</v>
      </c>
      <c r="B146" s="524" t="s">
        <v>3693</v>
      </c>
      <c r="C146" s="524"/>
      <c r="D146" s="526" t="s">
        <v>1134</v>
      </c>
      <c r="E146" s="526">
        <v>1</v>
      </c>
      <c r="F146" s="527"/>
      <c r="G146" s="527"/>
    </row>
    <row r="147" spans="1:7" s="512" customFormat="1" ht="51.75" outlineLevel="1">
      <c r="A147" s="528">
        <v>1</v>
      </c>
      <c r="B147" s="541" t="s">
        <v>3694</v>
      </c>
      <c r="C147" s="541" t="s">
        <v>3799</v>
      </c>
      <c r="D147" s="547" t="s">
        <v>627</v>
      </c>
      <c r="E147" s="547">
        <v>1</v>
      </c>
      <c r="F147" s="536">
        <v>3300000</v>
      </c>
      <c r="G147" s="532">
        <f>E147*F147</f>
        <v>3300000</v>
      </c>
    </row>
    <row r="148" spans="1:7" s="512" customFormat="1" ht="51.75" outlineLevel="1">
      <c r="A148" s="528">
        <v>2</v>
      </c>
      <c r="B148" s="541" t="s">
        <v>3696</v>
      </c>
      <c r="C148" s="542" t="s">
        <v>3660</v>
      </c>
      <c r="D148" s="547" t="s">
        <v>627</v>
      </c>
      <c r="E148" s="547">
        <v>8</v>
      </c>
      <c r="F148" s="536">
        <v>529000</v>
      </c>
      <c r="G148" s="532">
        <f>E148*F148</f>
        <v>4232000</v>
      </c>
    </row>
    <row r="149" spans="1:7" s="512" customFormat="1" ht="86.25" outlineLevel="1">
      <c r="A149" s="528">
        <v>3</v>
      </c>
      <c r="B149" s="541" t="s">
        <v>3697</v>
      </c>
      <c r="C149" s="549" t="s">
        <v>3698</v>
      </c>
      <c r="D149" s="547" t="s">
        <v>627</v>
      </c>
      <c r="E149" s="547">
        <v>4</v>
      </c>
      <c r="F149" s="536">
        <v>4500000</v>
      </c>
      <c r="G149" s="532">
        <f>E149*F149</f>
        <v>18000000</v>
      </c>
    </row>
    <row r="150" spans="1:7" s="512" customFormat="1">
      <c r="A150" s="523" t="s">
        <v>1928</v>
      </c>
      <c r="B150" s="524" t="s">
        <v>3768</v>
      </c>
      <c r="C150" s="524"/>
      <c r="D150" s="526" t="s">
        <v>1134</v>
      </c>
      <c r="E150" s="526">
        <v>1</v>
      </c>
      <c r="F150" s="527"/>
      <c r="G150" s="527"/>
    </row>
    <row r="151" spans="1:7" s="512" customFormat="1" ht="103.5" outlineLevel="1">
      <c r="A151" s="528">
        <v>1</v>
      </c>
      <c r="B151" s="577" t="s">
        <v>3641</v>
      </c>
      <c r="C151" s="578" t="s">
        <v>3769</v>
      </c>
      <c r="D151" s="554" t="s">
        <v>627</v>
      </c>
      <c r="E151" s="579">
        <v>1</v>
      </c>
      <c r="F151" s="540">
        <v>3346000</v>
      </c>
      <c r="G151" s="532">
        <f>+F151*E151</f>
        <v>3346000</v>
      </c>
    </row>
    <row r="152" spans="1:7" s="512" customFormat="1" ht="86.25" outlineLevel="1">
      <c r="A152" s="528">
        <v>2</v>
      </c>
      <c r="B152" s="577" t="s">
        <v>3770</v>
      </c>
      <c r="C152" s="578" t="s">
        <v>3771</v>
      </c>
      <c r="D152" s="554" t="s">
        <v>627</v>
      </c>
      <c r="E152" s="579">
        <v>4</v>
      </c>
      <c r="F152" s="540">
        <v>550000</v>
      </c>
      <c r="G152" s="532">
        <f>+F152*E152</f>
        <v>2200000</v>
      </c>
    </row>
    <row r="153" spans="1:7" s="512" customFormat="1">
      <c r="A153" s="519" t="s">
        <v>3800</v>
      </c>
      <c r="B153" s="520" t="s">
        <v>3801</v>
      </c>
      <c r="C153" s="519"/>
      <c r="D153" s="519"/>
      <c r="E153" s="519"/>
      <c r="F153" s="521"/>
      <c r="G153" s="522"/>
    </row>
    <row r="154" spans="1:7" s="512" customFormat="1">
      <c r="A154" s="523" t="s">
        <v>500</v>
      </c>
      <c r="B154" s="524" t="s">
        <v>1010</v>
      </c>
      <c r="C154" s="524"/>
      <c r="D154" s="526" t="s">
        <v>1134</v>
      </c>
      <c r="E154" s="523">
        <v>10</v>
      </c>
      <c r="F154" s="527"/>
      <c r="G154" s="527"/>
    </row>
    <row r="155" spans="1:7" s="512" customFormat="1" ht="86.25" outlineLevel="1">
      <c r="A155" s="528">
        <v>1</v>
      </c>
      <c r="B155" s="541" t="s">
        <v>3759</v>
      </c>
      <c r="C155" s="548" t="s">
        <v>3802</v>
      </c>
      <c r="D155" s="546" t="s">
        <v>680</v>
      </c>
      <c r="E155" s="547">
        <f>40/2*E154</f>
        <v>200</v>
      </c>
      <c r="F155" s="536">
        <v>2085000</v>
      </c>
      <c r="G155" s="532">
        <f t="shared" ref="G155:G161" si="11">E155*F155</f>
        <v>417000000</v>
      </c>
    </row>
    <row r="156" spans="1:7" s="512" customFormat="1" ht="69" outlineLevel="1">
      <c r="A156" s="528">
        <v>2</v>
      </c>
      <c r="B156" s="541" t="s">
        <v>1017</v>
      </c>
      <c r="C156" s="576" t="s">
        <v>3685</v>
      </c>
      <c r="D156" s="546" t="s">
        <v>627</v>
      </c>
      <c r="E156" s="547">
        <f>E154</f>
        <v>10</v>
      </c>
      <c r="F156" s="536">
        <v>3150000</v>
      </c>
      <c r="G156" s="532">
        <f t="shared" si="11"/>
        <v>31500000</v>
      </c>
    </row>
    <row r="157" spans="1:7" s="512" customFormat="1" ht="69" outlineLevel="1">
      <c r="A157" s="528">
        <v>3</v>
      </c>
      <c r="B157" s="541" t="s">
        <v>1019</v>
      </c>
      <c r="C157" s="542" t="s">
        <v>3803</v>
      </c>
      <c r="D157" s="546" t="s">
        <v>680</v>
      </c>
      <c r="E157" s="547">
        <f>+E154</f>
        <v>10</v>
      </c>
      <c r="F157" s="536">
        <v>529000</v>
      </c>
      <c r="G157" s="532">
        <f t="shared" si="11"/>
        <v>5290000</v>
      </c>
    </row>
    <row r="158" spans="1:7" s="512" customFormat="1" ht="86.25" outlineLevel="1">
      <c r="A158" s="528">
        <v>4</v>
      </c>
      <c r="B158" s="541" t="s">
        <v>1031</v>
      </c>
      <c r="C158" s="548" t="s">
        <v>3761</v>
      </c>
      <c r="D158" s="546" t="s">
        <v>627</v>
      </c>
      <c r="E158" s="547">
        <f>+E154</f>
        <v>10</v>
      </c>
      <c r="F158" s="536">
        <v>3200000</v>
      </c>
      <c r="G158" s="532">
        <f t="shared" si="11"/>
        <v>32000000</v>
      </c>
    </row>
    <row r="159" spans="1:7" s="512" customFormat="1" ht="86.25" outlineLevel="1">
      <c r="A159" s="528">
        <v>6</v>
      </c>
      <c r="B159" s="541" t="s">
        <v>3762</v>
      </c>
      <c r="C159" s="541" t="s">
        <v>3763</v>
      </c>
      <c r="D159" s="546" t="s">
        <v>627</v>
      </c>
      <c r="E159" s="547">
        <f>+E154</f>
        <v>10</v>
      </c>
      <c r="F159" s="536">
        <v>5600000</v>
      </c>
      <c r="G159" s="532">
        <f t="shared" si="11"/>
        <v>56000000</v>
      </c>
    </row>
    <row r="160" spans="1:7" s="512" customFormat="1" ht="69" outlineLevel="1">
      <c r="A160" s="528">
        <v>9</v>
      </c>
      <c r="B160" s="541" t="s">
        <v>1025</v>
      </c>
      <c r="C160" s="541" t="s">
        <v>3777</v>
      </c>
      <c r="D160" s="546" t="s">
        <v>1028</v>
      </c>
      <c r="E160" s="547">
        <f>E159</f>
        <v>10</v>
      </c>
      <c r="F160" s="536">
        <v>650000</v>
      </c>
      <c r="G160" s="532">
        <f t="shared" si="11"/>
        <v>6500000</v>
      </c>
    </row>
    <row r="161" spans="1:7" s="512" customFormat="1" ht="34.5" outlineLevel="1">
      <c r="A161" s="528">
        <v>10</v>
      </c>
      <c r="B161" s="541" t="s">
        <v>1029</v>
      </c>
      <c r="C161" s="541" t="s">
        <v>3765</v>
      </c>
      <c r="D161" s="546" t="s">
        <v>3766</v>
      </c>
      <c r="E161" s="547">
        <f>+E160</f>
        <v>10</v>
      </c>
      <c r="F161" s="536">
        <v>120000</v>
      </c>
      <c r="G161" s="532">
        <f t="shared" si="11"/>
        <v>1200000</v>
      </c>
    </row>
    <row r="162" spans="1:7" s="512" customFormat="1">
      <c r="A162" s="523" t="s">
        <v>504</v>
      </c>
      <c r="B162" s="524" t="s">
        <v>3804</v>
      </c>
      <c r="C162" s="524"/>
      <c r="D162" s="526" t="s">
        <v>1134</v>
      </c>
      <c r="E162" s="523">
        <v>1</v>
      </c>
      <c r="F162" s="527"/>
      <c r="G162" s="527"/>
    </row>
    <row r="163" spans="1:7" s="512" customFormat="1" ht="51.75" outlineLevel="1">
      <c r="A163" s="547">
        <v>1</v>
      </c>
      <c r="B163" s="552" t="s">
        <v>3805</v>
      </c>
      <c r="C163" s="552" t="s">
        <v>3784</v>
      </c>
      <c r="D163" s="554" t="s">
        <v>3692</v>
      </c>
      <c r="E163" s="554">
        <v>10</v>
      </c>
      <c r="F163" s="540">
        <v>3960000</v>
      </c>
      <c r="G163" s="551">
        <f>E163*F163</f>
        <v>39600000</v>
      </c>
    </row>
    <row r="164" spans="1:7" s="512" customFormat="1">
      <c r="A164" s="523" t="s">
        <v>507</v>
      </c>
      <c r="B164" s="524" t="s">
        <v>3806</v>
      </c>
      <c r="C164" s="524"/>
      <c r="D164" s="526" t="s">
        <v>1134</v>
      </c>
      <c r="E164" s="523">
        <v>1</v>
      </c>
      <c r="F164" s="527"/>
      <c r="G164" s="527"/>
    </row>
    <row r="165" spans="1:7" ht="69" outlineLevel="1">
      <c r="A165" s="528">
        <v>1</v>
      </c>
      <c r="B165" s="541" t="s">
        <v>3807</v>
      </c>
      <c r="C165" s="550" t="s">
        <v>3808</v>
      </c>
      <c r="D165" s="546" t="s">
        <v>627</v>
      </c>
      <c r="E165" s="547">
        <v>4</v>
      </c>
      <c r="F165" s="536">
        <v>5600000</v>
      </c>
      <c r="G165" s="532">
        <f>E165*F165</f>
        <v>22400000</v>
      </c>
    </row>
    <row r="166" spans="1:7" ht="51.75" outlineLevel="1">
      <c r="A166" s="528">
        <v>2</v>
      </c>
      <c r="B166" s="541" t="s">
        <v>3809</v>
      </c>
      <c r="C166" s="550" t="s">
        <v>3810</v>
      </c>
      <c r="D166" s="546" t="s">
        <v>627</v>
      </c>
      <c r="E166" s="547">
        <v>1</v>
      </c>
      <c r="F166" s="536">
        <v>3300000</v>
      </c>
      <c r="G166" s="532">
        <f>E166*F166</f>
        <v>3300000</v>
      </c>
    </row>
    <row r="167" spans="1:7" ht="69" outlineLevel="1">
      <c r="A167" s="528">
        <v>3</v>
      </c>
      <c r="B167" s="557" t="s">
        <v>3783</v>
      </c>
      <c r="C167" s="542" t="s">
        <v>3687</v>
      </c>
      <c r="D167" s="554" t="s">
        <v>655</v>
      </c>
      <c r="E167" s="554">
        <v>10</v>
      </c>
      <c r="F167" s="536">
        <v>529000</v>
      </c>
      <c r="G167" s="532">
        <f>E167*F167</f>
        <v>5290000</v>
      </c>
    </row>
    <row r="168" spans="1:7">
      <c r="A168" s="523" t="s">
        <v>513</v>
      </c>
      <c r="B168" s="524" t="s">
        <v>3811</v>
      </c>
      <c r="C168" s="524"/>
      <c r="D168" s="526" t="s">
        <v>1134</v>
      </c>
      <c r="E168" s="523">
        <v>1</v>
      </c>
      <c r="F168" s="527"/>
      <c r="G168" s="527"/>
    </row>
    <row r="169" spans="1:7" ht="103.5" outlineLevel="1">
      <c r="A169" s="528">
        <v>1</v>
      </c>
      <c r="B169" s="541" t="s">
        <v>3812</v>
      </c>
      <c r="C169" s="550" t="s">
        <v>3813</v>
      </c>
      <c r="D169" s="546" t="s">
        <v>680</v>
      </c>
      <c r="E169" s="547">
        <v>1</v>
      </c>
      <c r="F169" s="536">
        <v>2700000</v>
      </c>
      <c r="G169" s="551">
        <f t="shared" ref="G169:G174" si="12">E169*F169</f>
        <v>2700000</v>
      </c>
    </row>
    <row r="170" spans="1:7" ht="103.5" outlineLevel="1">
      <c r="A170" s="528">
        <v>2</v>
      </c>
      <c r="B170" s="541" t="s">
        <v>3814</v>
      </c>
      <c r="C170" s="550" t="s">
        <v>3815</v>
      </c>
      <c r="D170" s="546" t="s">
        <v>1028</v>
      </c>
      <c r="E170" s="547">
        <f>D7/2</f>
        <v>20</v>
      </c>
      <c r="F170" s="536">
        <v>2160000</v>
      </c>
      <c r="G170" s="532">
        <f t="shared" si="12"/>
        <v>43200000</v>
      </c>
    </row>
    <row r="171" spans="1:7" s="592" customFormat="1" ht="69" outlineLevel="1">
      <c r="A171" s="528">
        <v>3</v>
      </c>
      <c r="B171" s="541" t="s">
        <v>1019</v>
      </c>
      <c r="C171" s="591" t="s">
        <v>3803</v>
      </c>
      <c r="D171" s="546" t="s">
        <v>680</v>
      </c>
      <c r="E171" s="547">
        <v>1</v>
      </c>
      <c r="F171" s="536">
        <v>529000</v>
      </c>
      <c r="G171" s="532">
        <f t="shared" si="12"/>
        <v>529000</v>
      </c>
    </row>
    <row r="172" spans="1:7" ht="69" outlineLevel="1">
      <c r="A172" s="528">
        <v>5</v>
      </c>
      <c r="B172" s="541" t="s">
        <v>3816</v>
      </c>
      <c r="C172" s="550" t="s">
        <v>3817</v>
      </c>
      <c r="D172" s="546" t="s">
        <v>627</v>
      </c>
      <c r="E172" s="547">
        <v>40</v>
      </c>
      <c r="F172" s="536">
        <v>351000</v>
      </c>
      <c r="G172" s="532">
        <f t="shared" si="12"/>
        <v>14040000</v>
      </c>
    </row>
    <row r="173" spans="1:7" ht="34.5" outlineLevel="1">
      <c r="A173" s="528">
        <v>8</v>
      </c>
      <c r="B173" s="541" t="s">
        <v>1029</v>
      </c>
      <c r="C173" s="541" t="s">
        <v>3765</v>
      </c>
      <c r="D173" s="546" t="s">
        <v>3766</v>
      </c>
      <c r="E173" s="547">
        <v>1</v>
      </c>
      <c r="F173" s="536">
        <v>120000</v>
      </c>
      <c r="G173" s="532">
        <f t="shared" si="12"/>
        <v>120000</v>
      </c>
    </row>
    <row r="174" spans="1:7" s="512" customFormat="1" ht="69" outlineLevel="1">
      <c r="A174" s="547">
        <v>13</v>
      </c>
      <c r="B174" s="587" t="s">
        <v>3807</v>
      </c>
      <c r="C174" s="550" t="s">
        <v>3818</v>
      </c>
      <c r="D174" s="546" t="s">
        <v>627</v>
      </c>
      <c r="E174" s="547">
        <v>4</v>
      </c>
      <c r="F174" s="536">
        <v>5600000</v>
      </c>
      <c r="G174" s="551">
        <f t="shared" si="12"/>
        <v>22400000</v>
      </c>
    </row>
    <row r="175" spans="1:7" ht="86.25" outlineLevel="1">
      <c r="A175" s="528">
        <v>14</v>
      </c>
      <c r="B175" s="541" t="s">
        <v>1031</v>
      </c>
      <c r="C175" s="548" t="s">
        <v>3761</v>
      </c>
      <c r="D175" s="546" t="s">
        <v>3819</v>
      </c>
      <c r="E175" s="547">
        <v>1</v>
      </c>
      <c r="F175" s="536">
        <v>3200000</v>
      </c>
      <c r="G175" s="532">
        <f>+F175*E175</f>
        <v>3200000</v>
      </c>
    </row>
    <row r="176" spans="1:7" ht="69" outlineLevel="1">
      <c r="A176" s="547">
        <v>16</v>
      </c>
      <c r="B176" s="541" t="s">
        <v>3820</v>
      </c>
      <c r="C176" s="548" t="s">
        <v>3821</v>
      </c>
      <c r="D176" s="546" t="s">
        <v>3819</v>
      </c>
      <c r="E176" s="547">
        <v>2</v>
      </c>
      <c r="F176" s="536">
        <v>2500000</v>
      </c>
      <c r="G176" s="536">
        <f>+F176*E176</f>
        <v>5000000</v>
      </c>
    </row>
    <row r="177" spans="1:7">
      <c r="A177" s="523" t="s">
        <v>557</v>
      </c>
      <c r="B177" s="524" t="s">
        <v>3822</v>
      </c>
      <c r="C177" s="524"/>
      <c r="D177" s="526" t="s">
        <v>1134</v>
      </c>
      <c r="E177" s="523">
        <v>1</v>
      </c>
      <c r="F177" s="527"/>
      <c r="G177" s="527"/>
    </row>
    <row r="178" spans="1:7" s="512" customFormat="1" ht="86.25" outlineLevel="1">
      <c r="A178" s="528">
        <v>1</v>
      </c>
      <c r="B178" s="557" t="s">
        <v>1017</v>
      </c>
      <c r="C178" s="593" t="s">
        <v>3823</v>
      </c>
      <c r="D178" s="594" t="s">
        <v>655</v>
      </c>
      <c r="E178" s="581">
        <v>1</v>
      </c>
      <c r="F178" s="536">
        <v>3150000</v>
      </c>
      <c r="G178" s="532">
        <f t="shared" ref="G178:G183" si="13">E178*F178</f>
        <v>3150000</v>
      </c>
    </row>
    <row r="179" spans="1:7" s="512" customFormat="1" ht="69" outlineLevel="1">
      <c r="A179" s="528">
        <f>A178+1</f>
        <v>2</v>
      </c>
      <c r="B179" s="557" t="s">
        <v>1019</v>
      </c>
      <c r="C179" s="595" t="s">
        <v>3824</v>
      </c>
      <c r="D179" s="594" t="s">
        <v>655</v>
      </c>
      <c r="E179" s="581">
        <v>1</v>
      </c>
      <c r="F179" s="536">
        <v>529000</v>
      </c>
      <c r="G179" s="532">
        <f t="shared" si="13"/>
        <v>529000</v>
      </c>
    </row>
    <row r="180" spans="1:7" s="512" customFormat="1" ht="69" outlineLevel="1">
      <c r="A180" s="528">
        <f>A179+1</f>
        <v>3</v>
      </c>
      <c r="B180" s="587" t="s">
        <v>3825</v>
      </c>
      <c r="C180" s="596" t="s">
        <v>3826</v>
      </c>
      <c r="D180" s="594" t="s">
        <v>655</v>
      </c>
      <c r="E180" s="554">
        <v>40</v>
      </c>
      <c r="F180" s="536">
        <v>351000</v>
      </c>
      <c r="G180" s="532">
        <f t="shared" si="13"/>
        <v>14040000</v>
      </c>
    </row>
    <row r="181" spans="1:7" s="512" customFormat="1" ht="138" outlineLevel="1">
      <c r="A181" s="528">
        <f>A180+1</f>
        <v>4</v>
      </c>
      <c r="B181" s="557" t="s">
        <v>1243</v>
      </c>
      <c r="C181" s="597" t="s">
        <v>3827</v>
      </c>
      <c r="D181" s="594" t="s">
        <v>655</v>
      </c>
      <c r="E181" s="554">
        <v>1</v>
      </c>
      <c r="F181" s="536">
        <v>11700000</v>
      </c>
      <c r="G181" s="532">
        <f t="shared" si="13"/>
        <v>11700000</v>
      </c>
    </row>
    <row r="182" spans="1:7" s="512" customFormat="1" ht="69" outlineLevel="1">
      <c r="A182" s="528">
        <f>A181+1</f>
        <v>5</v>
      </c>
      <c r="B182" s="557" t="s">
        <v>1245</v>
      </c>
      <c r="C182" s="593" t="s">
        <v>3828</v>
      </c>
      <c r="D182" s="594" t="s">
        <v>655</v>
      </c>
      <c r="E182" s="554">
        <v>4</v>
      </c>
      <c r="F182" s="536">
        <v>6500000</v>
      </c>
      <c r="G182" s="532">
        <f t="shared" si="13"/>
        <v>26000000</v>
      </c>
    </row>
    <row r="183" spans="1:7" s="512" customFormat="1" outlineLevel="1">
      <c r="A183" s="528">
        <f>A182+1</f>
        <v>6</v>
      </c>
      <c r="B183" s="557" t="s">
        <v>3829</v>
      </c>
      <c r="C183" s="552" t="s">
        <v>3830</v>
      </c>
      <c r="D183" s="594" t="s">
        <v>655</v>
      </c>
      <c r="E183" s="581">
        <v>5</v>
      </c>
      <c r="F183" s="531">
        <v>1500000</v>
      </c>
      <c r="G183" s="532">
        <f t="shared" si="13"/>
        <v>7500000</v>
      </c>
    </row>
    <row r="184" spans="1:7" s="512" customFormat="1">
      <c r="A184" s="523" t="s">
        <v>597</v>
      </c>
      <c r="B184" s="524" t="s">
        <v>3831</v>
      </c>
      <c r="C184" s="524"/>
      <c r="D184" s="526" t="s">
        <v>1134</v>
      </c>
      <c r="E184" s="523">
        <v>2</v>
      </c>
      <c r="F184" s="527"/>
      <c r="G184" s="527"/>
    </row>
    <row r="185" spans="1:7" s="512" customFormat="1" ht="51.75" outlineLevel="1">
      <c r="A185" s="547">
        <v>1</v>
      </c>
      <c r="B185" s="552" t="s">
        <v>3805</v>
      </c>
      <c r="C185" s="552" t="s">
        <v>3691</v>
      </c>
      <c r="D185" s="554" t="s">
        <v>3692</v>
      </c>
      <c r="E185" s="554">
        <v>8</v>
      </c>
      <c r="F185" s="540">
        <v>3960000</v>
      </c>
      <c r="G185" s="551">
        <f>E185*F185</f>
        <v>31680000</v>
      </c>
    </row>
    <row r="186" spans="1:7" s="512" customFormat="1" ht="51.75" outlineLevel="1">
      <c r="A186" s="547">
        <v>1</v>
      </c>
      <c r="B186" s="552" t="s">
        <v>3832</v>
      </c>
      <c r="C186" s="552" t="s">
        <v>3833</v>
      </c>
      <c r="D186" s="554" t="s">
        <v>3692</v>
      </c>
      <c r="E186" s="554">
        <v>4</v>
      </c>
      <c r="F186" s="540">
        <v>6500000</v>
      </c>
      <c r="G186" s="551">
        <f>E186*F186</f>
        <v>26000000</v>
      </c>
    </row>
    <row r="187" spans="1:7" s="512" customFormat="1">
      <c r="A187" s="523" t="s">
        <v>1928</v>
      </c>
      <c r="B187" s="524" t="s">
        <v>3834</v>
      </c>
      <c r="C187" s="524"/>
      <c r="D187" s="526" t="s">
        <v>1134</v>
      </c>
      <c r="E187" s="523">
        <v>1</v>
      </c>
      <c r="F187" s="527"/>
      <c r="G187" s="527"/>
    </row>
    <row r="188" spans="1:7" s="512" customFormat="1" ht="86.25" outlineLevel="1">
      <c r="A188" s="528">
        <v>1</v>
      </c>
      <c r="B188" s="557" t="s">
        <v>1017</v>
      </c>
      <c r="C188" s="593" t="s">
        <v>3823</v>
      </c>
      <c r="D188" s="594" t="s">
        <v>655</v>
      </c>
      <c r="E188" s="581">
        <v>1</v>
      </c>
      <c r="F188" s="536">
        <v>3150000</v>
      </c>
      <c r="G188" s="532">
        <f>E188*F188</f>
        <v>3150000</v>
      </c>
    </row>
    <row r="189" spans="1:7" s="512" customFormat="1" ht="69" outlineLevel="1">
      <c r="A189" s="528">
        <f>A188+1</f>
        <v>2</v>
      </c>
      <c r="B189" s="557" t="s">
        <v>1019</v>
      </c>
      <c r="C189" s="595" t="s">
        <v>3824</v>
      </c>
      <c r="D189" s="594" t="s">
        <v>655</v>
      </c>
      <c r="E189" s="581">
        <v>1</v>
      </c>
      <c r="F189" s="536">
        <v>529000</v>
      </c>
      <c r="G189" s="532">
        <f>E189*F189</f>
        <v>529000</v>
      </c>
    </row>
    <row r="190" spans="1:7" s="512" customFormat="1" ht="86.25" outlineLevel="1">
      <c r="A190" s="528">
        <f>A189+1</f>
        <v>3</v>
      </c>
      <c r="B190" s="557" t="s">
        <v>1251</v>
      </c>
      <c r="C190" s="596" t="s">
        <v>3835</v>
      </c>
      <c r="D190" s="594" t="s">
        <v>655</v>
      </c>
      <c r="E190" s="554">
        <v>41</v>
      </c>
      <c r="F190" s="536">
        <v>715000</v>
      </c>
      <c r="G190" s="532">
        <f>E190*F190</f>
        <v>29315000</v>
      </c>
    </row>
    <row r="191" spans="1:7" s="512" customFormat="1" ht="69" outlineLevel="1">
      <c r="A191" s="528">
        <f>A190+1</f>
        <v>4</v>
      </c>
      <c r="B191" s="587" t="s">
        <v>3825</v>
      </c>
      <c r="C191" s="596" t="s">
        <v>3826</v>
      </c>
      <c r="D191" s="594" t="s">
        <v>655</v>
      </c>
      <c r="E191" s="554">
        <v>40</v>
      </c>
      <c r="F191" s="536">
        <v>351000</v>
      </c>
      <c r="G191" s="532">
        <f>E191*F191</f>
        <v>14040000</v>
      </c>
    </row>
    <row r="192" spans="1:7" s="512" customFormat="1">
      <c r="A192" s="523" t="s">
        <v>1937</v>
      </c>
      <c r="B192" s="524" t="s">
        <v>3836</v>
      </c>
      <c r="C192" s="524"/>
      <c r="D192" s="526" t="s">
        <v>1134</v>
      </c>
      <c r="E192" s="523">
        <v>1</v>
      </c>
      <c r="F192" s="527"/>
      <c r="G192" s="527"/>
    </row>
    <row r="193" spans="1:7" ht="86.25" outlineLevel="1">
      <c r="A193" s="528">
        <v>1</v>
      </c>
      <c r="B193" s="597" t="s">
        <v>3837</v>
      </c>
      <c r="C193" s="598" t="s">
        <v>3838</v>
      </c>
      <c r="D193" s="528" t="s">
        <v>680</v>
      </c>
      <c r="E193" s="528">
        <f>E192</f>
        <v>1</v>
      </c>
      <c r="F193" s="531">
        <v>3800000</v>
      </c>
      <c r="G193" s="532">
        <f t="shared" ref="G193:G199" si="14">E193*F193</f>
        <v>3800000</v>
      </c>
    </row>
    <row r="194" spans="1:7" ht="51.75" outlineLevel="1">
      <c r="A194" s="528">
        <f t="shared" ref="A194:A199" si="15">A193+1</f>
        <v>2</v>
      </c>
      <c r="B194" s="599" t="s">
        <v>3839</v>
      </c>
      <c r="C194" s="595" t="s">
        <v>3840</v>
      </c>
      <c r="D194" s="528" t="s">
        <v>627</v>
      </c>
      <c r="E194" s="528">
        <f>40*E192</f>
        <v>40</v>
      </c>
      <c r="F194" s="536">
        <v>350000</v>
      </c>
      <c r="G194" s="532">
        <f t="shared" si="14"/>
        <v>14000000</v>
      </c>
    </row>
    <row r="195" spans="1:7" ht="51.75" outlineLevel="1">
      <c r="A195" s="528">
        <f t="shared" si="15"/>
        <v>3</v>
      </c>
      <c r="B195" s="599" t="s">
        <v>3841</v>
      </c>
      <c r="C195" s="529" t="s">
        <v>3842</v>
      </c>
      <c r="D195" s="528" t="s">
        <v>627</v>
      </c>
      <c r="E195" s="528">
        <v>20</v>
      </c>
      <c r="F195" s="531">
        <v>1450000</v>
      </c>
      <c r="G195" s="532">
        <f t="shared" si="14"/>
        <v>29000000</v>
      </c>
    </row>
    <row r="196" spans="1:7" ht="86.25" outlineLevel="1">
      <c r="A196" s="528">
        <f t="shared" si="15"/>
        <v>4</v>
      </c>
      <c r="B196" s="568" t="s">
        <v>3843</v>
      </c>
      <c r="C196" s="600" t="s">
        <v>3844</v>
      </c>
      <c r="D196" s="528" t="s">
        <v>1033</v>
      </c>
      <c r="E196" s="528">
        <f>E193</f>
        <v>1</v>
      </c>
      <c r="F196" s="531">
        <v>3800000</v>
      </c>
      <c r="G196" s="532">
        <f t="shared" si="14"/>
        <v>3800000</v>
      </c>
    </row>
    <row r="197" spans="1:7" ht="207" outlineLevel="1">
      <c r="A197" s="528">
        <f>A196+1</f>
        <v>5</v>
      </c>
      <c r="B197" s="597" t="s">
        <v>3845</v>
      </c>
      <c r="C197" s="535" t="s">
        <v>3846</v>
      </c>
      <c r="D197" s="581" t="s">
        <v>680</v>
      </c>
      <c r="E197" s="581">
        <f>E192</f>
        <v>1</v>
      </c>
      <c r="F197" s="532">
        <v>11900000</v>
      </c>
      <c r="G197" s="532">
        <f t="shared" si="14"/>
        <v>11900000</v>
      </c>
    </row>
    <row r="198" spans="1:7" ht="138" outlineLevel="1">
      <c r="A198" s="528">
        <f t="shared" si="15"/>
        <v>6</v>
      </c>
      <c r="B198" s="597" t="s">
        <v>3847</v>
      </c>
      <c r="C198" s="601" t="s">
        <v>3848</v>
      </c>
      <c r="D198" s="580" t="s">
        <v>680</v>
      </c>
      <c r="E198" s="581">
        <v>40</v>
      </c>
      <c r="F198" s="602">
        <v>7821000</v>
      </c>
      <c r="G198" s="532">
        <f t="shared" si="14"/>
        <v>312840000</v>
      </c>
    </row>
    <row r="199" spans="1:7" ht="120.75" outlineLevel="1">
      <c r="A199" s="528">
        <f t="shared" si="15"/>
        <v>7</v>
      </c>
      <c r="B199" s="599" t="s">
        <v>1276</v>
      </c>
      <c r="C199" s="603" t="s">
        <v>3849</v>
      </c>
      <c r="D199" s="581" t="s">
        <v>1028</v>
      </c>
      <c r="E199" s="581">
        <f>E192</f>
        <v>1</v>
      </c>
      <c r="F199" s="602">
        <v>5600000</v>
      </c>
      <c r="G199" s="532">
        <f t="shared" si="14"/>
        <v>5600000</v>
      </c>
    </row>
    <row r="200" spans="1:7" s="512" customFormat="1">
      <c r="A200" s="523" t="s">
        <v>1939</v>
      </c>
      <c r="B200" s="524" t="s">
        <v>3850</v>
      </c>
      <c r="C200" s="524"/>
      <c r="D200" s="526" t="s">
        <v>1134</v>
      </c>
      <c r="E200" s="523">
        <v>2</v>
      </c>
      <c r="F200" s="527"/>
      <c r="G200" s="527"/>
    </row>
    <row r="201" spans="1:7" outlineLevel="1">
      <c r="A201" s="604" t="s">
        <v>3851</v>
      </c>
      <c r="B201" s="605" t="s">
        <v>3852</v>
      </c>
      <c r="C201" s="606"/>
      <c r="D201" s="581"/>
      <c r="E201" s="581"/>
      <c r="F201" s="582"/>
      <c r="G201" s="532">
        <f t="shared" ref="G201:G213" si="16">E201*F201</f>
        <v>0</v>
      </c>
    </row>
    <row r="202" spans="1:7" ht="120.75" outlineLevel="1">
      <c r="A202" s="528">
        <v>1</v>
      </c>
      <c r="B202" s="599" t="s">
        <v>3853</v>
      </c>
      <c r="C202" s="598" t="s">
        <v>3854</v>
      </c>
      <c r="D202" s="528" t="s">
        <v>680</v>
      </c>
      <c r="E202" s="528">
        <v>2</v>
      </c>
      <c r="F202" s="531">
        <v>3800000</v>
      </c>
      <c r="G202" s="532">
        <f t="shared" si="16"/>
        <v>7600000</v>
      </c>
    </row>
    <row r="203" spans="1:7" ht="51.75" outlineLevel="1">
      <c r="A203" s="528">
        <f>A202+1</f>
        <v>2</v>
      </c>
      <c r="B203" s="597" t="s">
        <v>3855</v>
      </c>
      <c r="C203" s="541" t="s">
        <v>3856</v>
      </c>
      <c r="D203" s="528" t="s">
        <v>627</v>
      </c>
      <c r="E203" s="528">
        <v>40</v>
      </c>
      <c r="F203" s="536">
        <v>1250000</v>
      </c>
      <c r="G203" s="532">
        <f>E203*F203</f>
        <v>50000000</v>
      </c>
    </row>
    <row r="204" spans="1:7" ht="51.75" outlineLevel="1">
      <c r="A204" s="528">
        <f>A203+1</f>
        <v>3</v>
      </c>
      <c r="B204" s="599" t="s">
        <v>3857</v>
      </c>
      <c r="C204" s="595" t="s">
        <v>3858</v>
      </c>
      <c r="D204" s="528" t="s">
        <v>627</v>
      </c>
      <c r="E204" s="528">
        <v>80</v>
      </c>
      <c r="F204" s="536">
        <v>350000</v>
      </c>
      <c r="G204" s="532">
        <f t="shared" si="16"/>
        <v>28000000</v>
      </c>
    </row>
    <row r="205" spans="1:7" outlineLevel="1">
      <c r="A205" s="528" t="s">
        <v>3859</v>
      </c>
      <c r="B205" s="607" t="s">
        <v>3860</v>
      </c>
      <c r="C205" s="608"/>
      <c r="D205" s="523"/>
      <c r="E205" s="523"/>
      <c r="F205" s="527"/>
      <c r="G205" s="532">
        <f t="shared" si="16"/>
        <v>0</v>
      </c>
    </row>
    <row r="206" spans="1:7" ht="34.5" outlineLevel="1">
      <c r="A206" s="528">
        <v>1</v>
      </c>
      <c r="B206" s="597" t="s">
        <v>3861</v>
      </c>
      <c r="C206" s="609"/>
      <c r="D206" s="581" t="s">
        <v>680</v>
      </c>
      <c r="E206" s="581">
        <f>E200</f>
        <v>2</v>
      </c>
      <c r="F206" s="582">
        <v>9600000</v>
      </c>
      <c r="G206" s="532">
        <f t="shared" si="16"/>
        <v>19200000</v>
      </c>
    </row>
    <row r="207" spans="1:7" ht="37.5" outlineLevel="1">
      <c r="A207" s="528">
        <v>2</v>
      </c>
      <c r="B207" s="610" t="s">
        <v>3862</v>
      </c>
      <c r="C207" s="533"/>
      <c r="D207" s="611" t="s">
        <v>680</v>
      </c>
      <c r="E207" s="581">
        <v>2</v>
      </c>
      <c r="F207" s="612">
        <v>41765000</v>
      </c>
      <c r="G207" s="532">
        <f t="shared" si="16"/>
        <v>83530000</v>
      </c>
    </row>
    <row r="208" spans="1:7" ht="34.5" outlineLevel="1">
      <c r="A208" s="528">
        <v>3</v>
      </c>
      <c r="B208" s="613" t="s">
        <v>3863</v>
      </c>
      <c r="C208" s="614"/>
      <c r="D208" s="615" t="s">
        <v>680</v>
      </c>
      <c r="E208" s="616">
        <v>2</v>
      </c>
      <c r="F208" s="612">
        <v>2000000</v>
      </c>
      <c r="G208" s="532">
        <f t="shared" si="16"/>
        <v>4000000</v>
      </c>
    </row>
    <row r="209" spans="1:7" ht="34.5" outlineLevel="1">
      <c r="A209" s="528">
        <v>4</v>
      </c>
      <c r="B209" s="613" t="s">
        <v>3864</v>
      </c>
      <c r="C209" s="614"/>
      <c r="D209" s="615" t="s">
        <v>680</v>
      </c>
      <c r="E209" s="616">
        <f>21*2</f>
        <v>42</v>
      </c>
      <c r="F209" s="612">
        <v>300000</v>
      </c>
      <c r="G209" s="532">
        <f t="shared" si="16"/>
        <v>12600000</v>
      </c>
    </row>
    <row r="210" spans="1:7" ht="51.75" outlineLevel="1">
      <c r="A210" s="528">
        <v>5</v>
      </c>
      <c r="B210" s="617" t="s">
        <v>3865</v>
      </c>
      <c r="C210" s="606"/>
      <c r="D210" s="615" t="s">
        <v>1028</v>
      </c>
      <c r="E210" s="616">
        <f>40*2</f>
        <v>80</v>
      </c>
      <c r="F210" s="612">
        <v>1625000</v>
      </c>
      <c r="G210" s="532">
        <f t="shared" si="16"/>
        <v>130000000</v>
      </c>
    </row>
    <row r="211" spans="1:7" ht="51.75" outlineLevel="1">
      <c r="A211" s="528">
        <v>6</v>
      </c>
      <c r="B211" s="617" t="s">
        <v>3866</v>
      </c>
      <c r="C211" s="606"/>
      <c r="D211" s="615" t="s">
        <v>1028</v>
      </c>
      <c r="E211" s="618">
        <f>21*2</f>
        <v>42</v>
      </c>
      <c r="F211" s="612">
        <v>300000</v>
      </c>
      <c r="G211" s="532">
        <f t="shared" si="16"/>
        <v>12600000</v>
      </c>
    </row>
    <row r="212" spans="1:7" ht="34.5" outlineLevel="1">
      <c r="A212" s="528">
        <v>7</v>
      </c>
      <c r="B212" s="617" t="s">
        <v>3867</v>
      </c>
      <c r="C212" s="606"/>
      <c r="D212" s="615" t="s">
        <v>799</v>
      </c>
      <c r="E212" s="618">
        <f>21*2</f>
        <v>42</v>
      </c>
      <c r="F212" s="612">
        <v>150000</v>
      </c>
      <c r="G212" s="532">
        <f t="shared" si="16"/>
        <v>6300000</v>
      </c>
    </row>
    <row r="213" spans="1:7" ht="34.5" outlineLevel="1">
      <c r="A213" s="528">
        <v>8</v>
      </c>
      <c r="B213" s="617" t="s">
        <v>3868</v>
      </c>
      <c r="C213" s="603"/>
      <c r="D213" s="615" t="s">
        <v>1134</v>
      </c>
      <c r="E213" s="618">
        <v>2</v>
      </c>
      <c r="F213" s="612">
        <v>5000000</v>
      </c>
      <c r="G213" s="532">
        <f t="shared" si="16"/>
        <v>10000000</v>
      </c>
    </row>
    <row r="214" spans="1:7" s="512" customFormat="1">
      <c r="A214" s="523" t="s">
        <v>1955</v>
      </c>
      <c r="B214" s="524" t="s">
        <v>3869</v>
      </c>
      <c r="C214" s="524"/>
      <c r="D214" s="526" t="s">
        <v>1134</v>
      </c>
      <c r="E214" s="523">
        <v>1</v>
      </c>
      <c r="F214" s="527"/>
      <c r="G214" s="527"/>
    </row>
    <row r="215" spans="1:7" outlineLevel="1">
      <c r="A215" s="604" t="s">
        <v>3851</v>
      </c>
      <c r="B215" s="605" t="s">
        <v>3852</v>
      </c>
      <c r="C215" s="606"/>
      <c r="D215" s="581"/>
      <c r="E215" s="581"/>
      <c r="F215" s="582"/>
      <c r="G215" s="532">
        <f>E215*F215</f>
        <v>0</v>
      </c>
    </row>
    <row r="216" spans="1:7" ht="120.75" outlineLevel="1">
      <c r="A216" s="528">
        <v>1</v>
      </c>
      <c r="B216" s="599" t="s">
        <v>3853</v>
      </c>
      <c r="C216" s="598" t="s">
        <v>3854</v>
      </c>
      <c r="D216" s="528" t="s">
        <v>680</v>
      </c>
      <c r="E216" s="528">
        <v>1</v>
      </c>
      <c r="F216" s="531">
        <v>3800000</v>
      </c>
      <c r="G216" s="532">
        <f>E216*F216</f>
        <v>3800000</v>
      </c>
    </row>
    <row r="217" spans="1:7" ht="51.75" outlineLevel="1">
      <c r="A217" s="528">
        <f>A216+1</f>
        <v>2</v>
      </c>
      <c r="B217" s="597" t="s">
        <v>3855</v>
      </c>
      <c r="C217" s="541" t="s">
        <v>3856</v>
      </c>
      <c r="D217" s="528" t="s">
        <v>627</v>
      </c>
      <c r="E217" s="528">
        <v>20</v>
      </c>
      <c r="F217" s="536">
        <v>1250000</v>
      </c>
      <c r="G217" s="532">
        <f>E217*F217</f>
        <v>25000000</v>
      </c>
    </row>
    <row r="218" spans="1:7" ht="51.75" outlineLevel="1">
      <c r="A218" s="528">
        <f>A217+1</f>
        <v>3</v>
      </c>
      <c r="B218" s="599" t="s">
        <v>3857</v>
      </c>
      <c r="C218" s="595" t="s">
        <v>3858</v>
      </c>
      <c r="D218" s="528" t="s">
        <v>627</v>
      </c>
      <c r="E218" s="528">
        <v>80</v>
      </c>
      <c r="F218" s="536">
        <v>350000</v>
      </c>
      <c r="G218" s="532">
        <f t="shared" ref="G218:G227" si="17">E218*F218</f>
        <v>28000000</v>
      </c>
    </row>
    <row r="219" spans="1:7" outlineLevel="1">
      <c r="A219" s="528" t="s">
        <v>3859</v>
      </c>
      <c r="B219" s="607" t="s">
        <v>3860</v>
      </c>
      <c r="C219" s="608"/>
      <c r="D219" s="523"/>
      <c r="E219" s="523"/>
      <c r="F219" s="527"/>
      <c r="G219" s="532">
        <f t="shared" si="17"/>
        <v>0</v>
      </c>
    </row>
    <row r="220" spans="1:7" ht="34.5" outlineLevel="1">
      <c r="A220" s="528">
        <v>1</v>
      </c>
      <c r="B220" s="597" t="s">
        <v>3861</v>
      </c>
      <c r="C220" s="537"/>
      <c r="D220" s="581" t="s">
        <v>680</v>
      </c>
      <c r="E220" s="581">
        <f>E214</f>
        <v>1</v>
      </c>
      <c r="F220" s="582">
        <v>9600000</v>
      </c>
      <c r="G220" s="532">
        <f t="shared" si="17"/>
        <v>9600000</v>
      </c>
    </row>
    <row r="221" spans="1:7" ht="37.5" outlineLevel="1">
      <c r="A221" s="528">
        <v>2</v>
      </c>
      <c r="B221" s="610" t="s">
        <v>3862</v>
      </c>
      <c r="C221" s="533"/>
      <c r="D221" s="611" t="s">
        <v>680</v>
      </c>
      <c r="E221" s="581">
        <v>2</v>
      </c>
      <c r="F221" s="612">
        <v>41765000</v>
      </c>
      <c r="G221" s="532">
        <f t="shared" si="17"/>
        <v>83530000</v>
      </c>
    </row>
    <row r="222" spans="1:7" ht="34.5" outlineLevel="1">
      <c r="A222" s="528">
        <v>3</v>
      </c>
      <c r="B222" s="613" t="s">
        <v>3863</v>
      </c>
      <c r="C222" s="614"/>
      <c r="D222" s="615" t="s">
        <v>680</v>
      </c>
      <c r="E222" s="616">
        <v>2</v>
      </c>
      <c r="F222" s="612">
        <v>2000000</v>
      </c>
      <c r="G222" s="532">
        <f t="shared" si="17"/>
        <v>4000000</v>
      </c>
    </row>
    <row r="223" spans="1:7" ht="34.5" outlineLevel="1">
      <c r="A223" s="528">
        <v>4</v>
      </c>
      <c r="B223" s="613" t="s">
        <v>3864</v>
      </c>
      <c r="C223" s="614"/>
      <c r="D223" s="615" t="s">
        <v>680</v>
      </c>
      <c r="E223" s="616">
        <v>21</v>
      </c>
      <c r="F223" s="612">
        <v>300000</v>
      </c>
      <c r="G223" s="532">
        <f t="shared" si="17"/>
        <v>6300000</v>
      </c>
    </row>
    <row r="224" spans="1:7" ht="51.75" outlineLevel="1">
      <c r="A224" s="528">
        <v>5</v>
      </c>
      <c r="B224" s="617" t="s">
        <v>3865</v>
      </c>
      <c r="C224" s="606"/>
      <c r="D224" s="615" t="s">
        <v>1028</v>
      </c>
      <c r="E224" s="616">
        <v>40</v>
      </c>
      <c r="F224" s="612">
        <v>1625000</v>
      </c>
      <c r="G224" s="532">
        <f t="shared" si="17"/>
        <v>65000000</v>
      </c>
    </row>
    <row r="225" spans="1:7" ht="51.75" outlineLevel="1">
      <c r="A225" s="528">
        <v>6</v>
      </c>
      <c r="B225" s="617" t="s">
        <v>3866</v>
      </c>
      <c r="C225" s="606"/>
      <c r="D225" s="615" t="s">
        <v>1028</v>
      </c>
      <c r="E225" s="618">
        <v>21</v>
      </c>
      <c r="F225" s="612">
        <v>300000</v>
      </c>
      <c r="G225" s="532">
        <f t="shared" si="17"/>
        <v>6300000</v>
      </c>
    </row>
    <row r="226" spans="1:7" ht="34.5" outlineLevel="1">
      <c r="A226" s="528">
        <v>7</v>
      </c>
      <c r="B226" s="617" t="s">
        <v>3867</v>
      </c>
      <c r="C226" s="606"/>
      <c r="D226" s="615" t="s">
        <v>799</v>
      </c>
      <c r="E226" s="618">
        <v>21</v>
      </c>
      <c r="F226" s="612">
        <v>150000</v>
      </c>
      <c r="G226" s="532">
        <f t="shared" si="17"/>
        <v>3150000</v>
      </c>
    </row>
    <row r="227" spans="1:7" ht="34.5" outlineLevel="1">
      <c r="A227" s="528">
        <v>8</v>
      </c>
      <c r="B227" s="617" t="s">
        <v>3868</v>
      </c>
      <c r="C227" s="603"/>
      <c r="D227" s="615" t="s">
        <v>1134</v>
      </c>
      <c r="E227" s="618">
        <v>1</v>
      </c>
      <c r="F227" s="612">
        <v>5000000</v>
      </c>
      <c r="G227" s="532">
        <f t="shared" si="17"/>
        <v>5000000</v>
      </c>
    </row>
    <row r="228" spans="1:7" s="512" customFormat="1">
      <c r="A228" s="523" t="s">
        <v>1960</v>
      </c>
      <c r="B228" s="524" t="s">
        <v>3870</v>
      </c>
      <c r="C228" s="524"/>
      <c r="D228" s="526" t="s">
        <v>1134</v>
      </c>
      <c r="E228" s="523">
        <v>1</v>
      </c>
      <c r="F228" s="527"/>
      <c r="G228" s="527"/>
    </row>
    <row r="229" spans="1:7" s="512" customFormat="1" ht="51.75" outlineLevel="1">
      <c r="A229" s="547">
        <v>1</v>
      </c>
      <c r="B229" s="552" t="s">
        <v>3805</v>
      </c>
      <c r="C229" s="552" t="s">
        <v>3871</v>
      </c>
      <c r="D229" s="554" t="s">
        <v>3692</v>
      </c>
      <c r="E229" s="554">
        <v>10</v>
      </c>
      <c r="F229" s="540">
        <v>3960000</v>
      </c>
      <c r="G229" s="551">
        <f>E229*F229</f>
        <v>39600000</v>
      </c>
    </row>
    <row r="230" spans="1:7" s="512" customFormat="1">
      <c r="A230" s="523" t="s">
        <v>3758</v>
      </c>
      <c r="B230" s="524" t="s">
        <v>3872</v>
      </c>
      <c r="C230" s="524"/>
      <c r="D230" s="526" t="s">
        <v>1134</v>
      </c>
      <c r="E230" s="523">
        <v>1</v>
      </c>
      <c r="F230" s="527"/>
      <c r="G230" s="527"/>
    </row>
    <row r="231" spans="1:7" s="512" customFormat="1" ht="51.75" outlineLevel="1">
      <c r="A231" s="528">
        <v>1</v>
      </c>
      <c r="B231" s="541" t="s">
        <v>3694</v>
      </c>
      <c r="C231" s="541" t="s">
        <v>3799</v>
      </c>
      <c r="D231" s="547" t="s">
        <v>627</v>
      </c>
      <c r="E231" s="547">
        <v>1</v>
      </c>
      <c r="F231" s="536">
        <v>3300000</v>
      </c>
      <c r="G231" s="532">
        <f>E231*F231</f>
        <v>3300000</v>
      </c>
    </row>
    <row r="232" spans="1:7" s="512" customFormat="1" ht="51.75" outlineLevel="1">
      <c r="A232" s="528">
        <v>2</v>
      </c>
      <c r="B232" s="541" t="s">
        <v>3696</v>
      </c>
      <c r="C232" s="542" t="s">
        <v>3660</v>
      </c>
      <c r="D232" s="547" t="s">
        <v>627</v>
      </c>
      <c r="E232" s="547">
        <v>8</v>
      </c>
      <c r="F232" s="536">
        <v>529000</v>
      </c>
      <c r="G232" s="532">
        <f>E232*F232</f>
        <v>4232000</v>
      </c>
    </row>
    <row r="233" spans="1:7" s="512" customFormat="1" ht="86.25" outlineLevel="1">
      <c r="A233" s="528">
        <v>3</v>
      </c>
      <c r="B233" s="541" t="s">
        <v>3697</v>
      </c>
      <c r="C233" s="549" t="s">
        <v>3698</v>
      </c>
      <c r="D233" s="547" t="s">
        <v>627</v>
      </c>
      <c r="E233" s="547">
        <v>4</v>
      </c>
      <c r="F233" s="536">
        <v>4500000</v>
      </c>
      <c r="G233" s="532">
        <f>E233*F233</f>
        <v>18000000</v>
      </c>
    </row>
    <row r="234" spans="1:7" s="512" customFormat="1">
      <c r="A234" s="523" t="s">
        <v>1928</v>
      </c>
      <c r="B234" s="524" t="s">
        <v>3768</v>
      </c>
      <c r="C234" s="524"/>
      <c r="D234" s="526" t="s">
        <v>1134</v>
      </c>
      <c r="E234" s="523">
        <v>1</v>
      </c>
      <c r="F234" s="527"/>
      <c r="G234" s="527"/>
    </row>
    <row r="235" spans="1:7" s="512" customFormat="1" ht="103.5" outlineLevel="1">
      <c r="A235" s="528">
        <v>1</v>
      </c>
      <c r="B235" s="577" t="s">
        <v>3641</v>
      </c>
      <c r="C235" s="578" t="s">
        <v>3769</v>
      </c>
      <c r="D235" s="554" t="s">
        <v>627</v>
      </c>
      <c r="E235" s="579">
        <v>1</v>
      </c>
      <c r="F235" s="540">
        <v>3346000</v>
      </c>
      <c r="G235" s="540">
        <f>+F235*E235</f>
        <v>3346000</v>
      </c>
    </row>
    <row r="236" spans="1:7" s="512" customFormat="1" ht="69" outlineLevel="1">
      <c r="A236" s="528">
        <v>2</v>
      </c>
      <c r="B236" s="577" t="s">
        <v>3770</v>
      </c>
      <c r="C236" s="542" t="s">
        <v>3687</v>
      </c>
      <c r="D236" s="554" t="s">
        <v>627</v>
      </c>
      <c r="E236" s="579">
        <v>4</v>
      </c>
      <c r="F236" s="540">
        <v>529000</v>
      </c>
      <c r="G236" s="540">
        <f>+F236*E236</f>
        <v>2116000</v>
      </c>
    </row>
    <row r="237" spans="1:7" s="512" customFormat="1">
      <c r="A237" s="519" t="s">
        <v>890</v>
      </c>
      <c r="B237" s="520" t="s">
        <v>3873</v>
      </c>
      <c r="C237" s="519"/>
      <c r="D237" s="519"/>
      <c r="E237" s="519"/>
      <c r="F237" s="521"/>
      <c r="G237" s="522"/>
    </row>
    <row r="238" spans="1:7" s="512" customFormat="1">
      <c r="A238" s="523" t="s">
        <v>500</v>
      </c>
      <c r="B238" s="524" t="s">
        <v>1010</v>
      </c>
      <c r="C238" s="524"/>
      <c r="D238" s="526" t="s">
        <v>1134</v>
      </c>
      <c r="E238" s="523">
        <v>10</v>
      </c>
      <c r="F238" s="527"/>
      <c r="G238" s="527"/>
    </row>
    <row r="239" spans="1:7" s="512" customFormat="1" ht="86.25" outlineLevel="1">
      <c r="A239" s="528">
        <v>1</v>
      </c>
      <c r="B239" s="541" t="s">
        <v>3759</v>
      </c>
      <c r="C239" s="548" t="s">
        <v>3760</v>
      </c>
      <c r="D239" s="546" t="s">
        <v>680</v>
      </c>
      <c r="E239" s="547">
        <f>D7/2*E238</f>
        <v>200</v>
      </c>
      <c r="F239" s="536">
        <v>2085000</v>
      </c>
      <c r="G239" s="532">
        <f t="shared" ref="G239:G245" si="18">E239*F239</f>
        <v>417000000</v>
      </c>
    </row>
    <row r="240" spans="1:7" s="512" customFormat="1" ht="86.25" outlineLevel="1">
      <c r="A240" s="528">
        <v>2</v>
      </c>
      <c r="B240" s="541" t="s">
        <v>1017</v>
      </c>
      <c r="C240" s="576" t="s">
        <v>3874</v>
      </c>
      <c r="D240" s="546" t="s">
        <v>627</v>
      </c>
      <c r="E240" s="547">
        <f>E238</f>
        <v>10</v>
      </c>
      <c r="F240" s="536">
        <v>3150000</v>
      </c>
      <c r="G240" s="532">
        <f t="shared" si="18"/>
        <v>31500000</v>
      </c>
    </row>
    <row r="241" spans="1:7" s="512" customFormat="1" ht="69" outlineLevel="1">
      <c r="A241" s="528">
        <v>3</v>
      </c>
      <c r="B241" s="541" t="s">
        <v>1019</v>
      </c>
      <c r="C241" s="542" t="s">
        <v>3687</v>
      </c>
      <c r="D241" s="546" t="s">
        <v>680</v>
      </c>
      <c r="E241" s="547">
        <f>+E238</f>
        <v>10</v>
      </c>
      <c r="F241" s="536">
        <v>529000</v>
      </c>
      <c r="G241" s="532">
        <f t="shared" si="18"/>
        <v>5290000</v>
      </c>
    </row>
    <row r="242" spans="1:7" s="512" customFormat="1" ht="86.25" outlineLevel="1">
      <c r="A242" s="528">
        <v>4</v>
      </c>
      <c r="B242" s="541" t="s">
        <v>1031</v>
      </c>
      <c r="C242" s="548" t="s">
        <v>3761</v>
      </c>
      <c r="D242" s="546" t="s">
        <v>627</v>
      </c>
      <c r="E242" s="547">
        <f>+E238</f>
        <v>10</v>
      </c>
      <c r="F242" s="536">
        <v>3200000</v>
      </c>
      <c r="G242" s="532">
        <f t="shared" si="18"/>
        <v>32000000</v>
      </c>
    </row>
    <row r="243" spans="1:7" s="512" customFormat="1" ht="103.5" outlineLevel="1">
      <c r="A243" s="528">
        <v>6</v>
      </c>
      <c r="B243" s="541" t="s">
        <v>3762</v>
      </c>
      <c r="C243" s="541" t="s">
        <v>3776</v>
      </c>
      <c r="D243" s="546" t="s">
        <v>627</v>
      </c>
      <c r="E243" s="547">
        <f>+E238</f>
        <v>10</v>
      </c>
      <c r="F243" s="536">
        <v>5600000</v>
      </c>
      <c r="G243" s="532">
        <f t="shared" si="18"/>
        <v>56000000</v>
      </c>
    </row>
    <row r="244" spans="1:7" s="512" customFormat="1" ht="69" outlineLevel="1">
      <c r="A244" s="528">
        <v>9</v>
      </c>
      <c r="B244" s="541" t="s">
        <v>1025</v>
      </c>
      <c r="C244" s="541" t="s">
        <v>3875</v>
      </c>
      <c r="D244" s="546" t="s">
        <v>1028</v>
      </c>
      <c r="E244" s="547">
        <f>E243</f>
        <v>10</v>
      </c>
      <c r="F244" s="536">
        <v>650000</v>
      </c>
      <c r="G244" s="532">
        <f t="shared" si="18"/>
        <v>6500000</v>
      </c>
    </row>
    <row r="245" spans="1:7" s="512" customFormat="1" ht="34.5" outlineLevel="1">
      <c r="A245" s="528">
        <v>10</v>
      </c>
      <c r="B245" s="541" t="s">
        <v>1029</v>
      </c>
      <c r="C245" s="541" t="s">
        <v>3765</v>
      </c>
      <c r="D245" s="546" t="s">
        <v>3766</v>
      </c>
      <c r="E245" s="547">
        <f>+E244</f>
        <v>10</v>
      </c>
      <c r="F245" s="536">
        <v>120000</v>
      </c>
      <c r="G245" s="532">
        <f t="shared" si="18"/>
        <v>1200000</v>
      </c>
    </row>
    <row r="246" spans="1:7" s="512" customFormat="1">
      <c r="A246" s="523" t="s">
        <v>504</v>
      </c>
      <c r="B246" s="524" t="s">
        <v>3876</v>
      </c>
      <c r="C246" s="524"/>
      <c r="D246" s="526" t="s">
        <v>1134</v>
      </c>
      <c r="E246" s="526">
        <v>1</v>
      </c>
      <c r="F246" s="527"/>
      <c r="G246" s="527"/>
    </row>
    <row r="247" spans="1:7" s="512" customFormat="1" ht="86.25" outlineLevel="1">
      <c r="A247" s="528">
        <v>1</v>
      </c>
      <c r="B247" s="541" t="s">
        <v>3877</v>
      </c>
      <c r="C247" s="550" t="s">
        <v>3878</v>
      </c>
      <c r="D247" s="546" t="s">
        <v>627</v>
      </c>
      <c r="E247" s="547">
        <v>4</v>
      </c>
      <c r="F247" s="536">
        <v>6800000</v>
      </c>
      <c r="G247" s="532">
        <f>E247*F247</f>
        <v>27200000</v>
      </c>
    </row>
    <row r="248" spans="1:7" s="512" customFormat="1" ht="51.75" outlineLevel="1">
      <c r="A248" s="528">
        <v>2</v>
      </c>
      <c r="B248" s="541" t="s">
        <v>3809</v>
      </c>
      <c r="C248" s="550" t="s">
        <v>3810</v>
      </c>
      <c r="D248" s="546" t="s">
        <v>627</v>
      </c>
      <c r="E248" s="547">
        <v>1</v>
      </c>
      <c r="F248" s="536">
        <v>3300000</v>
      </c>
      <c r="G248" s="532">
        <f>E248*F248</f>
        <v>3300000</v>
      </c>
    </row>
    <row r="249" spans="1:7" s="512" customFormat="1" ht="69" outlineLevel="1">
      <c r="A249" s="528">
        <v>3</v>
      </c>
      <c r="B249" s="557" t="s">
        <v>3783</v>
      </c>
      <c r="C249" s="542" t="s">
        <v>3687</v>
      </c>
      <c r="D249" s="554" t="s">
        <v>655</v>
      </c>
      <c r="E249" s="554">
        <v>10</v>
      </c>
      <c r="F249" s="619">
        <v>529000</v>
      </c>
      <c r="G249" s="532">
        <f>E249*F249</f>
        <v>5290000</v>
      </c>
    </row>
    <row r="250" spans="1:7" s="512" customFormat="1">
      <c r="A250" s="523" t="s">
        <v>507</v>
      </c>
      <c r="B250" s="524" t="s">
        <v>3879</v>
      </c>
      <c r="C250" s="524"/>
      <c r="D250" s="526" t="s">
        <v>1134</v>
      </c>
      <c r="E250" s="526">
        <v>1</v>
      </c>
      <c r="F250" s="527"/>
      <c r="G250" s="527"/>
    </row>
    <row r="251" spans="1:7" s="512" customFormat="1" ht="34.5" outlineLevel="1">
      <c r="A251" s="528">
        <v>1</v>
      </c>
      <c r="B251" s="541" t="s">
        <v>3880</v>
      </c>
      <c r="C251" s="550" t="s">
        <v>3881</v>
      </c>
      <c r="D251" s="546" t="s">
        <v>680</v>
      </c>
      <c r="E251" s="547">
        <v>1</v>
      </c>
      <c r="F251" s="536">
        <v>2700000</v>
      </c>
      <c r="G251" s="551">
        <f t="shared" ref="G251:G256" si="19">E251*F251</f>
        <v>2700000</v>
      </c>
    </row>
    <row r="252" spans="1:7" s="512" customFormat="1" ht="69" outlineLevel="1">
      <c r="A252" s="528">
        <v>2</v>
      </c>
      <c r="B252" s="541" t="s">
        <v>1019</v>
      </c>
      <c r="C252" s="542" t="s">
        <v>3687</v>
      </c>
      <c r="D252" s="546" t="s">
        <v>680</v>
      </c>
      <c r="E252" s="547">
        <v>1</v>
      </c>
      <c r="F252" s="536">
        <v>529000</v>
      </c>
      <c r="G252" s="532">
        <f t="shared" si="19"/>
        <v>529000</v>
      </c>
    </row>
    <row r="253" spans="1:7" s="512" customFormat="1" ht="34.5" outlineLevel="1">
      <c r="A253" s="528">
        <v>4</v>
      </c>
      <c r="B253" s="541" t="s">
        <v>3882</v>
      </c>
      <c r="C253" s="550" t="s">
        <v>3883</v>
      </c>
      <c r="D253" s="546" t="s">
        <v>1028</v>
      </c>
      <c r="E253" s="547">
        <f>40/2</f>
        <v>20</v>
      </c>
      <c r="F253" s="536">
        <v>2160000</v>
      </c>
      <c r="G253" s="532">
        <f t="shared" si="19"/>
        <v>43200000</v>
      </c>
    </row>
    <row r="254" spans="1:7" s="512" customFormat="1" ht="69" outlineLevel="1">
      <c r="A254" s="528">
        <v>5</v>
      </c>
      <c r="B254" s="541" t="s">
        <v>3884</v>
      </c>
      <c r="C254" s="550" t="s">
        <v>3885</v>
      </c>
      <c r="D254" s="546" t="s">
        <v>680</v>
      </c>
      <c r="E254" s="547">
        <v>4</v>
      </c>
      <c r="F254" s="536">
        <v>2000000</v>
      </c>
      <c r="G254" s="532">
        <f t="shared" si="19"/>
        <v>8000000</v>
      </c>
    </row>
    <row r="255" spans="1:7" s="512" customFormat="1" ht="69" outlineLevel="1">
      <c r="A255" s="528">
        <v>7</v>
      </c>
      <c r="B255" s="541" t="s">
        <v>3886</v>
      </c>
      <c r="C255" s="550" t="s">
        <v>3817</v>
      </c>
      <c r="D255" s="546" t="s">
        <v>627</v>
      </c>
      <c r="E255" s="547">
        <v>40</v>
      </c>
      <c r="F255" s="536">
        <v>351000</v>
      </c>
      <c r="G255" s="532">
        <f t="shared" si="19"/>
        <v>14040000</v>
      </c>
    </row>
    <row r="256" spans="1:7" s="512" customFormat="1" ht="86.25" outlineLevel="1">
      <c r="A256" s="528">
        <v>8</v>
      </c>
      <c r="B256" s="541" t="s">
        <v>3887</v>
      </c>
      <c r="C256" s="550" t="s">
        <v>3888</v>
      </c>
      <c r="D256" s="546" t="s">
        <v>627</v>
      </c>
      <c r="E256" s="547">
        <v>4</v>
      </c>
      <c r="F256" s="536">
        <v>5600000</v>
      </c>
      <c r="G256" s="532">
        <f t="shared" si="19"/>
        <v>22400000</v>
      </c>
    </row>
    <row r="257" spans="1:7" s="512" customFormat="1">
      <c r="A257" s="523" t="s">
        <v>513</v>
      </c>
      <c r="B257" s="524" t="s">
        <v>3889</v>
      </c>
      <c r="C257" s="524"/>
      <c r="D257" s="526" t="s">
        <v>1134</v>
      </c>
      <c r="E257" s="526">
        <v>1</v>
      </c>
      <c r="F257" s="527"/>
      <c r="G257" s="527"/>
    </row>
    <row r="258" spans="1:7" s="512" customFormat="1" ht="34.5" outlineLevel="1">
      <c r="A258" s="528">
        <v>1</v>
      </c>
      <c r="B258" s="541" t="s">
        <v>3880</v>
      </c>
      <c r="C258" s="550" t="s">
        <v>3881</v>
      </c>
      <c r="D258" s="546" t="s">
        <v>680</v>
      </c>
      <c r="E258" s="547">
        <v>1</v>
      </c>
      <c r="F258" s="536">
        <v>2700000</v>
      </c>
      <c r="G258" s="551">
        <f t="shared" ref="G258:G263" si="20">E258*F258</f>
        <v>2700000</v>
      </c>
    </row>
    <row r="259" spans="1:7" s="512" customFormat="1" ht="69" outlineLevel="1">
      <c r="A259" s="528">
        <v>2</v>
      </c>
      <c r="B259" s="541" t="s">
        <v>1019</v>
      </c>
      <c r="C259" s="542" t="s">
        <v>3687</v>
      </c>
      <c r="D259" s="546" t="s">
        <v>680</v>
      </c>
      <c r="E259" s="547">
        <v>1</v>
      </c>
      <c r="F259" s="536">
        <v>529000</v>
      </c>
      <c r="G259" s="532">
        <f t="shared" si="20"/>
        <v>529000</v>
      </c>
    </row>
    <row r="260" spans="1:7" s="512" customFormat="1" ht="34.5" outlineLevel="1">
      <c r="A260" s="528">
        <v>4</v>
      </c>
      <c r="B260" s="541" t="s">
        <v>3882</v>
      </c>
      <c r="C260" s="550" t="s">
        <v>3883</v>
      </c>
      <c r="D260" s="546" t="s">
        <v>1028</v>
      </c>
      <c r="E260" s="547">
        <f>40/2</f>
        <v>20</v>
      </c>
      <c r="F260" s="536">
        <v>2160000</v>
      </c>
      <c r="G260" s="532">
        <f t="shared" si="20"/>
        <v>43200000</v>
      </c>
    </row>
    <row r="261" spans="1:7" s="512" customFormat="1" ht="69" outlineLevel="1">
      <c r="A261" s="528">
        <v>5</v>
      </c>
      <c r="B261" s="541" t="s">
        <v>3884</v>
      </c>
      <c r="C261" s="550" t="s">
        <v>3885</v>
      </c>
      <c r="D261" s="546" t="s">
        <v>680</v>
      </c>
      <c r="E261" s="547">
        <v>4</v>
      </c>
      <c r="F261" s="536">
        <v>2000000</v>
      </c>
      <c r="G261" s="532">
        <f t="shared" si="20"/>
        <v>8000000</v>
      </c>
    </row>
    <row r="262" spans="1:7" s="512" customFormat="1" ht="69" outlineLevel="1">
      <c r="A262" s="528">
        <v>7</v>
      </c>
      <c r="B262" s="541" t="s">
        <v>3886</v>
      </c>
      <c r="C262" s="550" t="s">
        <v>3817</v>
      </c>
      <c r="D262" s="546" t="s">
        <v>627</v>
      </c>
      <c r="E262" s="547">
        <v>40</v>
      </c>
      <c r="F262" s="536">
        <v>351000</v>
      </c>
      <c r="G262" s="532">
        <f t="shared" si="20"/>
        <v>14040000</v>
      </c>
    </row>
    <row r="263" spans="1:7" s="512" customFormat="1" ht="86.25" outlineLevel="1">
      <c r="A263" s="528">
        <v>8</v>
      </c>
      <c r="B263" s="541" t="s">
        <v>3887</v>
      </c>
      <c r="C263" s="550" t="s">
        <v>3888</v>
      </c>
      <c r="D263" s="546" t="s">
        <v>627</v>
      </c>
      <c r="E263" s="547">
        <v>4</v>
      </c>
      <c r="F263" s="536">
        <v>5600000</v>
      </c>
      <c r="G263" s="532">
        <f t="shared" si="20"/>
        <v>22400000</v>
      </c>
    </row>
    <row r="264" spans="1:7" s="512" customFormat="1">
      <c r="A264" s="523" t="s">
        <v>557</v>
      </c>
      <c r="B264" s="524" t="s">
        <v>3890</v>
      </c>
      <c r="C264" s="524"/>
      <c r="D264" s="526" t="s">
        <v>1134</v>
      </c>
      <c r="E264" s="526">
        <v>1</v>
      </c>
      <c r="F264" s="527"/>
      <c r="G264" s="527"/>
    </row>
    <row r="265" spans="1:7" s="512" customFormat="1" ht="86.25" outlineLevel="1">
      <c r="A265" s="528">
        <v>1</v>
      </c>
      <c r="B265" s="541" t="s">
        <v>3877</v>
      </c>
      <c r="C265" s="550" t="s">
        <v>3878</v>
      </c>
      <c r="D265" s="546" t="s">
        <v>627</v>
      </c>
      <c r="E265" s="547">
        <v>4</v>
      </c>
      <c r="F265" s="536">
        <v>6800000</v>
      </c>
      <c r="G265" s="532">
        <f>E265*F265</f>
        <v>27200000</v>
      </c>
    </row>
    <row r="266" spans="1:7" s="512" customFormat="1" ht="51.75" outlineLevel="1">
      <c r="A266" s="528">
        <v>2</v>
      </c>
      <c r="B266" s="541" t="s">
        <v>3809</v>
      </c>
      <c r="C266" s="550" t="s">
        <v>3891</v>
      </c>
      <c r="D266" s="546" t="s">
        <v>627</v>
      </c>
      <c r="E266" s="547">
        <v>1</v>
      </c>
      <c r="F266" s="536">
        <v>3300000</v>
      </c>
      <c r="G266" s="532">
        <f>E266*F266</f>
        <v>3300000</v>
      </c>
    </row>
    <row r="267" spans="1:7" s="512" customFormat="1" ht="69" outlineLevel="1">
      <c r="A267" s="528">
        <v>3</v>
      </c>
      <c r="B267" s="557" t="s">
        <v>3783</v>
      </c>
      <c r="C267" s="542" t="s">
        <v>3687</v>
      </c>
      <c r="D267" s="554" t="s">
        <v>655</v>
      </c>
      <c r="E267" s="554">
        <v>10</v>
      </c>
      <c r="F267" s="619">
        <v>529000</v>
      </c>
      <c r="G267" s="532">
        <f>E267*F267</f>
        <v>5290000</v>
      </c>
    </row>
    <row r="268" spans="1:7" s="512" customFormat="1">
      <c r="A268" s="523" t="s">
        <v>597</v>
      </c>
      <c r="B268" s="524" t="s">
        <v>3892</v>
      </c>
      <c r="C268" s="524"/>
      <c r="D268" s="526" t="s">
        <v>1134</v>
      </c>
      <c r="E268" s="526">
        <v>1</v>
      </c>
      <c r="F268" s="527"/>
      <c r="G268" s="527"/>
    </row>
    <row r="269" spans="1:7" s="512" customFormat="1" ht="120.75" outlineLevel="1">
      <c r="A269" s="528">
        <v>1</v>
      </c>
      <c r="B269" s="541" t="s">
        <v>3880</v>
      </c>
      <c r="C269" s="550" t="s">
        <v>3893</v>
      </c>
      <c r="D269" s="546" t="s">
        <v>680</v>
      </c>
      <c r="E269" s="547">
        <v>1</v>
      </c>
      <c r="F269" s="536">
        <v>2700000</v>
      </c>
      <c r="G269" s="551">
        <f>E269*F269</f>
        <v>2700000</v>
      </c>
    </row>
    <row r="270" spans="1:7" s="512" customFormat="1" ht="69" outlineLevel="1">
      <c r="A270" s="528">
        <v>2</v>
      </c>
      <c r="B270" s="541" t="s">
        <v>1019</v>
      </c>
      <c r="C270" s="591" t="s">
        <v>3687</v>
      </c>
      <c r="D270" s="546" t="s">
        <v>680</v>
      </c>
      <c r="E270" s="547">
        <v>1</v>
      </c>
      <c r="F270" s="536">
        <v>529000</v>
      </c>
      <c r="G270" s="532">
        <f>E270*F270</f>
        <v>529000</v>
      </c>
    </row>
    <row r="271" spans="1:7" s="512" customFormat="1" ht="120.75" outlineLevel="1">
      <c r="A271" s="528">
        <v>3</v>
      </c>
      <c r="B271" s="541" t="s">
        <v>3882</v>
      </c>
      <c r="C271" s="550" t="s">
        <v>3894</v>
      </c>
      <c r="D271" s="546" t="s">
        <v>1028</v>
      </c>
      <c r="E271" s="547">
        <v>20</v>
      </c>
      <c r="F271" s="536">
        <v>2160000</v>
      </c>
      <c r="G271" s="532">
        <f>E271*F271</f>
        <v>43200000</v>
      </c>
    </row>
    <row r="272" spans="1:7" s="512" customFormat="1" ht="69" outlineLevel="1">
      <c r="A272" s="528">
        <v>5</v>
      </c>
      <c r="B272" s="541" t="s">
        <v>3886</v>
      </c>
      <c r="C272" s="550" t="s">
        <v>3895</v>
      </c>
      <c r="D272" s="546" t="s">
        <v>627</v>
      </c>
      <c r="E272" s="547">
        <v>40</v>
      </c>
      <c r="F272" s="536">
        <v>351000</v>
      </c>
      <c r="G272" s="532">
        <f>E272*F272</f>
        <v>14040000</v>
      </c>
    </row>
    <row r="273" spans="1:7" s="512" customFormat="1" ht="86.25" outlineLevel="1">
      <c r="A273" s="528">
        <v>6</v>
      </c>
      <c r="B273" s="541" t="s">
        <v>3887</v>
      </c>
      <c r="C273" s="550" t="s">
        <v>3896</v>
      </c>
      <c r="D273" s="546" t="s">
        <v>627</v>
      </c>
      <c r="E273" s="547">
        <v>2</v>
      </c>
      <c r="F273" s="536">
        <v>5600000</v>
      </c>
      <c r="G273" s="532">
        <f>E273*F273</f>
        <v>11200000</v>
      </c>
    </row>
    <row r="274" spans="1:7" s="512" customFormat="1">
      <c r="A274" s="523" t="s">
        <v>1928</v>
      </c>
      <c r="B274" s="524" t="s">
        <v>3897</v>
      </c>
      <c r="C274" s="524"/>
      <c r="D274" s="526" t="s">
        <v>1134</v>
      </c>
      <c r="E274" s="526">
        <v>1</v>
      </c>
      <c r="F274" s="527"/>
      <c r="G274" s="527"/>
    </row>
    <row r="275" spans="1:7" s="512" customFormat="1" ht="86.25" outlineLevel="1">
      <c r="A275" s="528">
        <v>1</v>
      </c>
      <c r="B275" s="541" t="s">
        <v>3877</v>
      </c>
      <c r="C275" s="550" t="s">
        <v>3898</v>
      </c>
      <c r="D275" s="546" t="s">
        <v>627</v>
      </c>
      <c r="E275" s="547">
        <v>4</v>
      </c>
      <c r="F275" s="536">
        <v>6600000</v>
      </c>
      <c r="G275" s="532">
        <f t="shared" ref="G275:G294" si="21">E275*F275</f>
        <v>26400000</v>
      </c>
    </row>
    <row r="276" spans="1:7" s="512" customFormat="1" ht="51.75" outlineLevel="1">
      <c r="A276" s="528">
        <v>2</v>
      </c>
      <c r="B276" s="541" t="s">
        <v>3809</v>
      </c>
      <c r="C276" s="550" t="s">
        <v>3810</v>
      </c>
      <c r="D276" s="546" t="s">
        <v>627</v>
      </c>
      <c r="E276" s="547">
        <v>1</v>
      </c>
      <c r="F276" s="536">
        <v>3300000</v>
      </c>
      <c r="G276" s="532">
        <f t="shared" si="21"/>
        <v>3300000</v>
      </c>
    </row>
    <row r="277" spans="1:7" s="512" customFormat="1" ht="69" outlineLevel="1">
      <c r="A277" s="528">
        <v>3</v>
      </c>
      <c r="B277" s="557" t="s">
        <v>3783</v>
      </c>
      <c r="C277" s="542" t="s">
        <v>3687</v>
      </c>
      <c r="D277" s="554" t="s">
        <v>655</v>
      </c>
      <c r="E277" s="554">
        <v>10</v>
      </c>
      <c r="F277" s="536">
        <v>529000</v>
      </c>
      <c r="G277" s="532">
        <f t="shared" si="21"/>
        <v>5290000</v>
      </c>
    </row>
    <row r="278" spans="1:7" s="512" customFormat="1">
      <c r="A278" s="523" t="s">
        <v>1937</v>
      </c>
      <c r="B278" s="524" t="s">
        <v>3899</v>
      </c>
      <c r="C278" s="524"/>
      <c r="D278" s="526" t="s">
        <v>1134</v>
      </c>
      <c r="E278" s="523">
        <v>1</v>
      </c>
      <c r="F278" s="527"/>
      <c r="G278" s="527"/>
    </row>
    <row r="279" spans="1:7" s="512" customFormat="1" ht="138" outlineLevel="1">
      <c r="A279" s="528">
        <v>1</v>
      </c>
      <c r="B279" s="529" t="s">
        <v>3900</v>
      </c>
      <c r="C279" s="530" t="s">
        <v>3901</v>
      </c>
      <c r="D279" s="528" t="s">
        <v>680</v>
      </c>
      <c r="E279" s="528">
        <v>1</v>
      </c>
      <c r="F279" s="531">
        <v>6004000</v>
      </c>
      <c r="G279" s="532">
        <f t="shared" si="21"/>
        <v>6004000</v>
      </c>
    </row>
    <row r="280" spans="1:7" s="512" customFormat="1" ht="86.25" outlineLevel="1">
      <c r="A280" s="528">
        <v>4</v>
      </c>
      <c r="B280" s="529" t="s">
        <v>3902</v>
      </c>
      <c r="C280" s="530" t="s">
        <v>3903</v>
      </c>
      <c r="D280" s="528" t="s">
        <v>627</v>
      </c>
      <c r="E280" s="547">
        <v>10</v>
      </c>
      <c r="F280" s="531">
        <v>1452000</v>
      </c>
      <c r="G280" s="532">
        <f t="shared" si="21"/>
        <v>14520000</v>
      </c>
    </row>
    <row r="281" spans="1:7" s="512" customFormat="1" ht="51.75" outlineLevel="1">
      <c r="A281" s="547">
        <v>5</v>
      </c>
      <c r="B281" s="541" t="s">
        <v>3904</v>
      </c>
      <c r="C281" s="542" t="s">
        <v>3905</v>
      </c>
      <c r="D281" s="547" t="s">
        <v>627</v>
      </c>
      <c r="E281" s="547">
        <v>40</v>
      </c>
      <c r="F281" s="536">
        <v>529000</v>
      </c>
      <c r="G281" s="551">
        <f t="shared" si="21"/>
        <v>21160000</v>
      </c>
    </row>
    <row r="282" spans="1:7" s="512" customFormat="1" ht="103.5" outlineLevel="1">
      <c r="A282" s="528">
        <v>6</v>
      </c>
      <c r="B282" s="529" t="s">
        <v>3906</v>
      </c>
      <c r="C282" s="534" t="s">
        <v>3907</v>
      </c>
      <c r="D282" s="528" t="s">
        <v>627</v>
      </c>
      <c r="E282" s="528">
        <v>1</v>
      </c>
      <c r="F282" s="531">
        <v>5200000</v>
      </c>
      <c r="G282" s="532">
        <f t="shared" si="21"/>
        <v>5200000</v>
      </c>
    </row>
    <row r="283" spans="1:7" s="512" customFormat="1" ht="103.5" outlineLevel="1">
      <c r="A283" s="528">
        <v>7</v>
      </c>
      <c r="B283" s="529" t="s">
        <v>3908</v>
      </c>
      <c r="C283" s="534" t="s">
        <v>3909</v>
      </c>
      <c r="D283" s="528" t="s">
        <v>627</v>
      </c>
      <c r="E283" s="528">
        <v>4</v>
      </c>
      <c r="F283" s="531">
        <v>5600000</v>
      </c>
      <c r="G283" s="532">
        <f t="shared" si="21"/>
        <v>22400000</v>
      </c>
    </row>
    <row r="284" spans="1:7" s="512" customFormat="1" ht="69" outlineLevel="1">
      <c r="A284" s="528">
        <v>8</v>
      </c>
      <c r="B284" s="529" t="s">
        <v>3910</v>
      </c>
      <c r="C284" s="533" t="s">
        <v>3911</v>
      </c>
      <c r="D284" s="528" t="s">
        <v>627</v>
      </c>
      <c r="E284" s="528">
        <v>5</v>
      </c>
      <c r="F284" s="531">
        <v>6000000</v>
      </c>
      <c r="G284" s="532">
        <f t="shared" si="21"/>
        <v>30000000</v>
      </c>
    </row>
    <row r="285" spans="1:7" s="512" customFormat="1" ht="69" outlineLevel="1">
      <c r="A285" s="528">
        <v>9</v>
      </c>
      <c r="B285" s="529" t="s">
        <v>3912</v>
      </c>
      <c r="C285" s="533" t="s">
        <v>3913</v>
      </c>
      <c r="D285" s="528" t="s">
        <v>627</v>
      </c>
      <c r="E285" s="528">
        <v>2</v>
      </c>
      <c r="F285" s="531">
        <v>4200000</v>
      </c>
      <c r="G285" s="532">
        <f t="shared" si="21"/>
        <v>8400000</v>
      </c>
    </row>
    <row r="286" spans="1:7" s="512" customFormat="1" ht="86.25" outlineLevel="1">
      <c r="A286" s="528">
        <v>10</v>
      </c>
      <c r="B286" s="529" t="s">
        <v>3914</v>
      </c>
      <c r="C286" s="533" t="s">
        <v>3915</v>
      </c>
      <c r="D286" s="528" t="s">
        <v>627</v>
      </c>
      <c r="E286" s="528">
        <v>2</v>
      </c>
      <c r="F286" s="531">
        <v>4200000</v>
      </c>
      <c r="G286" s="532">
        <f t="shared" si="21"/>
        <v>8400000</v>
      </c>
    </row>
    <row r="287" spans="1:7" s="512" customFormat="1" ht="51.75" outlineLevel="1">
      <c r="A287" s="528">
        <v>11</v>
      </c>
      <c r="B287" s="529" t="s">
        <v>1176</v>
      </c>
      <c r="C287" s="529" t="s">
        <v>3916</v>
      </c>
      <c r="D287" s="528" t="s">
        <v>627</v>
      </c>
      <c r="E287" s="528">
        <v>1</v>
      </c>
      <c r="F287" s="531">
        <v>6000000</v>
      </c>
      <c r="G287" s="532">
        <f t="shared" si="21"/>
        <v>6000000</v>
      </c>
    </row>
    <row r="288" spans="1:7" s="512" customFormat="1" ht="51.75" outlineLevel="1">
      <c r="A288" s="528">
        <v>12</v>
      </c>
      <c r="B288" s="529" t="s">
        <v>3917</v>
      </c>
      <c r="C288" s="529" t="s">
        <v>3918</v>
      </c>
      <c r="D288" s="528" t="s">
        <v>695</v>
      </c>
      <c r="E288" s="528">
        <v>1</v>
      </c>
      <c r="F288" s="531">
        <v>800000</v>
      </c>
      <c r="G288" s="532">
        <f t="shared" si="21"/>
        <v>800000</v>
      </c>
    </row>
    <row r="289" spans="1:7" s="512" customFormat="1" ht="34.5" outlineLevel="1">
      <c r="A289" s="528">
        <v>13</v>
      </c>
      <c r="B289" s="529" t="s">
        <v>3919</v>
      </c>
      <c r="C289" s="529" t="s">
        <v>3920</v>
      </c>
      <c r="D289" s="528" t="s">
        <v>695</v>
      </c>
      <c r="E289" s="528">
        <v>1</v>
      </c>
      <c r="F289" s="531">
        <v>600000</v>
      </c>
      <c r="G289" s="532">
        <f t="shared" si="21"/>
        <v>600000</v>
      </c>
    </row>
    <row r="290" spans="1:7" s="512" customFormat="1" ht="51.75" outlineLevel="1">
      <c r="A290" s="528">
        <v>14</v>
      </c>
      <c r="B290" s="541" t="s">
        <v>1164</v>
      </c>
      <c r="C290" s="541" t="s">
        <v>3921</v>
      </c>
      <c r="D290" s="547" t="s">
        <v>695</v>
      </c>
      <c r="E290" s="547">
        <v>1</v>
      </c>
      <c r="F290" s="536">
        <v>800000</v>
      </c>
      <c r="G290" s="551">
        <f t="shared" si="21"/>
        <v>800000</v>
      </c>
    </row>
    <row r="291" spans="1:7" s="512" customFormat="1" ht="69" outlineLevel="1">
      <c r="A291" s="528">
        <v>15</v>
      </c>
      <c r="B291" s="529" t="s">
        <v>3922</v>
      </c>
      <c r="C291" s="529" t="s">
        <v>3923</v>
      </c>
      <c r="D291" s="528" t="s">
        <v>695</v>
      </c>
      <c r="E291" s="528">
        <v>6</v>
      </c>
      <c r="F291" s="531">
        <v>800000</v>
      </c>
      <c r="G291" s="532">
        <f t="shared" si="21"/>
        <v>4800000</v>
      </c>
    </row>
    <row r="292" spans="1:7" s="512" customFormat="1" ht="207" outlineLevel="1">
      <c r="A292" s="528">
        <v>20</v>
      </c>
      <c r="B292" s="529" t="s">
        <v>3924</v>
      </c>
      <c r="C292" s="535" t="s">
        <v>3651</v>
      </c>
      <c r="D292" s="528" t="s">
        <v>680</v>
      </c>
      <c r="E292" s="528">
        <v>3</v>
      </c>
      <c r="F292" s="531">
        <v>11900000</v>
      </c>
      <c r="G292" s="532">
        <f t="shared" si="21"/>
        <v>35700000</v>
      </c>
    </row>
    <row r="293" spans="1:7" s="512" customFormat="1" ht="172.5" outlineLevel="1">
      <c r="A293" s="528">
        <v>21</v>
      </c>
      <c r="B293" s="533" t="s">
        <v>1062</v>
      </c>
      <c r="C293" s="576" t="s">
        <v>3925</v>
      </c>
      <c r="D293" s="615" t="s">
        <v>655</v>
      </c>
      <c r="E293" s="616">
        <v>1</v>
      </c>
      <c r="F293" s="540">
        <v>6000000</v>
      </c>
      <c r="G293" s="532">
        <f t="shared" si="21"/>
        <v>6000000</v>
      </c>
    </row>
    <row r="294" spans="1:7" s="512" customFormat="1" ht="86.25" outlineLevel="1">
      <c r="A294" s="528">
        <v>22</v>
      </c>
      <c r="B294" s="541" t="s">
        <v>3926</v>
      </c>
      <c r="C294" s="549" t="s">
        <v>3927</v>
      </c>
      <c r="D294" s="547" t="s">
        <v>695</v>
      </c>
      <c r="E294" s="547">
        <v>3</v>
      </c>
      <c r="F294" s="536">
        <v>2200000</v>
      </c>
      <c r="G294" s="551">
        <f t="shared" si="21"/>
        <v>6600000</v>
      </c>
    </row>
    <row r="295" spans="1:7" s="512" customFormat="1">
      <c r="A295" s="523" t="s">
        <v>1939</v>
      </c>
      <c r="B295" s="524" t="s">
        <v>3928</v>
      </c>
      <c r="C295" s="524"/>
      <c r="D295" s="526" t="s">
        <v>1134</v>
      </c>
      <c r="E295" s="523">
        <v>2</v>
      </c>
      <c r="F295" s="527"/>
      <c r="G295" s="527"/>
    </row>
    <row r="296" spans="1:7" ht="86.25" outlineLevel="1">
      <c r="A296" s="528">
        <v>1</v>
      </c>
      <c r="B296" s="597" t="s">
        <v>3837</v>
      </c>
      <c r="C296" s="598" t="s">
        <v>3838</v>
      </c>
      <c r="D296" s="528" t="s">
        <v>680</v>
      </c>
      <c r="E296" s="528">
        <f>E295</f>
        <v>2</v>
      </c>
      <c r="F296" s="531">
        <v>3800000</v>
      </c>
      <c r="G296" s="532">
        <f t="shared" ref="G296:G302" si="22">E296*F296</f>
        <v>7600000</v>
      </c>
    </row>
    <row r="297" spans="1:7" ht="51.75" outlineLevel="1">
      <c r="A297" s="528">
        <f t="shared" ref="A297:A302" si="23">A296+1</f>
        <v>2</v>
      </c>
      <c r="B297" s="599" t="s">
        <v>3839</v>
      </c>
      <c r="C297" s="595" t="s">
        <v>3840</v>
      </c>
      <c r="D297" s="528" t="s">
        <v>627</v>
      </c>
      <c r="E297" s="528">
        <f>40*E295</f>
        <v>80</v>
      </c>
      <c r="F297" s="536">
        <v>350000</v>
      </c>
      <c r="G297" s="532">
        <f t="shared" si="22"/>
        <v>28000000</v>
      </c>
    </row>
    <row r="298" spans="1:7" ht="51.75" outlineLevel="1">
      <c r="A298" s="528">
        <f t="shared" si="23"/>
        <v>3</v>
      </c>
      <c r="B298" s="599" t="s">
        <v>3841</v>
      </c>
      <c r="C298" s="529" t="s">
        <v>3842</v>
      </c>
      <c r="D298" s="528" t="s">
        <v>627</v>
      </c>
      <c r="E298" s="528">
        <v>40</v>
      </c>
      <c r="F298" s="531">
        <v>1450000</v>
      </c>
      <c r="G298" s="532">
        <f t="shared" si="22"/>
        <v>58000000</v>
      </c>
    </row>
    <row r="299" spans="1:7" ht="86.25" outlineLevel="1">
      <c r="A299" s="528">
        <f t="shared" si="23"/>
        <v>4</v>
      </c>
      <c r="B299" s="541" t="s">
        <v>3843</v>
      </c>
      <c r="C299" s="600" t="s">
        <v>3844</v>
      </c>
      <c r="D299" s="528" t="s">
        <v>1033</v>
      </c>
      <c r="E299" s="528">
        <f>E296</f>
        <v>2</v>
      </c>
      <c r="F299" s="531">
        <v>3800000</v>
      </c>
      <c r="G299" s="532">
        <f t="shared" si="22"/>
        <v>7600000</v>
      </c>
    </row>
    <row r="300" spans="1:7" ht="207" outlineLevel="1">
      <c r="A300" s="528">
        <f>A299+1</f>
        <v>5</v>
      </c>
      <c r="B300" s="597" t="s">
        <v>3845</v>
      </c>
      <c r="C300" s="535" t="s">
        <v>3846</v>
      </c>
      <c r="D300" s="581" t="s">
        <v>680</v>
      </c>
      <c r="E300" s="581">
        <f>E295</f>
        <v>2</v>
      </c>
      <c r="F300" s="582">
        <v>11900000</v>
      </c>
      <c r="G300" s="532">
        <f t="shared" si="22"/>
        <v>23800000</v>
      </c>
    </row>
    <row r="301" spans="1:7" ht="138" outlineLevel="1">
      <c r="A301" s="528">
        <f t="shared" si="23"/>
        <v>6</v>
      </c>
      <c r="B301" s="597" t="s">
        <v>3847</v>
      </c>
      <c r="C301" s="601" t="s">
        <v>3848</v>
      </c>
      <c r="D301" s="580" t="s">
        <v>680</v>
      </c>
      <c r="E301" s="581">
        <f>E298*2</f>
        <v>80</v>
      </c>
      <c r="F301" s="602">
        <v>7821000</v>
      </c>
      <c r="G301" s="532">
        <f t="shared" si="22"/>
        <v>625680000</v>
      </c>
    </row>
    <row r="302" spans="1:7" ht="120.75" outlineLevel="1">
      <c r="A302" s="528">
        <f t="shared" si="23"/>
        <v>7</v>
      </c>
      <c r="B302" s="599" t="s">
        <v>1276</v>
      </c>
      <c r="C302" s="603" t="s">
        <v>3849</v>
      </c>
      <c r="D302" s="581" t="s">
        <v>1028</v>
      </c>
      <c r="E302" s="581">
        <f>E295</f>
        <v>2</v>
      </c>
      <c r="F302" s="602">
        <v>5600000</v>
      </c>
      <c r="G302" s="532">
        <f t="shared" si="22"/>
        <v>11200000</v>
      </c>
    </row>
    <row r="303" spans="1:7" s="512" customFormat="1">
      <c r="A303" s="523" t="s">
        <v>1955</v>
      </c>
      <c r="B303" s="524" t="s">
        <v>1167</v>
      </c>
      <c r="C303" s="524"/>
      <c r="D303" s="526" t="s">
        <v>1134</v>
      </c>
      <c r="E303" s="523">
        <v>1</v>
      </c>
      <c r="F303" s="527"/>
      <c r="G303" s="527"/>
    </row>
    <row r="304" spans="1:7" s="512" customFormat="1" ht="51.75" outlineLevel="1">
      <c r="A304" s="547">
        <v>1</v>
      </c>
      <c r="B304" s="552" t="s">
        <v>1168</v>
      </c>
      <c r="C304" s="552" t="s">
        <v>3691</v>
      </c>
      <c r="D304" s="554" t="s">
        <v>3692</v>
      </c>
      <c r="E304" s="554">
        <v>10</v>
      </c>
      <c r="F304" s="540">
        <v>3960000</v>
      </c>
      <c r="G304" s="551">
        <f>E304*F304</f>
        <v>39600000</v>
      </c>
    </row>
    <row r="305" spans="1:7" s="512" customFormat="1" ht="51.75" outlineLevel="1">
      <c r="A305" s="547">
        <v>2</v>
      </c>
      <c r="B305" s="552" t="s">
        <v>1170</v>
      </c>
      <c r="C305" s="552" t="s">
        <v>3929</v>
      </c>
      <c r="D305" s="554" t="s">
        <v>3692</v>
      </c>
      <c r="E305" s="554">
        <v>10</v>
      </c>
      <c r="F305" s="540">
        <v>6500000</v>
      </c>
      <c r="G305" s="551">
        <f>E305*F305</f>
        <v>65000000</v>
      </c>
    </row>
    <row r="306" spans="1:7" s="512" customFormat="1">
      <c r="A306" s="523" t="s">
        <v>1960</v>
      </c>
      <c r="B306" s="524" t="s">
        <v>1159</v>
      </c>
      <c r="C306" s="524"/>
      <c r="D306" s="526" t="s">
        <v>1134</v>
      </c>
      <c r="E306" s="523">
        <v>1</v>
      </c>
      <c r="F306" s="527"/>
      <c r="G306" s="527"/>
    </row>
    <row r="307" spans="1:7" s="512" customFormat="1" ht="138" outlineLevel="1">
      <c r="A307" s="528">
        <v>1</v>
      </c>
      <c r="B307" s="529" t="s">
        <v>3900</v>
      </c>
      <c r="C307" s="530" t="s">
        <v>3901</v>
      </c>
      <c r="D307" s="528" t="s">
        <v>680</v>
      </c>
      <c r="E307" s="528">
        <v>1</v>
      </c>
      <c r="F307" s="531">
        <v>6004000</v>
      </c>
      <c r="G307" s="532">
        <f>E307*F307</f>
        <v>6004000</v>
      </c>
    </row>
    <row r="308" spans="1:7" s="512" customFormat="1" ht="86.25" outlineLevel="1">
      <c r="A308" s="528">
        <v>1</v>
      </c>
      <c r="B308" s="552" t="s">
        <v>3930</v>
      </c>
      <c r="C308" s="530" t="s">
        <v>3931</v>
      </c>
      <c r="D308" s="554" t="s">
        <v>627</v>
      </c>
      <c r="E308" s="554">
        <v>2</v>
      </c>
      <c r="F308" s="536">
        <v>4500000</v>
      </c>
      <c r="G308" s="551">
        <f>+F308*E308</f>
        <v>9000000</v>
      </c>
    </row>
    <row r="309" spans="1:7" s="512" customFormat="1" ht="34.5" outlineLevel="1">
      <c r="A309" s="528">
        <v>2</v>
      </c>
      <c r="B309" s="552" t="s">
        <v>3696</v>
      </c>
      <c r="C309" s="578" t="s">
        <v>3932</v>
      </c>
      <c r="D309" s="554" t="s">
        <v>627</v>
      </c>
      <c r="E309" s="554">
        <v>20</v>
      </c>
      <c r="F309" s="536">
        <v>529000</v>
      </c>
      <c r="G309" s="532">
        <f>+F309*E309</f>
        <v>10580000</v>
      </c>
    </row>
    <row r="310" spans="1:7" s="512" customFormat="1" ht="103.5" outlineLevel="1">
      <c r="A310" s="528">
        <v>3</v>
      </c>
      <c r="B310" s="552" t="s">
        <v>3933</v>
      </c>
      <c r="C310" s="578" t="s">
        <v>3934</v>
      </c>
      <c r="D310" s="554" t="s">
        <v>627</v>
      </c>
      <c r="E310" s="554">
        <v>1</v>
      </c>
      <c r="F310" s="536">
        <v>5600000</v>
      </c>
      <c r="G310" s="532">
        <f>+F310*E310</f>
        <v>5600000</v>
      </c>
    </row>
    <row r="311" spans="1:7" s="512" customFormat="1" ht="86.25" outlineLevel="1">
      <c r="A311" s="528">
        <v>4</v>
      </c>
      <c r="B311" s="552" t="s">
        <v>3935</v>
      </c>
      <c r="C311" s="578" t="s">
        <v>3936</v>
      </c>
      <c r="D311" s="554" t="s">
        <v>627</v>
      </c>
      <c r="E311" s="554">
        <v>1</v>
      </c>
      <c r="F311" s="536">
        <v>3560000</v>
      </c>
      <c r="G311" s="532">
        <f>+F311*E311</f>
        <v>3560000</v>
      </c>
    </row>
    <row r="312" spans="1:7" s="512" customFormat="1" ht="86.25" outlineLevel="1">
      <c r="A312" s="528">
        <v>5</v>
      </c>
      <c r="B312" s="552" t="s">
        <v>3937</v>
      </c>
      <c r="C312" s="578" t="s">
        <v>3938</v>
      </c>
      <c r="D312" s="554" t="s">
        <v>627</v>
      </c>
      <c r="E312" s="554">
        <v>1</v>
      </c>
      <c r="F312" s="536">
        <v>3220000</v>
      </c>
      <c r="G312" s="532">
        <f>+F312*E312</f>
        <v>3220000</v>
      </c>
    </row>
    <row r="313" spans="1:7" s="512" customFormat="1">
      <c r="A313" s="523" t="s">
        <v>3758</v>
      </c>
      <c r="B313" s="524" t="s">
        <v>3872</v>
      </c>
      <c r="C313" s="524"/>
      <c r="D313" s="526" t="s">
        <v>1134</v>
      </c>
      <c r="E313" s="523">
        <v>1</v>
      </c>
      <c r="F313" s="527"/>
      <c r="G313" s="527"/>
    </row>
    <row r="314" spans="1:7" s="512" customFormat="1" ht="51.75" outlineLevel="1">
      <c r="A314" s="528">
        <v>1</v>
      </c>
      <c r="B314" s="541" t="s">
        <v>3694</v>
      </c>
      <c r="C314" s="541" t="s">
        <v>3695</v>
      </c>
      <c r="D314" s="547" t="s">
        <v>627</v>
      </c>
      <c r="E314" s="547">
        <v>1</v>
      </c>
      <c r="F314" s="536">
        <v>3300000</v>
      </c>
      <c r="G314" s="532">
        <f>E314*F314</f>
        <v>3300000</v>
      </c>
    </row>
    <row r="315" spans="1:7" s="512" customFormat="1" ht="51.75" outlineLevel="1">
      <c r="A315" s="528">
        <v>2</v>
      </c>
      <c r="B315" s="541" t="s">
        <v>3696</v>
      </c>
      <c r="C315" s="542" t="s">
        <v>3660</v>
      </c>
      <c r="D315" s="547" t="s">
        <v>627</v>
      </c>
      <c r="E315" s="547">
        <v>8</v>
      </c>
      <c r="F315" s="536">
        <v>529000</v>
      </c>
      <c r="G315" s="532">
        <f>E315*F315</f>
        <v>4232000</v>
      </c>
    </row>
    <row r="316" spans="1:7" s="512" customFormat="1" ht="86.25" outlineLevel="1">
      <c r="A316" s="528">
        <v>3</v>
      </c>
      <c r="B316" s="541" t="s">
        <v>3697</v>
      </c>
      <c r="C316" s="549" t="s">
        <v>3698</v>
      </c>
      <c r="D316" s="547" t="s">
        <v>627</v>
      </c>
      <c r="E316" s="547">
        <v>4</v>
      </c>
      <c r="F316" s="536">
        <v>4500000</v>
      </c>
      <c r="G316" s="532">
        <f>E316*F316</f>
        <v>18000000</v>
      </c>
    </row>
    <row r="317" spans="1:7" s="512" customFormat="1">
      <c r="A317" s="523" t="s">
        <v>1928</v>
      </c>
      <c r="B317" s="524" t="s">
        <v>3768</v>
      </c>
      <c r="C317" s="524"/>
      <c r="D317" s="526" t="s">
        <v>1134</v>
      </c>
      <c r="E317" s="523">
        <v>1</v>
      </c>
      <c r="F317" s="527"/>
      <c r="G317" s="527"/>
    </row>
    <row r="318" spans="1:7" s="512" customFormat="1" ht="103.5" outlineLevel="1">
      <c r="A318" s="528">
        <v>1</v>
      </c>
      <c r="B318" s="577" t="s">
        <v>3641</v>
      </c>
      <c r="C318" s="578" t="s">
        <v>3769</v>
      </c>
      <c r="D318" s="554" t="s">
        <v>627</v>
      </c>
      <c r="E318" s="579">
        <v>1</v>
      </c>
      <c r="F318" s="540">
        <v>3346000</v>
      </c>
      <c r="G318" s="540">
        <f>+F318</f>
        <v>3346000</v>
      </c>
    </row>
    <row r="319" spans="1:7" s="512" customFormat="1" ht="86.25" outlineLevel="1">
      <c r="A319" s="528">
        <v>2</v>
      </c>
      <c r="B319" s="577" t="s">
        <v>3770</v>
      </c>
      <c r="C319" s="578" t="s">
        <v>3771</v>
      </c>
      <c r="D319" s="554" t="s">
        <v>627</v>
      </c>
      <c r="E319" s="579">
        <v>4</v>
      </c>
      <c r="F319" s="540">
        <v>529000</v>
      </c>
      <c r="G319" s="540">
        <f>+F319</f>
        <v>529000</v>
      </c>
    </row>
    <row r="320" spans="1:7" s="512" customFormat="1">
      <c r="A320" s="1741" t="s">
        <v>3939</v>
      </c>
      <c r="B320" s="1741"/>
      <c r="C320" s="1741"/>
      <c r="D320" s="1741"/>
      <c r="E320" s="1741"/>
      <c r="F320" s="1741"/>
      <c r="G320" s="1741"/>
    </row>
    <row r="321" spans="1:7" s="512" customFormat="1">
      <c r="A321" s="620" t="s">
        <v>500</v>
      </c>
      <c r="B321" s="621" t="s">
        <v>3940</v>
      </c>
      <c r="C321" s="620"/>
      <c r="D321" s="620" t="s">
        <v>680</v>
      </c>
      <c r="E321" s="620">
        <v>1</v>
      </c>
      <c r="F321" s="622">
        <f>+'[37]danh muc day hoc '!F317</f>
        <v>322146000</v>
      </c>
      <c r="G321" s="623">
        <f>+F321*E321</f>
        <v>322146000</v>
      </c>
    </row>
    <row r="322" spans="1:7" s="512" customFormat="1">
      <c r="A322" s="581"/>
      <c r="B322" s="624" t="s">
        <v>3941</v>
      </c>
      <c r="C322" s="580"/>
      <c r="D322" s="581"/>
      <c r="E322" s="581"/>
      <c r="F322" s="582"/>
      <c r="G322" s="623">
        <f>SUM(G11:G321)</f>
        <v>8058814000</v>
      </c>
    </row>
    <row r="323" spans="1:7" s="512" customFormat="1">
      <c r="A323" s="625"/>
      <c r="B323" s="626"/>
      <c r="C323" s="627"/>
      <c r="D323" s="625"/>
      <c r="E323" s="625"/>
      <c r="F323" s="628"/>
      <c r="G323" s="625"/>
    </row>
    <row r="324" spans="1:7" s="512" customFormat="1">
      <c r="A324" s="625"/>
      <c r="B324" s="626"/>
      <c r="C324" s="627"/>
      <c r="D324" s="625"/>
      <c r="E324" s="625"/>
      <c r="F324" s="628"/>
      <c r="G324" s="625"/>
    </row>
  </sheetData>
  <mergeCells count="2">
    <mergeCell ref="A9:G9"/>
    <mergeCell ref="A320:G320"/>
  </mergeCells>
  <printOptions horizontalCentered="1"/>
  <pageMargins left="0.3" right="0.1" top="0.49" bottom="0.5" header="0.28000000000000003" footer="0.3"/>
  <pageSetup paperSize="9" scale="95" orientation="landscape" blackAndWhite="1" r:id="rId1"/>
  <headerFooter>
    <oddHeader>&amp;L&amp;F&amp;R&amp;A</oddHeader>
    <oddFooter>&amp;CTrang thu &amp;P/&amp;N</oddFooter>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3"/>
  <dimension ref="A1:IV87"/>
  <sheetViews>
    <sheetView showZeros="0" zoomScale="90" zoomScaleNormal="90" workbookViewId="0">
      <selection activeCell="B28" sqref="B28"/>
    </sheetView>
  </sheetViews>
  <sheetFormatPr defaultColWidth="9.140625" defaultRowHeight="17.25"/>
  <cols>
    <col min="1" max="1" width="7" style="191" customWidth="1"/>
    <col min="2" max="2" width="66.28515625" style="191" customWidth="1"/>
    <col min="3" max="3" width="10" style="311" customWidth="1"/>
    <col min="4" max="4" width="24.140625" style="311" customWidth="1"/>
    <col min="5" max="5" width="13.140625" style="312" bestFit="1" customWidth="1"/>
    <col min="6" max="6" width="17.140625" style="313" customWidth="1"/>
    <col min="7" max="7" width="15.42578125" style="311" customWidth="1"/>
    <col min="8" max="8" width="9.7109375" style="314" bestFit="1" customWidth="1"/>
    <col min="9" max="9" width="13.28515625" style="191" bestFit="1" customWidth="1"/>
    <col min="10" max="10" width="8.85546875" style="191" customWidth="1"/>
    <col min="11" max="11" width="5" style="236" customWidth="1"/>
    <col min="12" max="12" width="2.5703125" style="236" customWidth="1"/>
    <col min="13" max="13" width="3.42578125" style="236" customWidth="1"/>
    <col min="14" max="14" width="4.85546875" style="236" customWidth="1"/>
    <col min="15" max="15" width="6.140625" style="236" customWidth="1"/>
    <col min="16" max="17" width="4.28515625" style="236" customWidth="1"/>
    <col min="18" max="18" width="3.5703125" style="236" customWidth="1"/>
    <col min="19" max="19" width="6.28515625" style="236" customWidth="1"/>
    <col min="20" max="20" width="14" style="191" customWidth="1"/>
    <col min="21" max="33" width="9.140625" style="191"/>
    <col min="34" max="34" width="44.5703125" style="191" customWidth="1"/>
    <col min="35" max="37" width="9.28515625" style="191" customWidth="1"/>
    <col min="38" max="16384" width="9.140625" style="191"/>
  </cols>
  <sheetData>
    <row r="1" spans="1:28" ht="28.9" customHeight="1">
      <c r="B1" s="230" t="s">
        <v>3942</v>
      </c>
      <c r="C1" s="231"/>
      <c r="D1" s="231"/>
      <c r="E1" s="232"/>
      <c r="F1" s="233"/>
      <c r="G1" s="231"/>
      <c r="H1" s="234"/>
      <c r="I1" s="235"/>
      <c r="J1" s="235"/>
    </row>
    <row r="2" spans="1:28" ht="9.75" customHeight="1">
      <c r="A2" s="188">
        <v>0</v>
      </c>
      <c r="B2" s="237"/>
      <c r="C2" s="238"/>
      <c r="D2" s="238"/>
      <c r="E2" s="239"/>
      <c r="F2" s="240"/>
      <c r="G2" s="240"/>
      <c r="H2" s="241"/>
    </row>
    <row r="3" spans="1:28">
      <c r="A3" s="188" t="e">
        <f>#REF!</f>
        <v>#REF!</v>
      </c>
      <c r="B3" s="237"/>
      <c r="C3" s="238"/>
      <c r="D3" s="238"/>
      <c r="E3" s="239"/>
      <c r="F3" s="240"/>
      <c r="G3" s="240"/>
      <c r="H3" s="241"/>
    </row>
    <row r="4" spans="1:28">
      <c r="A4" s="189" t="e">
        <f>#REF!</f>
        <v>#REF!</v>
      </c>
      <c r="B4" s="237"/>
      <c r="C4" s="238"/>
      <c r="D4" s="238"/>
      <c r="E4" s="239"/>
      <c r="F4" s="240"/>
      <c r="G4" s="240"/>
      <c r="H4" s="241"/>
    </row>
    <row r="5" spans="1:28" ht="15.6" customHeight="1">
      <c r="A5" s="188"/>
      <c r="B5" s="237"/>
      <c r="C5" s="238"/>
      <c r="D5" s="238"/>
      <c r="E5" s="239"/>
      <c r="F5" s="240"/>
      <c r="G5" s="240"/>
      <c r="H5" s="241"/>
    </row>
    <row r="6" spans="1:28" s="249" customFormat="1">
      <c r="A6" s="242" t="s">
        <v>51</v>
      </c>
      <c r="B6" s="243" t="s">
        <v>3943</v>
      </c>
      <c r="C6" s="244" t="s">
        <v>3944</v>
      </c>
      <c r="D6" s="244" t="s">
        <v>3945</v>
      </c>
      <c r="E6" s="245" t="s">
        <v>3946</v>
      </c>
      <c r="F6" s="246" t="s">
        <v>3947</v>
      </c>
      <c r="G6" s="247" t="s">
        <v>3948</v>
      </c>
      <c r="H6" s="248" t="s">
        <v>3949</v>
      </c>
      <c r="I6" s="242" t="s">
        <v>3950</v>
      </c>
      <c r="K6" s="250"/>
      <c r="L6" s="250"/>
      <c r="M6" s="250"/>
      <c r="N6" s="250"/>
      <c r="O6" s="250"/>
      <c r="P6" s="250"/>
      <c r="Q6" s="250"/>
      <c r="R6" s="250"/>
      <c r="S6" s="250"/>
      <c r="T6" s="249" t="s">
        <v>3951</v>
      </c>
    </row>
    <row r="7" spans="1:28" s="249" customFormat="1">
      <c r="A7" s="251"/>
      <c r="B7" s="252"/>
      <c r="C7" s="253"/>
      <c r="D7" s="253"/>
      <c r="E7" s="254"/>
      <c r="F7" s="255"/>
      <c r="G7" s="253"/>
      <c r="H7" s="256"/>
      <c r="I7" s="257"/>
      <c r="K7" s="250"/>
      <c r="L7" s="250"/>
      <c r="M7" s="250"/>
      <c r="N7" s="250"/>
      <c r="O7" s="250"/>
      <c r="P7" s="250"/>
      <c r="Q7" s="250"/>
      <c r="R7" s="250"/>
      <c r="S7" s="250"/>
    </row>
    <row r="8" spans="1:28" s="249" customFormat="1">
      <c r="A8" s="258" t="s">
        <v>500</v>
      </c>
      <c r="B8" s="259" t="s">
        <v>501</v>
      </c>
      <c r="C8" s="260"/>
      <c r="D8" s="260"/>
      <c r="E8" s="261"/>
      <c r="F8" s="262"/>
      <c r="G8" s="260"/>
      <c r="H8" s="263"/>
      <c r="I8" s="264"/>
      <c r="K8" s="250"/>
      <c r="L8" s="250"/>
      <c r="M8" s="250"/>
      <c r="N8" s="250"/>
      <c r="O8" s="250"/>
      <c r="P8" s="250"/>
      <c r="Q8" s="250"/>
      <c r="R8" s="250"/>
      <c r="S8" s="250"/>
    </row>
    <row r="9" spans="1:28" s="249" customFormat="1">
      <c r="A9" s="258" t="s">
        <v>504</v>
      </c>
      <c r="B9" s="259" t="s">
        <v>505</v>
      </c>
      <c r="C9" s="260"/>
      <c r="D9" s="260"/>
      <c r="E9" s="261"/>
      <c r="F9" s="262"/>
      <c r="G9" s="260"/>
      <c r="H9" s="263"/>
      <c r="I9" s="264"/>
      <c r="K9" s="250"/>
      <c r="L9" s="250"/>
      <c r="M9" s="250"/>
      <c r="N9" s="250"/>
      <c r="O9" s="250"/>
      <c r="P9" s="250"/>
      <c r="Q9" s="250"/>
      <c r="R9" s="250"/>
      <c r="S9" s="250"/>
    </row>
    <row r="10" spans="1:28" s="249" customFormat="1">
      <c r="A10" s="258" t="s">
        <v>507</v>
      </c>
      <c r="B10" s="259" t="s">
        <v>3952</v>
      </c>
      <c r="C10" s="260"/>
      <c r="D10" s="260"/>
      <c r="E10" s="261"/>
      <c r="F10" s="262"/>
      <c r="G10" s="260"/>
      <c r="H10" s="263"/>
      <c r="I10" s="264"/>
      <c r="K10" s="250"/>
      <c r="L10" s="250"/>
      <c r="M10" s="250"/>
      <c r="N10" s="250"/>
      <c r="O10" s="250"/>
      <c r="P10" s="250"/>
      <c r="Q10" s="250"/>
      <c r="R10" s="250"/>
      <c r="S10" s="250"/>
    </row>
    <row r="11" spans="1:28">
      <c r="A11" s="258" t="s">
        <v>513</v>
      </c>
      <c r="B11" s="259" t="s">
        <v>508</v>
      </c>
      <c r="C11" s="265" t="e">
        <f>IF('B THKP'!$C$154="DD",HLOOKUP(E11,BQL,2,0),IF('B THKP'!$C$154="CN",HLOOKUP(E11,BQL,3,0),IF('B THKP'!$C$154="GT",HLOOKUP(E11,BQL,4,0),IF('B THKP'!$C$154="TL",HLOOKUP(E11,BQL,5,0),IF('B THKP'!$C$154="HTKT",HLOOKUP(E11,BQL,6,0))))))</f>
        <v>#REF!</v>
      </c>
      <c r="D11" s="265" t="e">
        <f>IF('B THKP'!$C$154="DD",HLOOKUP(F11,BQL,2,0),IF('B THKP'!$C$154="CN",HLOOKUP(F11,BQL,3,0),IF('B THKP'!$C$154="GT",HLOOKUP(F11,BQL,4,0),IF('B THKP'!$C$154="TL",HLOOKUP(F11,BQL,5,0),IF('B THKP'!$C$154="HTKT",HLOOKUP(F11,BQL,6,0))))))</f>
        <v>#REF!</v>
      </c>
      <c r="E11" s="266" t="e">
        <f>IF(AND(G11&gt;=500,G11&lt;1000),500,IF(AND(G11&gt;=1000,G11&lt;2000),1000,IF(AND(G11&gt;=2000,G11&lt;5000),2000,IF(AND(G11&gt;=5000,G11&lt;10000),5000,IF(AND(G11&gt;=10000,G11&lt;20000),10000,IF(AND(G11&gt;=20000,G11&lt;=30000),20000,IF(G11&lt;500,AA11)))))))</f>
        <v>#REF!</v>
      </c>
      <c r="F11" s="266" t="e">
        <f>IF(AND(G11&gt;=500,G11&lt;1000),1000,IF(AND(G11&gt;=1000,G11&lt;2000),2000,IF(AND(G11&gt;=2000,G11&lt;5000),5000,IF(AND(G11&gt;=5000,G11&lt;10000),10000,IF(AND(G11&gt;=10000,G11&lt;20000),20000,IF(AND(G11&gt;=20000,G11&lt;30000),30000,IF(G11&gt;=30000,30000,IF(G11&lt;500,AB11))))))))</f>
        <v>#REF!</v>
      </c>
      <c r="G11" s="267" t="e">
        <f>(GTT*0+'B THKP'!P13*0+TBL*0+#REF!/1.01/1.1+#REF!/1.1)*10^-9</f>
        <v>#REF!</v>
      </c>
      <c r="H11" s="268" t="e">
        <f>IF(OR(E11-G11=0,E11=F11),C11,C11-((C11-D11)/(F11-E11)*(G11-E11)))</f>
        <v>#REF!</v>
      </c>
      <c r="I11" s="269" t="e">
        <f>ROUND(H11,4)</f>
        <v>#REF!</v>
      </c>
      <c r="J11" s="270" t="e">
        <f>IF(TBL&lt;&gt;0,"","GTT*")</f>
        <v>#REF!</v>
      </c>
      <c r="K11" s="271" t="s">
        <v>3953</v>
      </c>
      <c r="L11" s="271"/>
      <c r="M11" s="271"/>
      <c r="N11" s="271"/>
      <c r="O11" s="271"/>
      <c r="P11" s="271"/>
      <c r="Q11" s="271"/>
      <c r="R11" s="271"/>
      <c r="S11" s="271">
        <v>1.1000000000000001</v>
      </c>
      <c r="T11" s="206" t="e">
        <f>J11&amp;I11&amp;K11&amp;L11&amp;M11&amp;N11&amp;O11&amp;P11&amp;Q11&amp;R11&amp;S11</f>
        <v>#REF!</v>
      </c>
      <c r="U11" s="186"/>
      <c r="V11" s="186"/>
      <c r="AA11" s="191" t="e">
        <f>IF(G11&lt;20,10,IF(AND(G11&gt;=20,G11&lt;50),20,IF(AND(G11&gt;=50,G11&lt;100),50,IF(AND(G11&gt;=100,G11&lt;200),100,IF(AND(G11&gt;=200,G11&lt;500),200)))))</f>
        <v>#REF!</v>
      </c>
      <c r="AB11" s="191" t="e">
        <f>IF(G11=10,10,IF(AND(G11&gt;10,G11&lt;20),20,IF(AND(G11&gt;=20,G11&lt;50),50,IF(AND(G11&gt;=50,G11&lt;100),100,IF(AND(G11&gt;=100,G11&lt;200),200,IF(AND(G11&gt;=200,G11&lt;500),500))))))</f>
        <v>#REF!</v>
      </c>
    </row>
    <row r="12" spans="1:28" s="249" customFormat="1">
      <c r="A12" s="258" t="s">
        <v>557</v>
      </c>
      <c r="B12" s="259" t="s">
        <v>514</v>
      </c>
      <c r="C12" s="260"/>
      <c r="D12" s="260"/>
      <c r="E12" s="261"/>
      <c r="F12" s="262"/>
      <c r="G12" s="260"/>
      <c r="H12" s="263"/>
      <c r="I12" s="264"/>
      <c r="K12" s="250"/>
      <c r="L12" s="250"/>
      <c r="M12" s="250"/>
      <c r="N12" s="250"/>
      <c r="O12" s="250"/>
      <c r="P12" s="250"/>
      <c r="Q12" s="250"/>
      <c r="R12" s="250"/>
      <c r="S12" s="250"/>
    </row>
    <row r="13" spans="1:28" s="249" customFormat="1">
      <c r="A13" s="264" t="s">
        <v>3954</v>
      </c>
      <c r="B13" s="272" t="s">
        <v>3955</v>
      </c>
      <c r="C13" s="260"/>
      <c r="D13" s="260"/>
      <c r="E13" s="261"/>
      <c r="F13" s="262"/>
      <c r="G13" s="260"/>
      <c r="H13" s="263"/>
      <c r="I13" s="264"/>
      <c r="K13" s="250"/>
      <c r="L13" s="250"/>
      <c r="M13" s="250"/>
      <c r="N13" s="250"/>
      <c r="O13" s="250"/>
      <c r="P13" s="250"/>
      <c r="Q13" s="250"/>
      <c r="R13" s="250"/>
      <c r="S13" s="250"/>
    </row>
    <row r="14" spans="1:28" s="249" customFormat="1">
      <c r="A14" s="264" t="s">
        <v>3956</v>
      </c>
      <c r="B14" s="273" t="s">
        <v>3957</v>
      </c>
      <c r="C14" s="260"/>
      <c r="D14" s="260"/>
      <c r="E14" s="261"/>
      <c r="F14" s="262"/>
      <c r="G14" s="260"/>
      <c r="H14" s="263"/>
      <c r="I14" s="264"/>
      <c r="K14" s="250"/>
      <c r="L14" s="250"/>
      <c r="M14" s="250"/>
      <c r="N14" s="250"/>
      <c r="O14" s="250"/>
      <c r="P14" s="250"/>
      <c r="Q14" s="250"/>
      <c r="R14" s="250"/>
      <c r="S14" s="250"/>
    </row>
    <row r="15" spans="1:28" s="249" customFormat="1">
      <c r="A15" s="264" t="s">
        <v>3956</v>
      </c>
      <c r="B15" s="273" t="s">
        <v>3958</v>
      </c>
      <c r="C15" s="260"/>
      <c r="D15" s="260"/>
      <c r="E15" s="261"/>
      <c r="F15" s="262"/>
      <c r="G15" s="260"/>
      <c r="H15" s="263"/>
      <c r="I15" s="264"/>
      <c r="K15" s="250"/>
      <c r="L15" s="250"/>
      <c r="M15" s="250"/>
      <c r="N15" s="250"/>
      <c r="O15" s="250"/>
      <c r="P15" s="250"/>
      <c r="Q15" s="250"/>
      <c r="R15" s="250"/>
      <c r="S15" s="250"/>
    </row>
    <row r="16" spans="1:28" s="249" customFormat="1">
      <c r="A16" s="264" t="s">
        <v>3959</v>
      </c>
      <c r="B16" s="273" t="s">
        <v>3960</v>
      </c>
      <c r="C16" s="260"/>
      <c r="D16" s="260"/>
      <c r="E16" s="261"/>
      <c r="F16" s="262"/>
      <c r="G16" s="260"/>
      <c r="H16" s="263"/>
      <c r="I16" s="264"/>
      <c r="K16" s="250"/>
      <c r="L16" s="250"/>
      <c r="M16" s="250"/>
      <c r="N16" s="250"/>
      <c r="O16" s="250"/>
      <c r="P16" s="250"/>
      <c r="Q16" s="250"/>
      <c r="R16" s="250"/>
      <c r="S16" s="250"/>
    </row>
    <row r="17" spans="1:256" s="249" customFormat="1">
      <c r="A17" s="264" t="s">
        <v>3961</v>
      </c>
      <c r="B17" s="272" t="s">
        <v>3962</v>
      </c>
      <c r="C17" s="260"/>
      <c r="D17" s="260"/>
      <c r="E17" s="261"/>
      <c r="F17" s="262"/>
      <c r="G17" s="260"/>
      <c r="H17" s="263"/>
      <c r="I17" s="264"/>
      <c r="K17" s="250"/>
      <c r="L17" s="250"/>
      <c r="M17" s="250"/>
      <c r="N17" s="250"/>
      <c r="O17" s="250"/>
      <c r="P17" s="250"/>
      <c r="Q17" s="250"/>
      <c r="R17" s="250"/>
      <c r="S17" s="250"/>
    </row>
    <row r="18" spans="1:256" s="249" customFormat="1">
      <c r="A18" s="264" t="s">
        <v>3963</v>
      </c>
      <c r="B18" s="273" t="s">
        <v>3964</v>
      </c>
      <c r="C18" s="260"/>
      <c r="D18" s="260" t="s">
        <v>3965</v>
      </c>
      <c r="E18" s="261"/>
      <c r="F18" s="262"/>
      <c r="G18" s="260"/>
      <c r="H18" s="263"/>
      <c r="I18" s="264"/>
      <c r="K18" s="250"/>
      <c r="L18" s="250"/>
      <c r="M18" s="250"/>
      <c r="N18" s="250"/>
      <c r="O18" s="250"/>
      <c r="P18" s="250"/>
      <c r="Q18" s="250"/>
      <c r="R18" s="250"/>
      <c r="S18" s="250"/>
    </row>
    <row r="19" spans="1:256" s="249" customFormat="1">
      <c r="A19" s="264" t="s">
        <v>3966</v>
      </c>
      <c r="B19" s="273" t="s">
        <v>3967</v>
      </c>
      <c r="C19" s="260"/>
      <c r="D19" s="260"/>
      <c r="E19" s="261"/>
      <c r="F19" s="262"/>
      <c r="G19" s="260"/>
      <c r="H19" s="263"/>
      <c r="I19" s="264"/>
      <c r="K19" s="250"/>
      <c r="L19" s="250"/>
      <c r="M19" s="250"/>
      <c r="N19" s="250"/>
      <c r="O19" s="250"/>
      <c r="P19" s="250"/>
      <c r="Q19" s="250"/>
      <c r="R19" s="250"/>
      <c r="S19" s="250"/>
    </row>
    <row r="20" spans="1:256" s="249" customFormat="1">
      <c r="A20" s="264" t="s">
        <v>3968</v>
      </c>
      <c r="B20" s="274" t="s">
        <v>3969</v>
      </c>
      <c r="C20" s="260"/>
      <c r="D20" s="260"/>
      <c r="E20" s="261"/>
      <c r="F20" s="262"/>
      <c r="G20" s="260"/>
      <c r="H20" s="263"/>
      <c r="I20" s="264"/>
      <c r="K20" s="250"/>
      <c r="L20" s="250"/>
      <c r="M20" s="250"/>
      <c r="N20" s="250"/>
      <c r="O20" s="250"/>
      <c r="P20" s="250"/>
      <c r="Q20" s="250"/>
      <c r="R20" s="250"/>
      <c r="S20" s="250"/>
    </row>
    <row r="21" spans="1:256">
      <c r="A21" s="264" t="s">
        <v>3970</v>
      </c>
      <c r="B21" s="275" t="s">
        <v>3971</v>
      </c>
      <c r="C21" s="276" t="e">
        <f>IF(G21&lt;15,0,IF('B THKP'!$C$154="DD",HLOOKUP(E21,DADT,2,0),IF('B THKP'!$C$154="CN",HLOOKUP(E21,DADT,3,0),IF('B THKP'!$C$154="GT",HLOOKUP(E21,DADT,4,0),IF('B THKP'!$C$154="TL",HLOOKUP(E21,DADT,5,0),IF('B THKP'!$C$154="HTKT",HLOOKUP(E21,DADT,6,0)))))))</f>
        <v>#REF!</v>
      </c>
      <c r="D21" s="276" t="e">
        <f>IF(G21&lt;15,0,IF('B THKP'!$C$154="DD",HLOOKUP(F21,DADT,2,0),IF('B THKP'!$C$154="CN",HLOOKUP(F21,DADT,3,0),IF('B THKP'!$C$154="GT",HLOOKUP(F21,DADT,4,0),IF('B THKP'!$C$154="TL",HLOOKUP(F21,DADT,5,0),IF('B THKP'!$C$154="HTKT",HLOOKUP(F21,DADT,6,0)))))))</f>
        <v>#REF!</v>
      </c>
      <c r="E21" s="277" t="e">
        <f>IF(G21&lt;15,0,IF(AND(G21&gt;=500,G21&lt;1000),500,IF(AND(G21&gt;=1000,G21&lt;2000),1000,IF(AND(G21&gt;=2000,G21&lt;5000),2000,IF(AND(G21&gt;=5000,G21&lt;10000),5000,IF(AND(G21&gt;=10000,G21&lt;20000),10000,IF(AND(G21&gt;=20000,G21&lt;=30000),20000,IF(G21&lt;500,AA21))))))))</f>
        <v>#REF!</v>
      </c>
      <c r="F21" s="277" t="e">
        <f>IF(G21&lt;15,0,IF(AND(G21&gt;=500,G21&lt;1000),1000,IF(AND(G21&gt;=1000,G21&lt;2000),2000,IF(AND(G21&gt;=2000,G21&lt;5000),5000,IF(AND(G21&gt;=5000,G21&lt;10000),10000,IF(AND(G21&gt;=10000,G21&lt;20000),20000,IF(AND(G21&gt;=20000,G21&lt;=30000),30000,IF(G21&lt;500,AB21))))))))</f>
        <v>#REF!</v>
      </c>
      <c r="G21" s="278" t="e">
        <f>(#REF!/1.1/1.01+#REF!/1.1)*10^-9</f>
        <v>#REF!</v>
      </c>
      <c r="H21" s="279" t="e">
        <f>IF(OR(E21-G21=0,E21=F21),C21,C21-((C21-D21)/(F21-E21)*(G21-E21)))</f>
        <v>#REF!</v>
      </c>
      <c r="I21" s="280" t="e">
        <f>ROUND(H21,4)</f>
        <v>#REF!</v>
      </c>
      <c r="J21" s="281"/>
      <c r="K21" s="282"/>
      <c r="L21" s="282"/>
      <c r="M21" s="282"/>
      <c r="N21" s="282"/>
      <c r="O21" s="282"/>
      <c r="P21" s="282"/>
      <c r="Q21" s="282"/>
      <c r="R21" s="282"/>
      <c r="S21" s="282"/>
      <c r="T21" s="283" t="e">
        <f>J21&amp;I21&amp;K21&amp;L21&amp;M21&amp;N21&amp;O21&amp;P21&amp;Q21&amp;R21&amp;S21</f>
        <v>#REF!</v>
      </c>
      <c r="AA21" s="191" t="e">
        <f>IF(AND(G21&gt;=15,G21&lt;20),15,IF(AND(G21&gt;=20,G21&lt;50),20,IF(AND(G21&gt;=50,G21&lt;100),50,IF(AND(G21&gt;=100,G21&lt;200),100,IF(AND(G21&gt;=200,G21&lt;500),200)))))</f>
        <v>#REF!</v>
      </c>
      <c r="AB21" s="191" t="e">
        <f>IF(G21=15,15,IF(AND(G21&gt;15,G21&lt;20),20,IF(AND(G21&gt;=20,G21&lt;50),50,IF(AND(G21&gt;=50,G21&lt;100),100,IF(AND(G21&gt;=100,G21&lt;200),200,IF(AND(G21&gt;=200,G21&lt;500),500))))))</f>
        <v>#REF!</v>
      </c>
    </row>
    <row r="22" spans="1:256" s="249" customFormat="1">
      <c r="A22" s="264" t="s">
        <v>3972</v>
      </c>
      <c r="B22" s="274" t="s">
        <v>3973</v>
      </c>
      <c r="C22" s="276" t="e">
        <f>IF(G22&gt;=15,0,IF('B THKP'!$C$154="DD",HLOOKUP(E22,BCDT,2,0),IF('B THKP'!$C$154="CN",HLOOKUP(E22,BCDT,3,0),IF('B THKP'!$C$154="GT",HLOOKUP(E22,BCDT,4,0),IF('B THKP'!$C$154="TL",HLOOKUP(E22,BCDT,5,0),IF('B THKP'!$C$154="HTKT",HLOOKUP(E22,BCDT,6,0)))))))</f>
        <v>#REF!</v>
      </c>
      <c r="D22" s="276" t="e">
        <f>IF(G22&gt;=15,0,IF('B THKP'!$C$154="DD",HLOOKUP(F22,BCDT,2,0),IF('B THKP'!$C$154="CN",HLOOKUP(F22,BCDT,3,0),IF('B THKP'!$C$154="GT",HLOOKUP(F22,BCDT,4,0),IF('B THKP'!$C$154="TL",HLOOKUP(F22,BCDT,5,0),IF('B THKP'!$C$154="HTKT",HLOOKUP(F22,BCDT,6,0)))))))</f>
        <v>#REF!</v>
      </c>
      <c r="E22" s="277" t="e">
        <f>IF(G22&gt;=15,0,IF(G22&lt;=3,3,IF(AND(G22&gt;3,G22&lt;7),3,IF(AND(G22&gt;=7,G22&lt;15),7))))</f>
        <v>#REF!</v>
      </c>
      <c r="F22" s="277" t="e">
        <f>IF(G22&gt;=15,0,IF(G22&lt;=3,3,IF(AND(G22&gt;3,G22&lt;7),7,IF(AND(G22&gt;=7,G22&lt;15),15))))</f>
        <v>#REF!</v>
      </c>
      <c r="G22" s="278" t="e">
        <f>(GTT+'B THKP'!P13*0+TBL)*10^-9</f>
        <v>#REF!</v>
      </c>
      <c r="H22" s="279" t="e">
        <f>IF(OR(E22-G22=0,E22=F22),C22,C22-((C22-D22)/(F22-E22)*(G22-E22)))</f>
        <v>#REF!</v>
      </c>
      <c r="I22" s="280" t="e">
        <f>ROUND(H22,4)</f>
        <v>#REF!</v>
      </c>
      <c r="J22" s="281"/>
      <c r="K22" s="282"/>
      <c r="L22" s="282"/>
      <c r="M22" s="282"/>
      <c r="N22" s="282"/>
      <c r="O22" s="282"/>
      <c r="P22" s="282"/>
      <c r="Q22" s="282"/>
      <c r="R22" s="282"/>
      <c r="S22" s="282"/>
      <c r="T22" s="283"/>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c r="AV22" s="191"/>
      <c r="AW22" s="191"/>
      <c r="AX22" s="191"/>
      <c r="AY22" s="191"/>
      <c r="AZ22" s="191"/>
      <c r="BA22" s="191"/>
      <c r="BB22" s="191"/>
      <c r="BC22" s="191"/>
      <c r="BD22" s="191"/>
      <c r="BE22" s="191"/>
      <c r="BF22" s="191"/>
      <c r="BG22" s="191"/>
      <c r="BH22" s="191"/>
      <c r="BI22" s="191"/>
      <c r="BJ22" s="191"/>
      <c r="BK22" s="191"/>
      <c r="BL22" s="191"/>
      <c r="BM22" s="191"/>
      <c r="BN22" s="191"/>
      <c r="BO22" s="191"/>
      <c r="BP22" s="191"/>
      <c r="BQ22" s="191"/>
      <c r="BR22" s="191"/>
      <c r="BS22" s="191"/>
      <c r="BT22" s="191"/>
      <c r="BU22" s="191"/>
      <c r="BV22" s="191"/>
      <c r="BW22" s="191"/>
      <c r="BX22" s="191"/>
      <c r="BY22" s="191"/>
      <c r="BZ22" s="191"/>
      <c r="CA22" s="191"/>
      <c r="CB22" s="191"/>
      <c r="CC22" s="191"/>
      <c r="CD22" s="191"/>
      <c r="CE22" s="191"/>
      <c r="CF22" s="191"/>
      <c r="CG22" s="191"/>
      <c r="CH22" s="191"/>
      <c r="CI22" s="191"/>
      <c r="CJ22" s="191"/>
      <c r="CK22" s="191"/>
      <c r="CL22" s="191"/>
      <c r="CM22" s="191"/>
      <c r="CN22" s="191"/>
      <c r="CO22" s="191"/>
      <c r="CP22" s="191"/>
      <c r="CQ22" s="191"/>
      <c r="CR22" s="191"/>
      <c r="CS22" s="191"/>
      <c r="CT22" s="191"/>
      <c r="CU22" s="191"/>
      <c r="CV22" s="191"/>
      <c r="CW22" s="191"/>
      <c r="CX22" s="191"/>
      <c r="CY22" s="191"/>
      <c r="CZ22" s="191"/>
      <c r="DA22" s="191"/>
      <c r="DB22" s="191"/>
      <c r="DC22" s="191"/>
      <c r="DD22" s="191"/>
      <c r="DE22" s="191"/>
      <c r="DF22" s="191"/>
      <c r="DG22" s="191"/>
      <c r="DH22" s="191"/>
      <c r="DI22" s="191"/>
      <c r="DJ22" s="191"/>
      <c r="DK22" s="191"/>
      <c r="DL22" s="191"/>
      <c r="DM22" s="191"/>
      <c r="DN22" s="191"/>
      <c r="DO22" s="191"/>
      <c r="DP22" s="191"/>
      <c r="DQ22" s="191"/>
      <c r="DR22" s="191"/>
      <c r="DS22" s="191"/>
      <c r="DT22" s="191"/>
      <c r="DU22" s="191"/>
      <c r="DV22" s="191"/>
      <c r="DW22" s="191"/>
      <c r="DX22" s="191"/>
      <c r="DY22" s="191"/>
      <c r="DZ22" s="191"/>
      <c r="EA22" s="191"/>
      <c r="EB22" s="191"/>
      <c r="EC22" s="191"/>
      <c r="ED22" s="191"/>
      <c r="EE22" s="191"/>
      <c r="EF22" s="191"/>
      <c r="EG22" s="191"/>
      <c r="EH22" s="191"/>
      <c r="EI22" s="191"/>
      <c r="EJ22" s="191"/>
      <c r="EK22" s="191"/>
      <c r="EL22" s="191"/>
      <c r="EM22" s="191"/>
      <c r="EN22" s="191"/>
      <c r="EO22" s="191"/>
      <c r="EP22" s="191"/>
      <c r="EQ22" s="191"/>
      <c r="ER22" s="191"/>
      <c r="ES22" s="191"/>
      <c r="ET22" s="191"/>
      <c r="EU22" s="191"/>
      <c r="EV22" s="191"/>
      <c r="EW22" s="191"/>
      <c r="EX22" s="191"/>
      <c r="EY22" s="191"/>
      <c r="EZ22" s="191"/>
      <c r="FA22" s="191"/>
      <c r="FB22" s="191"/>
      <c r="FC22" s="191"/>
      <c r="FD22" s="191"/>
      <c r="FE22" s="191"/>
      <c r="FF22" s="191"/>
      <c r="FG22" s="191"/>
      <c r="FH22" s="191"/>
      <c r="FI22" s="191"/>
      <c r="FJ22" s="191"/>
      <c r="FK22" s="191"/>
      <c r="FL22" s="191"/>
      <c r="FM22" s="191"/>
      <c r="FN22" s="191"/>
      <c r="FO22" s="191"/>
      <c r="FP22" s="191"/>
      <c r="FQ22" s="191"/>
      <c r="FR22" s="191"/>
      <c r="FS22" s="191"/>
      <c r="FT22" s="191"/>
      <c r="FU22" s="191"/>
      <c r="FV22" s="191"/>
      <c r="FW22" s="191"/>
      <c r="FX22" s="191"/>
      <c r="FY22" s="191"/>
      <c r="FZ22" s="191"/>
      <c r="GA22" s="191"/>
      <c r="GB22" s="191"/>
      <c r="GC22" s="191"/>
      <c r="GD22" s="191"/>
      <c r="GE22" s="191"/>
      <c r="GF22" s="191"/>
      <c r="GG22" s="191"/>
      <c r="GH22" s="191"/>
      <c r="GI22" s="191"/>
      <c r="GJ22" s="191"/>
      <c r="GK22" s="191"/>
      <c r="GL22" s="191"/>
      <c r="GM22" s="191"/>
      <c r="GN22" s="191"/>
      <c r="GO22" s="191"/>
      <c r="GP22" s="191"/>
      <c r="GQ22" s="191"/>
      <c r="GR22" s="191"/>
      <c r="GS22" s="191"/>
      <c r="GT22" s="191"/>
      <c r="GU22" s="191"/>
      <c r="GV22" s="191"/>
      <c r="GW22" s="191"/>
      <c r="GX22" s="191"/>
      <c r="GY22" s="191"/>
      <c r="GZ22" s="191"/>
      <c r="HA22" s="191"/>
      <c r="HB22" s="191"/>
      <c r="HC22" s="191"/>
      <c r="HD22" s="191"/>
      <c r="HE22" s="191"/>
      <c r="HF22" s="191"/>
      <c r="HG22" s="191"/>
      <c r="HH22" s="191"/>
      <c r="HI22" s="191"/>
      <c r="HJ22" s="191"/>
      <c r="HK22" s="191"/>
      <c r="HL22" s="191"/>
      <c r="HM22" s="191"/>
      <c r="HN22" s="191"/>
      <c r="HO22" s="191"/>
      <c r="HP22" s="191"/>
      <c r="HQ22" s="191"/>
      <c r="HR22" s="191"/>
      <c r="HS22" s="191"/>
      <c r="HT22" s="191"/>
      <c r="HU22" s="191"/>
      <c r="HV22" s="191"/>
      <c r="HW22" s="191"/>
      <c r="HX22" s="191"/>
      <c r="HY22" s="191"/>
      <c r="HZ22" s="191"/>
      <c r="IA22" s="191"/>
      <c r="IB22" s="191"/>
      <c r="IC22" s="191"/>
      <c r="ID22" s="191"/>
      <c r="IE22" s="191"/>
      <c r="IF22" s="191"/>
      <c r="IG22" s="191"/>
      <c r="IH22" s="191"/>
      <c r="II22" s="191"/>
      <c r="IJ22" s="191"/>
      <c r="IK22" s="191"/>
      <c r="IL22" s="191"/>
      <c r="IM22" s="191"/>
      <c r="IN22" s="191"/>
      <c r="IO22" s="191"/>
      <c r="IP22" s="191"/>
      <c r="IQ22" s="191"/>
      <c r="IR22" s="191"/>
      <c r="IS22" s="191"/>
      <c r="IT22" s="191"/>
      <c r="IU22" s="191"/>
      <c r="IV22" s="191"/>
    </row>
    <row r="23" spans="1:256" s="249" customFormat="1">
      <c r="A23" s="264" t="s">
        <v>3974</v>
      </c>
      <c r="B23" s="274" t="s">
        <v>3975</v>
      </c>
      <c r="C23" s="260"/>
      <c r="D23" s="260"/>
      <c r="E23" s="261"/>
      <c r="F23" s="262"/>
      <c r="G23" s="260"/>
      <c r="H23" s="263"/>
      <c r="I23" s="264"/>
      <c r="K23" s="250"/>
      <c r="L23" s="250"/>
      <c r="M23" s="250"/>
      <c r="N23" s="250"/>
      <c r="O23" s="250"/>
      <c r="P23" s="250"/>
      <c r="Q23" s="250"/>
      <c r="R23" s="250"/>
      <c r="S23" s="250"/>
    </row>
    <row r="24" spans="1:256" s="249" customFormat="1">
      <c r="A24" s="264" t="s">
        <v>3976</v>
      </c>
      <c r="B24" s="272" t="s">
        <v>3977</v>
      </c>
      <c r="C24" s="260"/>
      <c r="D24" s="260"/>
      <c r="E24" s="261"/>
      <c r="F24" s="262"/>
      <c r="G24" s="260"/>
      <c r="H24" s="263"/>
      <c r="I24" s="264"/>
      <c r="K24" s="250"/>
      <c r="L24" s="250"/>
      <c r="M24" s="250"/>
      <c r="N24" s="250"/>
      <c r="O24" s="250"/>
      <c r="P24" s="250"/>
      <c r="Q24" s="250"/>
      <c r="R24" s="250"/>
      <c r="S24" s="250"/>
      <c r="AF24" s="249" t="s">
        <v>237</v>
      </c>
      <c r="AG24" s="249" t="s">
        <v>237</v>
      </c>
      <c r="AH24" s="249" t="s">
        <v>252</v>
      </c>
      <c r="AI24" s="249" t="s">
        <v>252</v>
      </c>
      <c r="AJ24" s="249" t="s">
        <v>252</v>
      </c>
      <c r="AK24" s="249" t="s">
        <v>252</v>
      </c>
      <c r="AL24" s="249" t="s">
        <v>254</v>
      </c>
      <c r="AM24" s="249" t="s">
        <v>254</v>
      </c>
      <c r="AN24" s="249" t="s">
        <v>254</v>
      </c>
      <c r="AO24" s="249" t="s">
        <v>254</v>
      </c>
      <c r="AP24" s="249" t="s">
        <v>256</v>
      </c>
      <c r="AQ24" s="249" t="s">
        <v>256</v>
      </c>
      <c r="AR24" s="249" t="s">
        <v>256</v>
      </c>
      <c r="AS24" s="249" t="s">
        <v>256</v>
      </c>
    </row>
    <row r="25" spans="1:256">
      <c r="A25" s="264" t="s">
        <v>3978</v>
      </c>
      <c r="B25" s="272" t="s">
        <v>3979</v>
      </c>
      <c r="C25" s="284" t="e">
        <f>IF('B THKP'!$C$154="DD",IF(AND('B THKP'!$C$155=5,'B THKP'!$C$156=3),HLOOKUP(E25,TKDD,2,0),IF(AND('B THKP'!$C$155=5,'B THKP'!$C$156=2),HLOOKUP(E25,TKDD,3,0),IF(AND('B THKP'!$C$155=1,'B THKP'!$C$156=3),HLOOKUP(E25,TKDD,4,0),IF(AND('B THKP'!$C$155=1,'B THKP'!$C$156=2),HLOOKUP(E25,TKDD,5,0),IF(AND('B THKP'!$C$155=2,'B THKP'!$C$156=3),HLOOKUP(E25,TKDD,6,0),IF(AND('B THKP'!$C$155=2,'B THKP'!$C$156=2),HLOOKUP(E25,TKDD,7,0),AF25)))))))</f>
        <v>#REF!</v>
      </c>
      <c r="D25" s="276" t="e">
        <f>IF('B THKP'!$C$154="DD",IF(AND('B THKP'!$C$155=5,'B THKP'!$C$156=3),HLOOKUP(F25,TKDD,2,0),IF(AND('B THKP'!$C$155=5,'B THKP'!$C$156=2),HLOOKUP(F25,TKDD,3,0),IF(AND('B THKP'!$C$155=1,'B THKP'!$C$156=3),HLOOKUP(F25,TKDD,4,0),IF(AND('B THKP'!$C$155=1,'B THKP'!$C$156=2),HLOOKUP(F25,TKDD,5,0),IF(AND('B THKP'!$C$155=2,'B THKP'!$C$156=3),HLOOKUP(F25,TKDD,6,0),IF(AND('B THKP'!$C$155=2,'B THKP'!$C$156=2),HLOOKUP(F25,TKDD,7,0),AG25)))))))</f>
        <v>#REF!</v>
      </c>
      <c r="E25" s="277" t="e">
        <f>IF(AND(G25&gt;=100,G25&lt;200),100,IF(AND(G25&gt;=200,G25&lt;500),200,IF(AND(G25&gt;=500,G25&lt;1000),500,IF(AND(G25&gt;=1000,G25&lt;2000),1000,IF(AND(G25&gt;=2000,G25&lt;5000),2000,IF(AND(G25&gt;=5000,G25&lt;10000),5000,IF(G25&gt;=8000,8000,IF(G25&lt;100,AA25))))))))</f>
        <v>#REF!</v>
      </c>
      <c r="F25" s="277" t="e">
        <f>IF(AND(G25&gt;=100,G25&lt;200),200,IF(AND(G25&gt;=200,G25&lt;500),500,IF(AND(G25&gt;=500,G25&lt;1000),1000,IF(AND(G25&gt;=1000,G25&lt;2000),2000,IF(AND(G25&gt;=2000,G25&lt;5000),5000,IF(AND(G25&gt;=5000,G25&lt;8000),8000,IF(G25&gt;=8000,8000,IF(G25&lt;100,AB25))))))))</f>
        <v>#REF!</v>
      </c>
      <c r="G25" s="278" t="e">
        <f>(GTT+'B THKP'!P13*0)*10^-9</f>
        <v>#REF!</v>
      </c>
      <c r="H25" s="279" t="e">
        <f>IF(OR(E25-G25=0,E25=F25),C25,C25-((C25-D25)/(F25-E25)*(G25-E25)))</f>
        <v>#REF!</v>
      </c>
      <c r="I25" s="280" t="e">
        <f>ROUND(H25,4)</f>
        <v>#REF!</v>
      </c>
      <c r="J25" s="280"/>
      <c r="K25" s="282"/>
      <c r="L25" s="282"/>
      <c r="M25" s="282"/>
      <c r="N25" s="282"/>
      <c r="O25" s="282"/>
      <c r="P25" s="282"/>
      <c r="Q25" s="282"/>
      <c r="R25" s="282"/>
      <c r="S25" s="282"/>
      <c r="T25" s="283"/>
      <c r="AA25" s="191" t="e">
        <f>IF(AND(G25&gt;7,G25&lt;10),7,IF(AND(G25&gt;=10,G25&lt;20),10,IF(AND(G25&gt;=20,G25&lt;50),20,IF(AND(G25&gt;=50,G25&lt;100),50,IF(AND(G25&gt;=0,G25&lt;=7),7,)))))</f>
        <v>#REF!</v>
      </c>
      <c r="AB25" s="191" t="e">
        <f>IF(AND(G25&gt;7,G25&lt;10),10,IF(AND(G25&gt;=10,G25&lt;20),20,IF(AND(G25&gt;=20,G25&lt;50),50,IF(AND(G25&gt;=50,G25&lt;100),100,IF(AND(G25&gt;=0,G25&lt;=7),7)))))</f>
        <v>#REF!</v>
      </c>
      <c r="AF25" s="285" t="e">
        <f>IF('B THKP'!$C$154="DD",IF(AND('B THKP'!$C$155=3,'B THKP'!$C$156=3),HLOOKUP(E25,TKDD,8,0),IF(AND('B THKP'!$C$155=3,'B THKP'!$C$156=2),HLOOKUP(E25,TKDD,9,0),IF(AND('B THKP'!$C$155=4,'B THKP'!$C$156=3),HLOOKUP(E25,TKDD,10,0),IF(AND('B THKP'!$C$155=4,'B THKP'!$C$156=2),HLOOKUP(E25,TKDD,11,0))))),AH25)</f>
        <v>#REF!</v>
      </c>
      <c r="AG25" s="285" t="e">
        <f>IF('B THKP'!$C$154="DD",IF(AND('B THKP'!$C$155=3,'B THKP'!$C$156=3),HLOOKUP(F25,TKDD,8,0),IF(AND('B THKP'!$C$155=3,'B THKP'!$C$156=2),HLOOKUP(F25,TKDD,9,0),IF(AND('B THKP'!$C$155=4,'B THKP'!$C$156=3),HLOOKUP(F25,TKDD,10,0),IF(AND('B THKP'!$C$155=4,'B THKP'!$C$156=2),HLOOKUP(F25,TKDD,11,0))))),AI25)</f>
        <v>#REF!</v>
      </c>
      <c r="AH25" s="191" t="str">
        <f>IF('B THKP'!$C$154="CN",IF(AND('B THKP'!$C$155=5,'B THKP'!$C$156=3),HLOOKUP(E25,TKCN,2,0),IF(AND('B THKP'!$C$155=5,'B THKP'!$C$156=2),HLOOKUP(E25,TKCN,3,0),IF(AND('B THKP'!$C$155=1,'B THKP'!$C$156=3),HLOOKUP(E25,TKCN,4,0),IF(AND('B THKP'!$C$155=1,'B THKP'!$C$156=2),HLOOKUP(E25,TKCN,5,0),IF(AND('B THKP'!$C$155=2,'B THKP'!$C$156=3),HLOOKUP(E25,TKCN,6,0),IF(AND('B THKP'!$C$155=2,'B THKP'!$C$156=2),HLOOKUP(E25,TKCN,7,0))))))),AJ25)</f>
        <v>BAÏN NHAÄP KHOÂNG ÑUÙNG</v>
      </c>
      <c r="AI25" s="191" t="str">
        <f>IF('B THKP'!$C$154="CN",IF(AND('B THKP'!$C$155=5,'B THKP'!$C$156=3),HLOOKUP(F25,TKCN,2,0),IF(AND('B THKP'!$C$155=5,'B THKP'!$C$156=2),HLOOKUP(F25,TKCN,3,0),IF(AND('B THKP'!$C$155=1,'B THKP'!$C$156=3),HLOOKUP(F25,TKCN,4,0),IF(AND('B THKP'!$C$155=1,'B THKP'!$C$156=2),HLOOKUP(F25,TKCN,5,0),IF(AND('B THKP'!$C$155=2,'B THKP'!$C$156=3),HLOOKUP(F25,TKCN,6,0),IF(AND('B THKP'!$C$155=2,'B THKP'!$C$156=2),HLOOKUP(F25,TKCN,7,0))))))),AK25)</f>
        <v>BAÏN NHAÄP KHOÂNG ÑUÙNG</v>
      </c>
      <c r="AJ25" s="285" t="str">
        <f>IF('B THKP'!$C$154="CN",IF(AND('B THKP'!$C$155=3,'B THKP'!$C$156=3),HLOOKUP(E25,TKCN,8,0),IF(AND('B THKP'!$C$155=3,'B THKP'!$C$156=2),HLOOKUP(E25,TKCN,9,0),IF(AND('B THKP'!$C$155=4,'B THKP'!$C$156=3),HLOOKUP(E25,TKCN,10,0),IF(AND('B THKP'!$C$155=4,'B THKP'!$C$156=2),HLOOKUP(E25,TKCN,11,0))))),AL25)</f>
        <v>BAÏN NHAÄP KHOÂNG ÑUÙNG</v>
      </c>
      <c r="AK25" s="285" t="str">
        <f>IF('B THKP'!$C$154="CN",IF(AND('B THKP'!$C$155=3,'B THKP'!$C$156=3),HLOOKUP(F25,TKCN,8,0),IF(AND('B THKP'!$C$155=3,'B THKP'!$C$156=2),HLOOKUP(F25,TKCN,9,0),IF(AND('B THKP'!$C$155=4,'B THKP'!$C$156=3),HLOOKUP(F25,TKCN,10,0),IF(AND('B THKP'!$C$155=4,'B THKP'!$C$156=2),HLOOKUP(F25,TKCN,11,0))))),AM25)</f>
        <v>BAÏN NHAÄP KHOÂNG ÑUÙNG</v>
      </c>
      <c r="AL25" s="191" t="str">
        <f>IF('B THKP'!$C$154="GT",IF(AND('B THKP'!$C$155=5,'B THKP'!$C$156=3),HLOOKUP(E25,TKGT,2,0),IF(AND('B THKP'!$C$155=5,'B THKP'!$C$156=2),HLOOKUP(E25,TKGT,3,0),IF(AND('B THKP'!$C$155=1,'B THKP'!$C$156=3),HLOOKUP(E25,TKGT,4,0),IF(AND('B THKP'!$C$155=1,'B THKP'!$C$156=2),HLOOKUP(E25,TKGT,5,0),IF(AND('B THKP'!$C$155=2,'B THKP'!$C$156=3),HLOOKUP(E25,TKGT,6,0),IF(AND('B THKP'!$C$155=2,'B THKP'!$C$156=2),HLOOKUP(E25,TKGT,7,0))))))),AN25)</f>
        <v>BAÏN NHAÄP KHOÂNG ÑUÙNG</v>
      </c>
      <c r="AM25" s="191" t="str">
        <f>IF('B THKP'!$C$154="GT",IF(AND('B THKP'!$C$155=5,'B THKP'!$C$156=3),HLOOKUP(F25,TKGT,2,0),IF(AND('B THKP'!$C$155=5,'B THKP'!$C$156=2),HLOOKUP(F25,TKGT,3,0),IF(AND('B THKP'!$C$155=1,'B THKP'!$C$156=3),HLOOKUP(F25,TKGT,4,0),IF(AND('B THKP'!$C$155=1,'B THKP'!$C$156=2),HLOOKUP(F25,TKGT,5,0),IF(AND('B THKP'!$C$155=2,'B THKP'!$C$156=3),HLOOKUP(F25,TKGT,6,0),IF(AND('B THKP'!$C$155=2,'B THKP'!$C$156=2),HLOOKUP(F25,TKGT,7,0))))))),AO25)</f>
        <v>BAÏN NHAÄP KHOÂNG ÑUÙNG</v>
      </c>
      <c r="AN25" s="285" t="str">
        <f>IF('B THKP'!$C$154="GT",IF(AND('B THKP'!$C$155=3,'B THKP'!$C$156=3),HLOOKUP(E25,TKGT,8,0),IF(AND('B THKP'!$C$155=3,'B THKP'!$C$156=2),HLOOKUP(E25,TKGT,9,0),IF(AND('B THKP'!$C$155=4,'B THKP'!$C$156=3),HLOOKUP(E25,TKGT,10,0),IF(AND('B THKP'!$C$155=4,'B THKP'!$C$156=2),HLOOKUP(E25,TKGT,11,0))))),AP25)</f>
        <v>BAÏN NHAÄP KHOÂNG ÑUÙNG</v>
      </c>
      <c r="AO25" s="285" t="str">
        <f>IF('B THKP'!$C$154="GT",IF(AND('B THKP'!$C$155=3,'B THKP'!$C$156=3),HLOOKUP(F25,TKGT,8,0),IF(AND('B THKP'!$C$155=3,'B THKP'!$C$156=2),HLOOKUP(F25,TKGT,9,0),IF(AND('B THKP'!$C$155=4,'B THKP'!$C$156=3),HLOOKUP(F25,TKGT,10,0),IF(AND('B THKP'!$C$155=4,'B THKP'!$C$156=2),HLOOKUP(F25,TKGT,11,0))))),AQ25)</f>
        <v>BAÏN NHAÄP KHOÂNG ÑUÙNG</v>
      </c>
      <c r="AP25" s="191" t="str">
        <f>IF('B THKP'!$C$154="TL",IF(AND('B THKP'!$C$155=5,'B THKP'!$C$156=3),HLOOKUP(E25,TKTL,2,0),IF(AND('B THKP'!$C$155=5,'B THKP'!$C$156=2),HLOOKUP(E25,TKTL,3,0),IF(AND('B THKP'!$C$155=1,'B THKP'!$C$156=3),HLOOKUP(E25,TKTL,4,0),IF(AND('B THKP'!$C$155=1,'B THKP'!$C$156=2),HLOOKUP(E25,TKTL,5,0),IF(AND('B THKP'!$C$155=2,'B THKP'!$C$156=3),HLOOKUP(E25,TKTL,6,0),IF(AND('B THKP'!$C$155=2,'B THKP'!$C$156=2),HLOOKUP(E25,TKTL,7,0))))))),AR25)</f>
        <v>BAÏN NHAÄP KHOÂNG ÑUÙNG</v>
      </c>
      <c r="AQ25" s="191" t="str">
        <f>IF('B THKP'!$C$154="TL",IF(AND('B THKP'!$C$155=5,'B THKP'!$C$156=3),HLOOKUP(F25,TKTL,2,0),IF(AND('B THKP'!$C$155=5,'B THKP'!$C$156=2),HLOOKUP(F25,TKTL,3,0),IF(AND('B THKP'!$C$155=1,'B THKP'!$C$156=3),HLOOKUP(F25,TKTL,4,0),IF(AND('B THKP'!$C$155=1,'B THKP'!$C$156=2),HLOOKUP(F25,TKTL,5,0),IF(AND('B THKP'!$C$155=2,'B THKP'!$C$156=3),HLOOKUP(F25,TKTL,6,0),IF(AND('B THKP'!$C$155=2,'B THKP'!$C$156=2),HLOOKUP(F25,TKTL,7,0))))))),AS25)</f>
        <v>BAÏN NHAÄP KHOÂNG ÑUÙNG</v>
      </c>
      <c r="AR25" s="285" t="str">
        <f>IF('B THKP'!$C$154="TL",IF(AND('B THKP'!$C$155=3,'B THKP'!$C$156=3),HLOOKUP(E25,TKTL,8,0),IF(AND('B THKP'!$C$155=3,'B THKP'!$C$156=2),HLOOKUP(E25,TKTL,9,0),IF(AND('B THKP'!$C$155=4,'B THKP'!$C$156=3),HLOOKUP(E25,TKTL,10,0),IF(AND('B THKP'!$C$155=4,'B THKP'!$C$156=2),HLOOKUP(E25,TKTL,11,0))))),AT25)</f>
        <v>BAÏN NHAÄP KHOÂNG ÑUÙNG</v>
      </c>
      <c r="AS25" s="285" t="str">
        <f>IF('B THKP'!$C$154="TL",IF(AND('B THKP'!$C$155=3,'B THKP'!$C$156=3),HLOOKUP(F25,TKTL,8,0),IF(AND('B THKP'!$C$155=3,'B THKP'!$C$156=2),HLOOKUP(F25,TKTL,9,0),IF(AND('B THKP'!$C$155=4,'B THKP'!$C$156=3),HLOOKUP(F25,TKTL,10,0),IF(AND('B THKP'!$C$155=4,'B THKP'!$C$156=2),HLOOKUP(F25,TKTL,11,0))))),AU25)</f>
        <v>BAÏN NHAÄP KHOÂNG ÑUÙNG</v>
      </c>
      <c r="AT25" s="191" t="str">
        <f>IF('B THKP'!$C$154="HTKT",IF(AND('B THKP'!$C$155=5,'B THKP'!$C$156=3),HLOOKUP(E25,TKHTKT,2,0),IF(AND('B THKP'!$C$155=5,'B THKP'!$C$156=2),HLOOKUP(E25,TKHTKT,3,0),IF(AND('B THKP'!$C$155=1,'B THKP'!$C$156=3),HLOOKUP(E25,TKHTKT,4,0),IF(AND('B THKP'!$C$155=1,'B THKP'!$C$156=2),HLOOKUP(E25,TKHTKT,5,0),IF(AND('B THKP'!$C$155=2,'B THKP'!$C$156=3),HLOOKUP(E25,TKHTKT,6,0),IF(AND('B THKP'!$C$155=2,'B THKP'!$C$156=2),HLOOKUP(E25,TKHTKT,7,0))))))),AV25)</f>
        <v>BAÏN NHAÄP KHOÂNG ÑUÙNG</v>
      </c>
      <c r="AU25" s="191" t="str">
        <f>IF('B THKP'!$C$154="HTKT",IF(AND('B THKP'!$C$155=5,'B THKP'!$C$156=3),HLOOKUP(F25,TKHTKT,2,0),IF(AND('B THKP'!$C$155=5,'B THKP'!$C$156=2),HLOOKUP(F25,TKHTKT,3,0),IF(AND('B THKP'!$C$155=1,'B THKP'!$C$156=3),HLOOKUP(F25,TKHTKT,4,0),IF(AND('B THKP'!$C$155=1,'B THKP'!$C$156=2),HLOOKUP(F25,TKHTKT,5,0),IF(AND('B THKP'!$C$155=2,'B THKP'!$C$156=3),HLOOKUP(F25,TKHTKT,6,0),IF(AND('B THKP'!$C$155=2,'B THKP'!$C$156=2),HLOOKUP(F25,TKHTKT,7,0))))))),AW25)</f>
        <v>BAÏN NHAÄP KHOÂNG ÑUÙNG</v>
      </c>
      <c r="AV25" s="285" t="str">
        <f>IF('B THKP'!$C$154="HTKT",IF(AND('B THKP'!$C$155=3,'B THKP'!$C$156=3),HLOOKUP(E25,TKHTKT,8,0),IF(AND('B THKP'!$C$155=3,'B THKP'!$C$156=2),HLOOKUP(E25,TKHTKT,9,0),IF(AND('B THKP'!$C$155=4,'B THKP'!$C$156=3),HLOOKUP(E25,TKHTKT,10,0),IF(AND('B THKP'!$C$155=4,'B THKP'!$C$156=2),HLOOKUP(E25,TKHTKT,11,0))))),AX25)</f>
        <v>BAÏN NHAÄP KHOÂNG ÑUÙNG</v>
      </c>
      <c r="AW25" s="285" t="str">
        <f>IF('B THKP'!$C$154="HTKT",IF(AND('B THKP'!$C$155=3,'B THKP'!$C$156=3),HLOOKUP(F25,TKHTKT,8,0),IF(AND('B THKP'!$C$155=3,'B THKP'!$C$156=2),HLOOKUP(F25,TKHTKT,9,0),IF(AND('B THKP'!$C$155=4,'B THKP'!$C$156=3),HLOOKUP(F25,TKHTKT,10,0),IF(AND('B THKP'!$C$155=4,'B THKP'!$C$156=2),HLOOKUP(F25,TKHTKT,11,0))))),AY25)</f>
        <v>BAÏN NHAÄP KHOÂNG ÑUÙNG</v>
      </c>
      <c r="AX25" s="191" t="s">
        <v>3980</v>
      </c>
      <c r="AY25" s="191" t="s">
        <v>3980</v>
      </c>
    </row>
    <row r="26" spans="1:256" s="295" customFormat="1">
      <c r="A26" s="286" t="s">
        <v>3978</v>
      </c>
      <c r="B26" s="287" t="s">
        <v>3981</v>
      </c>
      <c r="C26" s="288">
        <f>DL!I30</f>
        <v>2.54</v>
      </c>
      <c r="D26" s="288">
        <f>DL!J30</f>
        <v>2.34</v>
      </c>
      <c r="E26" s="289" t="e">
        <f>IF(AND(G26&gt;=100,G26&lt;200),100,IF(AND(G26&gt;=200,G26&lt;500),200,IF(AND(G26&gt;=500,G26&lt;1000),500,IF(AND(G26&gt;=1000,G26&lt;2000),1000,IF(AND(G26&gt;=2000,G26&lt;5000),2000,IF(AND(G26&gt;=5000,G26&lt;10000),5000,IF(G26&gt;=8000,8000,IF(G26&lt;100,AA26))))))))</f>
        <v>#REF!</v>
      </c>
      <c r="F26" s="289" t="e">
        <f>IF(AND(G26&gt;=100,G26&lt;200),200,IF(AND(G26&gt;=200,G26&lt;500),500,IF(AND(G26&gt;=500,G26&lt;1000),1000,IF(AND(G26&gt;=1000,G26&lt;2000),2000,IF(AND(G26&gt;=2000,G26&lt;5000),5000,IF(AND(G26&gt;=5000,G26&lt;8000),8000,IF(G26&gt;=8000,8000,IF(G26&lt;100,AB26))))))))</f>
        <v>#REF!</v>
      </c>
      <c r="G26" s="290" t="e">
        <f>(TGTHMUC!#REF!/1.1)*10^-9</f>
        <v>#REF!</v>
      </c>
      <c r="H26" s="291" t="e">
        <f>IF(OR(E26-G26=0,E26=F26),C26,C26-((C26-D26)/(F26-E26)*(G26-E26)))</f>
        <v>#REF!</v>
      </c>
      <c r="I26" s="292" t="e">
        <f>ROUND(H26,4)</f>
        <v>#REF!</v>
      </c>
      <c r="J26" s="292"/>
      <c r="K26" s="293"/>
      <c r="L26" s="293"/>
      <c r="M26" s="293"/>
      <c r="N26" s="293"/>
      <c r="O26" s="293"/>
      <c r="P26" s="293"/>
      <c r="Q26" s="293"/>
      <c r="R26" s="293"/>
      <c r="S26" s="293"/>
      <c r="T26" s="294"/>
      <c r="AA26" s="295" t="e">
        <f>IF(AND(G26&gt;7,G26&lt;10),7,IF(AND(G26&gt;=10,G26&lt;20),10,IF(AND(G26&gt;=20,G26&lt;50),20,IF(AND(G26&gt;=50,G26&lt;100),50,IF(AND(G26&gt;=0,G26&lt;=7),7,)))))</f>
        <v>#REF!</v>
      </c>
      <c r="AB26" s="295" t="e">
        <f>IF(AND(G26&gt;7,G26&lt;10),10,IF(AND(G26&gt;=10,G26&lt;20),20,IF(AND(G26&gt;=20,G26&lt;50),50,IF(AND(G26&gt;=50,G26&lt;100),100,IF(AND(G26&gt;=0,G26&lt;=7),7)))))</f>
        <v>#REF!</v>
      </c>
      <c r="AF26" s="295" t="e">
        <f>IF('B THKP'!$C$154="DD",IF(AND('B THKP'!$C$155=3,'B THKP'!$C$156=3),HLOOKUP(E26,TKDD,8,0),IF(AND('B THKP'!$C$155=3,'B THKP'!$C$156=2),HLOOKUP(E26,TKDD,9,0),IF(AND('B THKP'!$C$155=4,'B THKP'!$C$156=3),HLOOKUP(E26,TKDD,10,0),IF(AND('B THKP'!$C$155=4,'B THKP'!$C$156=2),HLOOKUP(E26,TKDD,11,0))))),AH26)</f>
        <v>#REF!</v>
      </c>
      <c r="AG26" s="295" t="e">
        <f>IF('B THKP'!$C$154="DD",IF(AND('B THKP'!$C$155=3,'B THKP'!$C$156=3),HLOOKUP(F26,TKDD,8,0),IF(AND('B THKP'!$C$155=3,'B THKP'!$C$156=2),HLOOKUP(F26,TKDD,9,0),IF(AND('B THKP'!$C$155=4,'B THKP'!$C$156=3),HLOOKUP(F26,TKDD,10,0),IF(AND('B THKP'!$C$155=4,'B THKP'!$C$156=2),HLOOKUP(F26,TKDD,11,0))))),AI26)</f>
        <v>#REF!</v>
      </c>
      <c r="AH26" s="295" t="str">
        <f>IF('B THKP'!$C$154="CN",IF(AND('B THKP'!$C$155=5,'B THKP'!$C$156=3),HLOOKUP(E26,TKCN,2,0),IF(AND('B THKP'!$C$155=5,'B THKP'!$C$156=2),HLOOKUP(E26,TKCN,3,0),IF(AND('B THKP'!$C$155=1,'B THKP'!$C$156=3),HLOOKUP(E26,TKCN,4,0),IF(AND('B THKP'!$C$155=1,'B THKP'!$C$156=2),HLOOKUP(E26,TKCN,5,0),IF(AND('B THKP'!$C$155=2,'B THKP'!$C$156=3),HLOOKUP(E26,TKCN,6,0),IF(AND('B THKP'!$C$155=2,'B THKP'!$C$156=2),HLOOKUP(E26,TKCN,7,0))))))),AJ26)</f>
        <v>BAÏN NHAÄP KHOÂNG ÑUÙNG</v>
      </c>
      <c r="AI26" s="295" t="str">
        <f>IF('B THKP'!$C$154="CN",IF(AND('B THKP'!$C$155=5,'B THKP'!$C$156=3),HLOOKUP(F26,TKCN,2,0),IF(AND('B THKP'!$C$155=5,'B THKP'!$C$156=2),HLOOKUP(F26,TKCN,3,0),IF(AND('B THKP'!$C$155=1,'B THKP'!$C$156=3),HLOOKUP(F26,TKCN,4,0),IF(AND('B THKP'!$C$155=1,'B THKP'!$C$156=2),HLOOKUP(F26,TKCN,5,0),IF(AND('B THKP'!$C$155=2,'B THKP'!$C$156=3),HLOOKUP(F26,TKCN,6,0),IF(AND('B THKP'!$C$155=2,'B THKP'!$C$156=2),HLOOKUP(F26,TKCN,7,0))))))),AK26)</f>
        <v>BAÏN NHAÄP KHOÂNG ÑUÙNG</v>
      </c>
      <c r="AJ26" s="295" t="str">
        <f>IF('B THKP'!$C$154="CN",IF(AND('B THKP'!$C$155=3,'B THKP'!$C$156=3),HLOOKUP(E26,TKCN,8,0),IF(AND('B THKP'!$C$155=3,'B THKP'!$C$156=2),HLOOKUP(E26,TKCN,9,0),IF(AND('B THKP'!$C$155=4,'B THKP'!$C$156=3),HLOOKUP(E26,TKCN,10,0),IF(AND('B THKP'!$C$155=4,'B THKP'!$C$156=2),HLOOKUP(E26,TKCN,11,0))))),AL26)</f>
        <v>BAÏN NHAÄP KHOÂNG ÑUÙNG</v>
      </c>
      <c r="AK26" s="295" t="str">
        <f>IF('B THKP'!$C$154="CN",IF(AND('B THKP'!$C$155=3,'B THKP'!$C$156=3),HLOOKUP(F26,TKCN,8,0),IF(AND('B THKP'!$C$155=3,'B THKP'!$C$156=2),HLOOKUP(F26,TKCN,9,0),IF(AND('B THKP'!$C$155=4,'B THKP'!$C$156=3),HLOOKUP(F26,TKCN,10,0),IF(AND('B THKP'!$C$155=4,'B THKP'!$C$156=2),HLOOKUP(F26,TKCN,11,0))))),AM26)</f>
        <v>BAÏN NHAÄP KHOÂNG ÑUÙNG</v>
      </c>
      <c r="AL26" s="295" t="str">
        <f>IF('B THKP'!$C$154="GT",IF(AND('B THKP'!$C$155=5,'B THKP'!$C$156=3),HLOOKUP(E26,TKGT,2,0),IF(AND('B THKP'!$C$155=5,'B THKP'!$C$156=2),HLOOKUP(E26,TKGT,3,0),IF(AND('B THKP'!$C$155=1,'B THKP'!$C$156=3),HLOOKUP(E26,TKGT,4,0),IF(AND('B THKP'!$C$155=1,'B THKP'!$C$156=2),HLOOKUP(E26,TKGT,5,0),IF(AND('B THKP'!$C$155=2,'B THKP'!$C$156=3),HLOOKUP(E26,TKGT,6,0),IF(AND('B THKP'!$C$155=2,'B THKP'!$C$156=2),HLOOKUP(E26,TKGT,7,0))))))),AN26)</f>
        <v>BAÏN NHAÄP KHOÂNG ÑUÙNG</v>
      </c>
      <c r="AM26" s="295" t="str">
        <f>IF('B THKP'!$C$154="GT",IF(AND('B THKP'!$C$155=5,'B THKP'!$C$156=3),HLOOKUP(F26,TKGT,2,0),IF(AND('B THKP'!$C$155=5,'B THKP'!$C$156=2),HLOOKUP(F26,TKGT,3,0),IF(AND('B THKP'!$C$155=1,'B THKP'!$C$156=3),HLOOKUP(F26,TKGT,4,0),IF(AND('B THKP'!$C$155=1,'B THKP'!$C$156=2),HLOOKUP(F26,TKGT,5,0),IF(AND('B THKP'!$C$155=2,'B THKP'!$C$156=3),HLOOKUP(F26,TKGT,6,0),IF(AND('B THKP'!$C$155=2,'B THKP'!$C$156=2),HLOOKUP(F26,TKGT,7,0))))))),AO26)</f>
        <v>BAÏN NHAÄP KHOÂNG ÑUÙNG</v>
      </c>
      <c r="AN26" s="295" t="str">
        <f>IF('B THKP'!$C$154="GT",IF(AND('B THKP'!$C$155=3,'B THKP'!$C$156=3),HLOOKUP(E26,TKGT,8,0),IF(AND('B THKP'!$C$155=3,'B THKP'!$C$156=2),HLOOKUP(E26,TKGT,9,0),IF(AND('B THKP'!$C$155=4,'B THKP'!$C$156=3),HLOOKUP(E26,TKGT,10,0),IF(AND('B THKP'!$C$155=4,'B THKP'!$C$156=2),HLOOKUP(E26,TKGT,11,0))))),AP26)</f>
        <v>BAÏN NHAÄP KHOÂNG ÑUÙNG</v>
      </c>
      <c r="AO26" s="295" t="str">
        <f>IF('B THKP'!$C$154="GT",IF(AND('B THKP'!$C$155=3,'B THKP'!$C$156=3),HLOOKUP(F26,TKGT,8,0),IF(AND('B THKP'!$C$155=3,'B THKP'!$C$156=2),HLOOKUP(F26,TKGT,9,0),IF(AND('B THKP'!$C$155=4,'B THKP'!$C$156=3),HLOOKUP(F26,TKGT,10,0),IF(AND('B THKP'!$C$155=4,'B THKP'!$C$156=2),HLOOKUP(F26,TKGT,11,0))))),AQ26)</f>
        <v>BAÏN NHAÄP KHOÂNG ÑUÙNG</v>
      </c>
      <c r="AP26" s="295" t="str">
        <f>IF('B THKP'!$C$154="TL",IF(AND('B THKP'!$C$155=5,'B THKP'!$C$156=3),HLOOKUP(E26,TKTL,2,0),IF(AND('B THKP'!$C$155=5,'B THKP'!$C$156=2),HLOOKUP(E26,TKTL,3,0),IF(AND('B THKP'!$C$155=1,'B THKP'!$C$156=3),HLOOKUP(E26,TKTL,4,0),IF(AND('B THKP'!$C$155=1,'B THKP'!$C$156=2),HLOOKUP(E26,TKTL,5,0),IF(AND('B THKP'!$C$155=2,'B THKP'!$C$156=3),HLOOKUP(E26,TKTL,6,0),IF(AND('B THKP'!$C$155=2,'B THKP'!$C$156=2),HLOOKUP(E26,TKTL,7,0))))))),AR26)</f>
        <v>BAÏN NHAÄP KHOÂNG ÑUÙNG</v>
      </c>
      <c r="AQ26" s="295" t="str">
        <f>IF('B THKP'!$C$154="TL",IF(AND('B THKP'!$C$155=5,'B THKP'!$C$156=3),HLOOKUP(F26,TKTL,2,0),IF(AND('B THKP'!$C$155=5,'B THKP'!$C$156=2),HLOOKUP(F26,TKTL,3,0),IF(AND('B THKP'!$C$155=1,'B THKP'!$C$156=3),HLOOKUP(F26,TKTL,4,0),IF(AND('B THKP'!$C$155=1,'B THKP'!$C$156=2),HLOOKUP(F26,TKTL,5,0),IF(AND('B THKP'!$C$155=2,'B THKP'!$C$156=3),HLOOKUP(F26,TKTL,6,0),IF(AND('B THKP'!$C$155=2,'B THKP'!$C$156=2),HLOOKUP(F26,TKTL,7,0))))))),AS26)</f>
        <v>BAÏN NHAÄP KHOÂNG ÑUÙNG</v>
      </c>
      <c r="AR26" s="295" t="str">
        <f>IF('B THKP'!$C$154="TL",IF(AND('B THKP'!$C$155=3,'B THKP'!$C$156=3),HLOOKUP(E26,TKTL,8,0),IF(AND('B THKP'!$C$155=3,'B THKP'!$C$156=2),HLOOKUP(E26,TKTL,9,0),IF(AND('B THKP'!$C$155=4,'B THKP'!$C$156=3),HLOOKUP(E26,TKTL,10,0),IF(AND('B THKP'!$C$155=4,'B THKP'!$C$156=2),HLOOKUP(E26,TKTL,11,0))))),AT26)</f>
        <v>BAÏN NHAÄP KHOÂNG ÑUÙNG</v>
      </c>
      <c r="AS26" s="295" t="str">
        <f>IF('B THKP'!$C$154="TL",IF(AND('B THKP'!$C$155=3,'B THKP'!$C$156=3),HLOOKUP(F26,TKTL,8,0),IF(AND('B THKP'!$C$155=3,'B THKP'!$C$156=2),HLOOKUP(F26,TKTL,9,0),IF(AND('B THKP'!$C$155=4,'B THKP'!$C$156=3),HLOOKUP(F26,TKTL,10,0),IF(AND('B THKP'!$C$155=4,'B THKP'!$C$156=2),HLOOKUP(F26,TKTL,11,0))))),AU26)</f>
        <v>BAÏN NHAÄP KHOÂNG ÑUÙNG</v>
      </c>
      <c r="AT26" s="295" t="str">
        <f>IF('B THKP'!$C$154="HTKT",IF(AND('B THKP'!$C$155=5,'B THKP'!$C$156=3),HLOOKUP(E26,TKHTKT,2,0),IF(AND('B THKP'!$C$155=5,'B THKP'!$C$156=2),HLOOKUP(E26,TKHTKT,3,0),IF(AND('B THKP'!$C$155=1,'B THKP'!$C$156=3),HLOOKUP(E26,TKHTKT,4,0),IF(AND('B THKP'!$C$155=1,'B THKP'!$C$156=2),HLOOKUP(E26,TKHTKT,5,0),IF(AND('B THKP'!$C$155=2,'B THKP'!$C$156=3),HLOOKUP(E26,TKHTKT,6,0),IF(AND('B THKP'!$C$155=2,'B THKP'!$C$156=2),HLOOKUP(E26,TKHTKT,7,0))))))),AV26)</f>
        <v>BAÏN NHAÄP KHOÂNG ÑUÙNG</v>
      </c>
      <c r="AU26" s="295" t="str">
        <f>IF('B THKP'!$C$154="HTKT",IF(AND('B THKP'!$C$155=5,'B THKP'!$C$156=3),HLOOKUP(F26,TKHTKT,2,0),IF(AND('B THKP'!$C$155=5,'B THKP'!$C$156=2),HLOOKUP(F26,TKHTKT,3,0),IF(AND('B THKP'!$C$155=1,'B THKP'!$C$156=3),HLOOKUP(F26,TKHTKT,4,0),IF(AND('B THKP'!$C$155=1,'B THKP'!$C$156=2),HLOOKUP(F26,TKHTKT,5,0),IF(AND('B THKP'!$C$155=2,'B THKP'!$C$156=3),HLOOKUP(F26,TKHTKT,6,0),IF(AND('B THKP'!$C$155=2,'B THKP'!$C$156=2),HLOOKUP(F26,TKHTKT,7,0))))))),AW26)</f>
        <v>BAÏN NHAÄP KHOÂNG ÑUÙNG</v>
      </c>
      <c r="AV26" s="295" t="str">
        <f>IF('B THKP'!$C$154="HTKT",IF(AND('B THKP'!$C$155=3,'B THKP'!$C$156=3),HLOOKUP(E26,TKHTKT,8,0),IF(AND('B THKP'!$C$155=3,'B THKP'!$C$156=2),HLOOKUP(E26,TKHTKT,9,0),IF(AND('B THKP'!$C$155=4,'B THKP'!$C$156=3),HLOOKUP(E26,TKHTKT,10,0),IF(AND('B THKP'!$C$155=4,'B THKP'!$C$156=2),HLOOKUP(E26,TKHTKT,11,0))))),AX26)</f>
        <v>BAÏN NHAÄP KHOÂNG ÑUÙNG</v>
      </c>
      <c r="AW26" s="295" t="str">
        <f>IF('B THKP'!$C$154="HTKT",IF(AND('B THKP'!$C$155=3,'B THKP'!$C$156=3),HLOOKUP(F26,TKHTKT,8,0),IF(AND('B THKP'!$C$155=3,'B THKP'!$C$156=2),HLOOKUP(F26,TKHTKT,9,0),IF(AND('B THKP'!$C$155=4,'B THKP'!$C$156=3),HLOOKUP(F26,TKHTKT,10,0),IF(AND('B THKP'!$C$155=4,'B THKP'!$C$156=2),HLOOKUP(F26,TKHTKT,11,0))))),AY26)</f>
        <v>BAÏN NHAÄP KHOÂNG ÑUÙNG</v>
      </c>
      <c r="AX26" s="295" t="s">
        <v>3980</v>
      </c>
      <c r="AY26" s="295" t="s">
        <v>3980</v>
      </c>
    </row>
    <row r="27" spans="1:256" s="295" customFormat="1">
      <c r="A27" s="286"/>
      <c r="B27" s="287" t="s">
        <v>3982</v>
      </c>
      <c r="C27" s="296">
        <f>DL!E49</f>
        <v>2.4500000000000002</v>
      </c>
      <c r="D27" s="296">
        <f>DL!F49</f>
        <v>2.39</v>
      </c>
      <c r="E27" s="289">
        <v>7</v>
      </c>
      <c r="F27" s="289">
        <v>10</v>
      </c>
      <c r="G27" s="297" t="e">
        <f>TGTHMUC!#REF!/1.1*10^-9</f>
        <v>#REF!</v>
      </c>
      <c r="H27" s="291" t="e">
        <f>IF(OR(E27-G27=0,E27=F27),C27,C27-((C27-D27)/(F27-E27)*(G27-E27)))</f>
        <v>#REF!</v>
      </c>
      <c r="I27" s="292" t="e">
        <f>ROUND(H27,4)</f>
        <v>#REF!</v>
      </c>
      <c r="J27" s="298"/>
      <c r="K27" s="299"/>
      <c r="L27" s="299"/>
      <c r="M27" s="299"/>
      <c r="N27" s="299"/>
      <c r="O27" s="299"/>
      <c r="P27" s="299"/>
      <c r="Q27" s="299"/>
      <c r="R27" s="299"/>
      <c r="S27" s="299"/>
    </row>
    <row r="28" spans="1:256" s="249" customFormat="1">
      <c r="A28" s="264" t="s">
        <v>3983</v>
      </c>
      <c r="B28" s="272" t="s">
        <v>3984</v>
      </c>
      <c r="C28" s="260"/>
      <c r="D28" s="260"/>
      <c r="E28" s="261"/>
      <c r="F28" s="262"/>
      <c r="G28" s="260"/>
      <c r="H28" s="263"/>
      <c r="I28" s="264"/>
      <c r="K28" s="250"/>
      <c r="L28" s="250"/>
      <c r="M28" s="250"/>
      <c r="N28" s="250"/>
      <c r="O28" s="250"/>
      <c r="P28" s="250"/>
      <c r="Q28" s="250"/>
      <c r="R28" s="250"/>
      <c r="S28" s="250"/>
    </row>
    <row r="29" spans="1:256" s="249" customFormat="1">
      <c r="A29" s="264" t="s">
        <v>3985</v>
      </c>
      <c r="B29" s="272" t="s">
        <v>3986</v>
      </c>
      <c r="C29" s="260"/>
      <c r="D29" s="260"/>
      <c r="E29" s="261"/>
      <c r="F29" s="262"/>
      <c r="G29" s="260"/>
      <c r="H29" s="263"/>
      <c r="I29" s="264"/>
      <c r="K29" s="250"/>
      <c r="L29" s="250"/>
      <c r="M29" s="250"/>
      <c r="N29" s="250"/>
      <c r="O29" s="250"/>
      <c r="P29" s="250"/>
      <c r="Q29" s="250"/>
      <c r="R29" s="250"/>
      <c r="S29" s="250"/>
    </row>
    <row r="30" spans="1:256" s="249" customFormat="1">
      <c r="A30" s="264" t="s">
        <v>3987</v>
      </c>
      <c r="B30" s="272" t="s">
        <v>3988</v>
      </c>
      <c r="C30" s="260"/>
      <c r="D30" s="260"/>
      <c r="E30" s="261"/>
      <c r="F30" s="262"/>
      <c r="G30" s="260"/>
      <c r="H30" s="263"/>
      <c r="I30" s="264"/>
      <c r="K30" s="250"/>
      <c r="L30" s="250"/>
      <c r="M30" s="250"/>
      <c r="N30" s="250"/>
      <c r="O30" s="250"/>
      <c r="P30" s="250"/>
      <c r="Q30" s="250"/>
      <c r="R30" s="250"/>
      <c r="S30" s="250"/>
    </row>
    <row r="31" spans="1:256" s="249" customFormat="1">
      <c r="A31" s="264" t="s">
        <v>3989</v>
      </c>
      <c r="B31" s="272" t="s">
        <v>3990</v>
      </c>
      <c r="C31" s="260"/>
      <c r="D31" s="260"/>
      <c r="E31" s="261"/>
      <c r="F31" s="262"/>
      <c r="G31" s="260"/>
      <c r="H31" s="263"/>
      <c r="I31" s="264"/>
      <c r="K31" s="250"/>
      <c r="L31" s="250"/>
      <c r="M31" s="250"/>
      <c r="N31" s="250"/>
      <c r="O31" s="250"/>
      <c r="P31" s="250"/>
      <c r="Q31" s="250"/>
      <c r="R31" s="250"/>
      <c r="S31" s="250"/>
    </row>
    <row r="32" spans="1:256" s="249" customFormat="1">
      <c r="A32" s="264" t="s">
        <v>3991</v>
      </c>
      <c r="B32" s="272" t="s">
        <v>3992</v>
      </c>
      <c r="C32" s="260"/>
      <c r="D32" s="260"/>
      <c r="E32" s="261"/>
      <c r="F32" s="262"/>
      <c r="G32" s="260"/>
      <c r="H32" s="263"/>
      <c r="I32" s="264"/>
      <c r="K32" s="250"/>
      <c r="L32" s="250"/>
      <c r="M32" s="250"/>
      <c r="N32" s="250"/>
      <c r="O32" s="250"/>
      <c r="P32" s="250"/>
      <c r="Q32" s="250"/>
      <c r="R32" s="250"/>
      <c r="S32" s="250"/>
    </row>
    <row r="33" spans="1:256" s="249" customFormat="1">
      <c r="A33" s="264" t="s">
        <v>3993</v>
      </c>
      <c r="B33" s="272" t="s">
        <v>151</v>
      </c>
      <c r="C33" s="276" t="e">
        <f>IF('B THKP'!$C$154="DD",HLOOKUP(E33,TTTK,2,0),IF('B THKP'!$C$154="CN",HLOOKUP(E33,TTTK,3,0),IF('B THKP'!$C$154="GT",HLOOKUP(E33,TTTK,4,0),IF('B THKP'!$C$154="TL",HLOOKUP(E33,TTTK,5,0),IF('B THKP'!$C$154="HTKT",HLOOKUP(E33,TTTK,6,0))))))</f>
        <v>#REF!</v>
      </c>
      <c r="D33" s="276" t="e">
        <f>IF('B THKP'!$C$154="DD",HLOOKUP(F33,TTTK,2,0),IF('B THKP'!$C$154="CN",HLOOKUP(F33,TTTK,3,0),IF('B THKP'!$C$154="GT",HLOOKUP(F33,TTTK,4,0),IF('B THKP'!$C$154="TL",HLOOKUP(F33,TTTK,5,0),IF('B THKP'!$C$154="HTKT",HLOOKUP(F33,TTTK,6,0))))))</f>
        <v>#REF!</v>
      </c>
      <c r="E33" s="277" t="e">
        <f>IF(AND(G33&gt;=100,G33&lt;200),100,IF(AND(G33&gt;=200,G33&lt;500),200,IF(AND(G33&gt;=500,G33&lt;1000),500,IF(AND(G33&gt;=1000,G33&lt;2000),1000,IF(AND(G33&gt;=2000,G33&lt;5000),2000,IF(AND(G33&gt;=5000,G33&lt;8000),5000,IF(G33&gt;=8000,8000,IF(G33&lt;100,AA33))))))))</f>
        <v>#REF!</v>
      </c>
      <c r="F33" s="277" t="e">
        <f>IF(AND(G33&gt;=100,G33&lt;200),200,IF(AND(G33&gt;=200,G33&lt;500),500,IF(AND(G33&gt;=500,G33&lt;1000),1000,IF(AND(G33&gt;=1000,G33&lt;2000),2000,IF(AND(G33&gt;=2000,G33&lt;5000),5000,IF(AND(G33&gt;=5000,G33&lt;8000),8000,IF(G33&gt;=8000,8000,IF(G33&lt;100,AB33))))))))</f>
        <v>#REF!</v>
      </c>
      <c r="G33" s="278" t="e">
        <f>(GTT+'B THKP'!P13*0)*10^-9</f>
        <v>#REF!</v>
      </c>
      <c r="H33" s="279" t="e">
        <f>IF(OR(E33-G33=0,E33=F33),C33,C33-((C33-D33)/(F33-E33)*(G33-E33)))</f>
        <v>#REF!</v>
      </c>
      <c r="I33" s="280" t="e">
        <f>ROUND(H33,4)</f>
        <v>#REF!</v>
      </c>
      <c r="J33" s="280"/>
      <c r="K33" s="282"/>
      <c r="L33" s="282"/>
      <c r="M33" s="282"/>
      <c r="N33" s="282"/>
      <c r="O33" s="282"/>
      <c r="P33" s="282"/>
      <c r="Q33" s="282"/>
      <c r="R33" s="282"/>
      <c r="S33" s="282"/>
      <c r="T33" s="283"/>
      <c r="U33" s="191"/>
      <c r="V33" s="191"/>
      <c r="W33" s="191"/>
      <c r="X33" s="191"/>
      <c r="Y33" s="191"/>
      <c r="Z33" s="191"/>
      <c r="AA33" s="191" t="e">
        <f>IF(G33&lt;=10,10,IF(AND(G33&gt;10,G33&lt;20),10,IF(AND(G33&gt;=20,G33&lt;50),20,IF(AND(G33&gt;=50,G33&lt;100),50))))</f>
        <v>#REF!</v>
      </c>
      <c r="AB33" s="191" t="e">
        <f>IF(G33&lt;=10,10,IF(AND(G33&gt;10,G33&lt;20),20,IF(AND(G33&gt;=20,G33&lt;50),50,IF(AND(G33&gt;=50,G33&lt;100),100))))</f>
        <v>#REF!</v>
      </c>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91"/>
      <c r="AY33" s="191"/>
      <c r="AZ33" s="191"/>
      <c r="BA33" s="191"/>
      <c r="BB33" s="191"/>
      <c r="BC33" s="191"/>
      <c r="BD33" s="191"/>
      <c r="BE33" s="191"/>
      <c r="BF33" s="191"/>
      <c r="BG33" s="191"/>
      <c r="BH33" s="191"/>
      <c r="BI33" s="191"/>
      <c r="BJ33" s="191"/>
      <c r="BK33" s="191"/>
      <c r="BL33" s="191"/>
      <c r="BM33" s="191"/>
      <c r="BN33" s="191"/>
      <c r="BO33" s="191"/>
      <c r="BP33" s="191"/>
      <c r="BQ33" s="191"/>
      <c r="BR33" s="191"/>
      <c r="BS33" s="191"/>
      <c r="BT33" s="191"/>
      <c r="BU33" s="191"/>
      <c r="BV33" s="191"/>
      <c r="BW33" s="191"/>
      <c r="BX33" s="191"/>
      <c r="BY33" s="191"/>
      <c r="BZ33" s="191"/>
      <c r="CA33" s="191"/>
      <c r="CB33" s="191"/>
      <c r="CC33" s="191"/>
      <c r="CD33" s="191"/>
      <c r="CE33" s="191"/>
      <c r="CF33" s="191"/>
      <c r="CG33" s="191"/>
      <c r="CH33" s="191"/>
      <c r="CI33" s="191"/>
      <c r="CJ33" s="191"/>
      <c r="CK33" s="191"/>
      <c r="CL33" s="191"/>
      <c r="CM33" s="191"/>
      <c r="CN33" s="191"/>
      <c r="CO33" s="191"/>
      <c r="CP33" s="191"/>
      <c r="CQ33" s="191"/>
      <c r="CR33" s="191"/>
      <c r="CS33" s="191"/>
      <c r="CT33" s="191"/>
      <c r="CU33" s="191"/>
      <c r="CV33" s="191"/>
      <c r="CW33" s="191"/>
      <c r="CX33" s="191"/>
      <c r="CY33" s="191"/>
      <c r="CZ33" s="191"/>
      <c r="DA33" s="191"/>
      <c r="DB33" s="191"/>
      <c r="DC33" s="191"/>
      <c r="DD33" s="191"/>
      <c r="DE33" s="191"/>
      <c r="DF33" s="191"/>
      <c r="DG33" s="191"/>
      <c r="DH33" s="191"/>
      <c r="DI33" s="191"/>
      <c r="DJ33" s="191"/>
      <c r="DK33" s="191"/>
      <c r="DL33" s="191"/>
      <c r="DM33" s="191"/>
      <c r="DN33" s="191"/>
      <c r="DO33" s="191"/>
      <c r="DP33" s="191"/>
      <c r="DQ33" s="191"/>
      <c r="DR33" s="191"/>
      <c r="DS33" s="191"/>
      <c r="DT33" s="191"/>
      <c r="DU33" s="191"/>
      <c r="DV33" s="191"/>
      <c r="DW33" s="191"/>
      <c r="DX33" s="191"/>
      <c r="DY33" s="191"/>
      <c r="DZ33" s="191"/>
      <c r="EA33" s="191"/>
      <c r="EB33" s="191"/>
      <c r="EC33" s="191"/>
      <c r="ED33" s="191"/>
      <c r="EE33" s="191"/>
      <c r="EF33" s="191"/>
      <c r="EG33" s="191"/>
      <c r="EH33" s="191"/>
      <c r="EI33" s="191"/>
      <c r="EJ33" s="191"/>
      <c r="EK33" s="191"/>
      <c r="EL33" s="191"/>
      <c r="EM33" s="191"/>
      <c r="EN33" s="191"/>
      <c r="EO33" s="191"/>
      <c r="EP33" s="191"/>
      <c r="EQ33" s="191"/>
      <c r="ER33" s="191"/>
      <c r="ES33" s="191"/>
      <c r="ET33" s="191"/>
      <c r="EU33" s="191"/>
      <c r="EV33" s="191"/>
      <c r="EW33" s="191"/>
      <c r="EX33" s="191"/>
      <c r="EY33" s="191"/>
      <c r="EZ33" s="191"/>
      <c r="FA33" s="191"/>
      <c r="FB33" s="191"/>
      <c r="FC33" s="191"/>
      <c r="FD33" s="191"/>
      <c r="FE33" s="191"/>
      <c r="FF33" s="191"/>
      <c r="FG33" s="191"/>
      <c r="FH33" s="191"/>
      <c r="FI33" s="191"/>
      <c r="FJ33" s="191"/>
      <c r="FK33" s="191"/>
      <c r="FL33" s="191"/>
      <c r="FM33" s="191"/>
      <c r="FN33" s="191"/>
      <c r="FO33" s="191"/>
      <c r="FP33" s="191"/>
      <c r="FQ33" s="191"/>
      <c r="FR33" s="191"/>
      <c r="FS33" s="191"/>
      <c r="FT33" s="191"/>
      <c r="FU33" s="191"/>
      <c r="FV33" s="191"/>
      <c r="FW33" s="191"/>
      <c r="FX33" s="191"/>
      <c r="FY33" s="191"/>
      <c r="FZ33" s="191"/>
      <c r="GA33" s="191"/>
      <c r="GB33" s="191"/>
      <c r="GC33" s="191"/>
      <c r="GD33" s="191"/>
      <c r="GE33" s="191"/>
      <c r="GF33" s="191"/>
      <c r="GG33" s="191"/>
      <c r="GH33" s="191"/>
      <c r="GI33" s="191"/>
      <c r="GJ33" s="191"/>
      <c r="GK33" s="191"/>
      <c r="GL33" s="191"/>
      <c r="GM33" s="191"/>
      <c r="GN33" s="191"/>
      <c r="GO33" s="191"/>
      <c r="GP33" s="191"/>
      <c r="GQ33" s="191"/>
      <c r="GR33" s="191"/>
      <c r="GS33" s="191"/>
      <c r="GT33" s="191"/>
      <c r="GU33" s="191"/>
      <c r="GV33" s="191"/>
      <c r="GW33" s="191"/>
      <c r="GX33" s="191"/>
      <c r="GY33" s="191"/>
      <c r="GZ33" s="191"/>
      <c r="HA33" s="191"/>
      <c r="HB33" s="191"/>
      <c r="HC33" s="191"/>
      <c r="HD33" s="191"/>
      <c r="HE33" s="191"/>
      <c r="HF33" s="191"/>
      <c r="HG33" s="191"/>
      <c r="HH33" s="191"/>
      <c r="HI33" s="191"/>
      <c r="HJ33" s="191"/>
      <c r="HK33" s="191"/>
      <c r="HL33" s="191"/>
      <c r="HM33" s="191"/>
      <c r="HN33" s="191"/>
      <c r="HO33" s="191"/>
      <c r="HP33" s="191"/>
      <c r="HQ33" s="191"/>
      <c r="HR33" s="191"/>
      <c r="HS33" s="191"/>
      <c r="HT33" s="191"/>
      <c r="HU33" s="191"/>
      <c r="HV33" s="191"/>
      <c r="HW33" s="191"/>
      <c r="HX33" s="191"/>
      <c r="HY33" s="191"/>
      <c r="HZ33" s="191"/>
      <c r="IA33" s="191"/>
      <c r="IB33" s="191"/>
      <c r="IC33" s="191"/>
      <c r="ID33" s="191"/>
      <c r="IE33" s="191"/>
      <c r="IF33" s="191"/>
      <c r="IG33" s="191"/>
      <c r="IH33" s="191"/>
      <c r="II33" s="191"/>
      <c r="IJ33" s="191"/>
      <c r="IK33" s="191"/>
      <c r="IL33" s="191"/>
      <c r="IM33" s="191"/>
      <c r="IN33" s="191"/>
      <c r="IO33" s="191"/>
      <c r="IP33" s="191"/>
      <c r="IQ33" s="191"/>
      <c r="IR33" s="191"/>
      <c r="IS33" s="191"/>
      <c r="IT33" s="191"/>
      <c r="IU33" s="191"/>
      <c r="IV33" s="191"/>
    </row>
    <row r="34" spans="1:256" s="249" customFormat="1">
      <c r="A34" s="264" t="s">
        <v>3994</v>
      </c>
      <c r="B34" s="272" t="s">
        <v>3995</v>
      </c>
      <c r="C34" s="260"/>
      <c r="D34" s="260"/>
      <c r="E34" s="261"/>
      <c r="F34" s="262"/>
      <c r="G34" s="260"/>
      <c r="H34" s="263"/>
      <c r="I34" s="264"/>
      <c r="K34" s="250"/>
      <c r="L34" s="250"/>
      <c r="M34" s="250"/>
      <c r="N34" s="250"/>
      <c r="O34" s="250"/>
      <c r="P34" s="250"/>
      <c r="Q34" s="250"/>
      <c r="R34" s="250"/>
      <c r="S34" s="250"/>
    </row>
    <row r="35" spans="1:256" s="249" customFormat="1">
      <c r="A35" s="264" t="s">
        <v>3996</v>
      </c>
      <c r="B35" s="272" t="s">
        <v>152</v>
      </c>
      <c r="C35" s="276" t="e">
        <f>IF('B THKP'!$C$154="DD",HLOOKUP(E35,TTDT,2,0),IF('B THKP'!$C$154="CN",HLOOKUP(E35,TTDT,3,0),IF('B THKP'!$C$154="GT",HLOOKUP(E35,TTDT,4,0),IF('B THKP'!$C$154="TL",HLOOKUP(E35,TTDT,5,0),IF('B THKP'!$C$154="HTKT",HLOOKUP(E35,TTDT,6,0))))))</f>
        <v>#REF!</v>
      </c>
      <c r="D35" s="276" t="e">
        <f>IF('B THKP'!$C$154="DD",HLOOKUP(F35,TTDT,2,0),IF('B THKP'!$C$154="CN",HLOOKUP(F35,TTDT,3,0),IF('B THKP'!$C$154="GT",HLOOKUP(F35,TTDT,4,0),IF('B THKP'!$C$154="TL",HLOOKUP(F35,TTDT,5,0),IF('B THKP'!$C$154="HTKT",HLOOKUP(F35,TTDT,6,0))))))</f>
        <v>#REF!</v>
      </c>
      <c r="E35" s="277" t="e">
        <f>IF(AND(G35&gt;=100,G35&lt;200),100,IF(AND(G35&gt;=200,G35&lt;500),200,IF(AND(G35&gt;=500,G35&lt;1000),500,IF(AND(G35&gt;=1000,G35&lt;2000),1000,IF(AND(G35&gt;=2000,G35&lt;5000),2000,IF(AND(G35&gt;=5000,G35&lt;8000),5000,IF(G35&gt;=8000,8000,IF(G35&lt;100,AA35))))))))</f>
        <v>#REF!</v>
      </c>
      <c r="F35" s="277" t="e">
        <f>IF(AND(G35&gt;=100,G35&lt;200),200,IF(AND(G35&gt;=200,G35&lt;500),500,IF(AND(G35&gt;=500,G35&lt;1000),1000,IF(AND(G35&gt;=1000,G35&lt;2000),2000,IF(AND(G35&gt;=2000,G35&lt;5000),5000,IF(AND(G35&gt;=5000,G35&lt;8000),8000,IF(G35&gt;=8000,8000,IF(G35&lt;100,AB35))))))))</f>
        <v>#REF!</v>
      </c>
      <c r="G35" s="278" t="e">
        <f>(GTT+'B THKP'!P13*0)*10^-9</f>
        <v>#REF!</v>
      </c>
      <c r="H35" s="279" t="e">
        <f>IF(OR(E35-G35=0,E35=F35),C35,C35-((C35-D35)/(F35-E35)*(G35-E35)))</f>
        <v>#REF!</v>
      </c>
      <c r="I35" s="280" t="e">
        <f>ROUND(H35,4)</f>
        <v>#REF!</v>
      </c>
      <c r="J35" s="280"/>
      <c r="K35" s="282"/>
      <c r="L35" s="282"/>
      <c r="M35" s="282"/>
      <c r="N35" s="282"/>
      <c r="O35" s="282"/>
      <c r="P35" s="282"/>
      <c r="Q35" s="282"/>
      <c r="R35" s="282"/>
      <c r="S35" s="282">
        <v>1.1000000000000001</v>
      </c>
      <c r="T35" s="283" t="e">
        <f>J35&amp;I35&amp;K35&amp;L35&amp;M35&amp;N35&amp;O35&amp;P35&amp;Q35&amp;R35&amp;S35</f>
        <v>#REF!</v>
      </c>
      <c r="U35" s="191"/>
      <c r="V35" s="191"/>
      <c r="W35" s="191"/>
      <c r="X35" s="191"/>
      <c r="Y35" s="191"/>
      <c r="Z35" s="191"/>
      <c r="AA35" s="191" t="e">
        <f>IF(G35&lt;=10,10,IF(AND(G35&gt;10,G35&lt;20),10,IF(AND(G35&gt;=20,G35&lt;50),20,IF(AND(G35&gt;=50,G35&lt;100),50))))</f>
        <v>#REF!</v>
      </c>
      <c r="AB35" s="191" t="e">
        <f>IF(G35&lt;=10,10,IF(AND(G35&gt;10,G35&lt;20),20,IF(AND(G35&gt;=20,G35&lt;50),50,IF(AND(G35&gt;=50,G35&lt;100),100))))</f>
        <v>#REF!</v>
      </c>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1"/>
      <c r="BA35" s="191"/>
      <c r="BB35" s="191"/>
      <c r="BC35" s="191"/>
      <c r="BD35" s="191"/>
      <c r="BE35" s="191"/>
      <c r="BF35" s="191"/>
      <c r="BG35" s="191"/>
      <c r="BH35" s="191"/>
      <c r="BI35" s="191"/>
      <c r="BJ35" s="191"/>
      <c r="BK35" s="191"/>
      <c r="BL35" s="191"/>
      <c r="BM35" s="191"/>
      <c r="BN35" s="191"/>
      <c r="BO35" s="191"/>
      <c r="BP35" s="191"/>
      <c r="BQ35" s="191"/>
      <c r="BR35" s="191"/>
      <c r="BS35" s="191"/>
      <c r="BT35" s="191"/>
      <c r="BU35" s="191"/>
      <c r="BV35" s="191"/>
      <c r="BW35" s="191"/>
      <c r="BX35" s="191"/>
      <c r="BY35" s="191"/>
      <c r="BZ35" s="191"/>
      <c r="CA35" s="191"/>
      <c r="CB35" s="191"/>
      <c r="CC35" s="191"/>
      <c r="CD35" s="191"/>
      <c r="CE35" s="191"/>
      <c r="CF35" s="191"/>
      <c r="CG35" s="191"/>
      <c r="CH35" s="191"/>
      <c r="CI35" s="191"/>
      <c r="CJ35" s="191"/>
      <c r="CK35" s="191"/>
      <c r="CL35" s="191"/>
      <c r="CM35" s="191"/>
      <c r="CN35" s="191"/>
      <c r="CO35" s="191"/>
      <c r="CP35" s="191"/>
      <c r="CQ35" s="191"/>
      <c r="CR35" s="191"/>
      <c r="CS35" s="191"/>
      <c r="CT35" s="191"/>
      <c r="CU35" s="191"/>
      <c r="CV35" s="191"/>
      <c r="CW35" s="191"/>
      <c r="CX35" s="191"/>
      <c r="CY35" s="191"/>
      <c r="CZ35" s="191"/>
      <c r="DA35" s="191"/>
      <c r="DB35" s="191"/>
      <c r="DC35" s="191"/>
      <c r="DD35" s="191"/>
      <c r="DE35" s="191"/>
      <c r="DF35" s="191"/>
      <c r="DG35" s="191"/>
      <c r="DH35" s="191"/>
      <c r="DI35" s="191"/>
      <c r="DJ35" s="191"/>
      <c r="DK35" s="191"/>
      <c r="DL35" s="191"/>
      <c r="DM35" s="191"/>
      <c r="DN35" s="191"/>
      <c r="DO35" s="191"/>
      <c r="DP35" s="191"/>
      <c r="DQ35" s="191"/>
      <c r="DR35" s="191"/>
      <c r="DS35" s="191"/>
      <c r="DT35" s="191"/>
      <c r="DU35" s="191"/>
      <c r="DV35" s="191"/>
      <c r="DW35" s="191"/>
      <c r="DX35" s="191"/>
      <c r="DY35" s="191"/>
      <c r="DZ35" s="191"/>
      <c r="EA35" s="191"/>
      <c r="EB35" s="191"/>
      <c r="EC35" s="191"/>
      <c r="ED35" s="191"/>
      <c r="EE35" s="191"/>
      <c r="EF35" s="191"/>
      <c r="EG35" s="191"/>
      <c r="EH35" s="191"/>
      <c r="EI35" s="191"/>
      <c r="EJ35" s="191"/>
      <c r="EK35" s="191"/>
      <c r="EL35" s="191"/>
      <c r="EM35" s="191"/>
      <c r="EN35" s="191"/>
      <c r="EO35" s="191"/>
      <c r="EP35" s="191"/>
      <c r="EQ35" s="191"/>
      <c r="ER35" s="191"/>
      <c r="ES35" s="191"/>
      <c r="ET35" s="191"/>
      <c r="EU35" s="191"/>
      <c r="EV35" s="191"/>
      <c r="EW35" s="191"/>
      <c r="EX35" s="191"/>
      <c r="EY35" s="191"/>
      <c r="EZ35" s="191"/>
      <c r="FA35" s="191"/>
      <c r="FB35" s="191"/>
      <c r="FC35" s="191"/>
      <c r="FD35" s="191"/>
      <c r="FE35" s="191"/>
      <c r="FF35" s="191"/>
      <c r="FG35" s="191"/>
      <c r="FH35" s="191"/>
      <c r="FI35" s="191"/>
      <c r="FJ35" s="191"/>
      <c r="FK35" s="191"/>
      <c r="FL35" s="191"/>
      <c r="FM35" s="191"/>
      <c r="FN35" s="191"/>
      <c r="FO35" s="191"/>
      <c r="FP35" s="191"/>
      <c r="FQ35" s="191"/>
      <c r="FR35" s="191"/>
      <c r="FS35" s="191"/>
      <c r="FT35" s="191"/>
      <c r="FU35" s="191"/>
      <c r="FV35" s="191"/>
      <c r="FW35" s="191"/>
      <c r="FX35" s="191"/>
      <c r="FY35" s="191"/>
      <c r="FZ35" s="191"/>
      <c r="GA35" s="191"/>
      <c r="GB35" s="191"/>
      <c r="GC35" s="191"/>
      <c r="GD35" s="191"/>
      <c r="GE35" s="191"/>
      <c r="GF35" s="191"/>
      <c r="GG35" s="191"/>
      <c r="GH35" s="191"/>
      <c r="GI35" s="191"/>
      <c r="GJ35" s="191"/>
      <c r="GK35" s="191"/>
      <c r="GL35" s="191"/>
      <c r="GM35" s="191"/>
      <c r="GN35" s="191"/>
      <c r="GO35" s="191"/>
      <c r="GP35" s="191"/>
      <c r="GQ35" s="191"/>
      <c r="GR35" s="191"/>
      <c r="GS35" s="191"/>
      <c r="GT35" s="191"/>
      <c r="GU35" s="191"/>
      <c r="GV35" s="191"/>
      <c r="GW35" s="191"/>
      <c r="GX35" s="191"/>
      <c r="GY35" s="191"/>
      <c r="GZ35" s="191"/>
      <c r="HA35" s="191"/>
      <c r="HB35" s="191"/>
      <c r="HC35" s="191"/>
      <c r="HD35" s="191"/>
      <c r="HE35" s="191"/>
      <c r="HF35" s="191"/>
      <c r="HG35" s="191"/>
      <c r="HH35" s="191"/>
      <c r="HI35" s="191"/>
      <c r="HJ35" s="191"/>
      <c r="HK35" s="191"/>
      <c r="HL35" s="191"/>
      <c r="HM35" s="191"/>
      <c r="HN35" s="191"/>
      <c r="HO35" s="191"/>
      <c r="HP35" s="191"/>
      <c r="HQ35" s="191"/>
      <c r="HR35" s="191"/>
      <c r="HS35" s="191"/>
      <c r="HT35" s="191"/>
      <c r="HU35" s="191"/>
      <c r="HV35" s="191"/>
      <c r="HW35" s="191"/>
      <c r="HX35" s="191"/>
      <c r="HY35" s="191"/>
      <c r="HZ35" s="191"/>
      <c r="IA35" s="191"/>
      <c r="IB35" s="191"/>
      <c r="IC35" s="191"/>
      <c r="ID35" s="191"/>
      <c r="IE35" s="191"/>
      <c r="IF35" s="191"/>
      <c r="IG35" s="191"/>
      <c r="IH35" s="191"/>
      <c r="II35" s="191"/>
      <c r="IJ35" s="191"/>
      <c r="IK35" s="191"/>
      <c r="IL35" s="191"/>
      <c r="IM35" s="191"/>
      <c r="IN35" s="191"/>
      <c r="IO35" s="191"/>
      <c r="IP35" s="191"/>
      <c r="IQ35" s="191"/>
      <c r="IR35" s="191"/>
      <c r="IS35" s="191"/>
      <c r="IT35" s="191"/>
      <c r="IU35" s="191"/>
      <c r="IV35" s="191"/>
    </row>
    <row r="36" spans="1:256" s="249" customFormat="1">
      <c r="A36" s="264"/>
      <c r="B36" s="272" t="s">
        <v>153</v>
      </c>
      <c r="C36" s="296">
        <f>DL!F153</f>
        <v>0.23799999999999999</v>
      </c>
      <c r="D36" s="296">
        <f>DL!G153</f>
        <v>0.20599999999999999</v>
      </c>
      <c r="E36" s="300">
        <v>10</v>
      </c>
      <c r="F36" s="300">
        <v>20</v>
      </c>
      <c r="G36" s="253" t="e">
        <f>G27</f>
        <v>#REF!</v>
      </c>
      <c r="H36" s="279" t="e">
        <f>IF(OR(E36-G36=0,E36=F36),C36,C36-((C36-D36)/(F36-E36)*(G36-E36)))</f>
        <v>#REF!</v>
      </c>
      <c r="I36" s="280" t="e">
        <f>ROUND(H36,4)</f>
        <v>#REF!</v>
      </c>
      <c r="J36" s="301"/>
      <c r="K36" s="236"/>
      <c r="L36" s="236"/>
      <c r="M36" s="236"/>
      <c r="N36" s="236"/>
      <c r="O36" s="236"/>
      <c r="P36" s="236"/>
      <c r="Q36" s="236"/>
      <c r="R36" s="236"/>
      <c r="S36" s="236"/>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91"/>
      <c r="AY36" s="191"/>
      <c r="AZ36" s="191"/>
      <c r="BA36" s="191"/>
      <c r="BB36" s="191"/>
      <c r="BC36" s="191"/>
      <c r="BD36" s="191"/>
      <c r="BE36" s="191"/>
      <c r="BF36" s="191"/>
      <c r="BG36" s="191"/>
      <c r="BH36" s="191"/>
      <c r="BI36" s="191"/>
      <c r="BJ36" s="191"/>
      <c r="BK36" s="191"/>
      <c r="BL36" s="191"/>
      <c r="BM36" s="191"/>
      <c r="BN36" s="191"/>
      <c r="BO36" s="191"/>
      <c r="BP36" s="191"/>
      <c r="BQ36" s="191"/>
      <c r="BR36" s="191"/>
      <c r="BS36" s="191"/>
      <c r="BT36" s="191"/>
      <c r="BU36" s="191"/>
      <c r="BV36" s="191"/>
      <c r="BW36" s="191"/>
      <c r="BX36" s="191"/>
      <c r="BY36" s="191"/>
      <c r="BZ36" s="191"/>
      <c r="CA36" s="191"/>
      <c r="CB36" s="191"/>
      <c r="CC36" s="191"/>
      <c r="CD36" s="191"/>
      <c r="CE36" s="191"/>
      <c r="CF36" s="191"/>
      <c r="CG36" s="191"/>
      <c r="CH36" s="191"/>
      <c r="CI36" s="191"/>
      <c r="CJ36" s="191"/>
      <c r="CK36" s="191"/>
      <c r="CL36" s="191"/>
      <c r="CM36" s="191"/>
      <c r="CN36" s="191"/>
      <c r="CO36" s="191"/>
      <c r="CP36" s="191"/>
      <c r="CQ36" s="191"/>
      <c r="CR36" s="191"/>
      <c r="CS36" s="191"/>
      <c r="CT36" s="191"/>
      <c r="CU36" s="191"/>
      <c r="CV36" s="191"/>
      <c r="CW36" s="191"/>
      <c r="CX36" s="191"/>
      <c r="CY36" s="191"/>
      <c r="CZ36" s="191"/>
      <c r="DA36" s="191"/>
      <c r="DB36" s="191"/>
      <c r="DC36" s="191"/>
      <c r="DD36" s="191"/>
      <c r="DE36" s="191"/>
      <c r="DF36" s="191"/>
      <c r="DG36" s="191"/>
      <c r="DH36" s="191"/>
      <c r="DI36" s="191"/>
      <c r="DJ36" s="191"/>
      <c r="DK36" s="191"/>
      <c r="DL36" s="191"/>
      <c r="DM36" s="191"/>
      <c r="DN36" s="191"/>
      <c r="DO36" s="191"/>
      <c r="DP36" s="191"/>
      <c r="DQ36" s="191"/>
      <c r="DR36" s="191"/>
      <c r="DS36" s="191"/>
      <c r="DT36" s="191"/>
      <c r="DU36" s="191"/>
      <c r="DV36" s="191"/>
      <c r="DW36" s="191"/>
      <c r="DX36" s="191"/>
      <c r="DY36" s="191"/>
      <c r="DZ36" s="191"/>
      <c r="EA36" s="191"/>
      <c r="EB36" s="191"/>
      <c r="EC36" s="191"/>
      <c r="ED36" s="191"/>
      <c r="EE36" s="191"/>
      <c r="EF36" s="191"/>
      <c r="EG36" s="191"/>
      <c r="EH36" s="191"/>
      <c r="EI36" s="191"/>
      <c r="EJ36" s="191"/>
      <c r="EK36" s="191"/>
      <c r="EL36" s="191"/>
      <c r="EM36" s="191"/>
      <c r="EN36" s="191"/>
      <c r="EO36" s="191"/>
      <c r="EP36" s="191"/>
      <c r="EQ36" s="191"/>
      <c r="ER36" s="191"/>
      <c r="ES36" s="191"/>
      <c r="ET36" s="191"/>
      <c r="EU36" s="191"/>
      <c r="EV36" s="191"/>
      <c r="EW36" s="191"/>
      <c r="EX36" s="191"/>
      <c r="EY36" s="191"/>
      <c r="EZ36" s="191"/>
      <c r="FA36" s="191"/>
      <c r="FB36" s="191"/>
      <c r="FC36" s="191"/>
      <c r="FD36" s="191"/>
      <c r="FE36" s="191"/>
      <c r="FF36" s="191"/>
      <c r="FG36" s="191"/>
      <c r="FH36" s="191"/>
      <c r="FI36" s="191"/>
      <c r="FJ36" s="191"/>
      <c r="FK36" s="191"/>
      <c r="FL36" s="191"/>
      <c r="FM36" s="191"/>
      <c r="FN36" s="191"/>
      <c r="FO36" s="191"/>
      <c r="FP36" s="191"/>
      <c r="FQ36" s="191"/>
      <c r="FR36" s="191"/>
      <c r="FS36" s="191"/>
      <c r="FT36" s="191"/>
      <c r="FU36" s="191"/>
      <c r="FV36" s="191"/>
      <c r="FW36" s="191"/>
      <c r="FX36" s="191"/>
      <c r="FY36" s="191"/>
      <c r="FZ36" s="191"/>
      <c r="GA36" s="191"/>
      <c r="GB36" s="191"/>
      <c r="GC36" s="191"/>
      <c r="GD36" s="191"/>
      <c r="GE36" s="191"/>
      <c r="GF36" s="191"/>
      <c r="GG36" s="191"/>
      <c r="GH36" s="191"/>
      <c r="GI36" s="191"/>
      <c r="GJ36" s="191"/>
      <c r="GK36" s="191"/>
      <c r="GL36" s="191"/>
      <c r="GM36" s="191"/>
      <c r="GN36" s="191"/>
      <c r="GO36" s="191"/>
      <c r="GP36" s="191"/>
      <c r="GQ36" s="191"/>
      <c r="GR36" s="191"/>
      <c r="GS36" s="191"/>
      <c r="GT36" s="191"/>
      <c r="GU36" s="191"/>
      <c r="GV36" s="191"/>
      <c r="GW36" s="191"/>
      <c r="GX36" s="191"/>
      <c r="GY36" s="191"/>
      <c r="GZ36" s="191"/>
      <c r="HA36" s="191"/>
      <c r="HB36" s="191"/>
      <c r="HC36" s="191"/>
      <c r="HD36" s="191"/>
      <c r="HE36" s="191"/>
      <c r="HF36" s="191"/>
      <c r="HG36" s="191"/>
      <c r="HH36" s="191"/>
      <c r="HI36" s="191"/>
      <c r="HJ36" s="191"/>
      <c r="HK36" s="191"/>
      <c r="HL36" s="191"/>
      <c r="HM36" s="191"/>
      <c r="HN36" s="191"/>
      <c r="HO36" s="191"/>
      <c r="HP36" s="191"/>
      <c r="HQ36" s="191"/>
      <c r="HR36" s="191"/>
      <c r="HS36" s="191"/>
      <c r="HT36" s="191"/>
      <c r="HU36" s="191"/>
      <c r="HV36" s="191"/>
      <c r="HW36" s="191"/>
      <c r="HX36" s="191"/>
      <c r="HY36" s="191"/>
      <c r="HZ36" s="191"/>
      <c r="IA36" s="191"/>
      <c r="IB36" s="191"/>
      <c r="IC36" s="191"/>
      <c r="ID36" s="191"/>
      <c r="IE36" s="191"/>
      <c r="IF36" s="191"/>
      <c r="IG36" s="191"/>
      <c r="IH36" s="191"/>
      <c r="II36" s="191"/>
      <c r="IJ36" s="191"/>
      <c r="IK36" s="191"/>
      <c r="IL36" s="191"/>
      <c r="IM36" s="191"/>
      <c r="IN36" s="191"/>
      <c r="IO36" s="191"/>
      <c r="IP36" s="191"/>
      <c r="IQ36" s="191"/>
      <c r="IR36" s="191"/>
      <c r="IS36" s="191"/>
      <c r="IT36" s="191"/>
      <c r="IU36" s="191"/>
      <c r="IV36" s="191"/>
    </row>
    <row r="37" spans="1:256" s="249" customFormat="1">
      <c r="A37" s="264"/>
      <c r="B37" s="272" t="s">
        <v>154</v>
      </c>
      <c r="C37" s="302">
        <f>DL!F164</f>
        <v>0.23100000000000001</v>
      </c>
      <c r="D37" s="302">
        <f>DL!G164</f>
        <v>0.2</v>
      </c>
      <c r="E37" s="300">
        <v>10</v>
      </c>
      <c r="F37" s="300">
        <v>20</v>
      </c>
      <c r="G37" s="253" t="e">
        <f>G36</f>
        <v>#REF!</v>
      </c>
      <c r="H37" s="279" t="e">
        <f>IF(OR(E37-G37=0,E37=F37),C37,C37-((C37-D37)/(F37-E37)*(G37-E37)))</f>
        <v>#REF!</v>
      </c>
      <c r="I37" s="280" t="e">
        <f>ROUND(H37,4)</f>
        <v>#REF!</v>
      </c>
      <c r="J37" s="301"/>
      <c r="K37" s="236"/>
      <c r="L37" s="236"/>
      <c r="M37" s="236"/>
      <c r="N37" s="236"/>
      <c r="O37" s="236"/>
      <c r="P37" s="236"/>
      <c r="Q37" s="236"/>
      <c r="R37" s="236"/>
      <c r="S37" s="236"/>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91"/>
      <c r="AY37" s="191"/>
      <c r="AZ37" s="191"/>
      <c r="BA37" s="191"/>
      <c r="BB37" s="191"/>
      <c r="BC37" s="191"/>
      <c r="BD37" s="191"/>
      <c r="BE37" s="191"/>
      <c r="BF37" s="191"/>
      <c r="BG37" s="191"/>
      <c r="BH37" s="191"/>
      <c r="BI37" s="191"/>
      <c r="BJ37" s="191"/>
      <c r="BK37" s="191"/>
      <c r="BL37" s="191"/>
      <c r="BM37" s="191"/>
      <c r="BN37" s="191"/>
      <c r="BO37" s="191"/>
      <c r="BP37" s="191"/>
      <c r="BQ37" s="191"/>
      <c r="BR37" s="191"/>
      <c r="BS37" s="191"/>
      <c r="BT37" s="191"/>
      <c r="BU37" s="191"/>
      <c r="BV37" s="191"/>
      <c r="BW37" s="191"/>
      <c r="BX37" s="191"/>
      <c r="BY37" s="191"/>
      <c r="BZ37" s="191"/>
      <c r="CA37" s="191"/>
      <c r="CB37" s="191"/>
      <c r="CC37" s="191"/>
      <c r="CD37" s="191"/>
      <c r="CE37" s="191"/>
      <c r="CF37" s="191"/>
      <c r="CG37" s="191"/>
      <c r="CH37" s="191"/>
      <c r="CI37" s="191"/>
      <c r="CJ37" s="191"/>
      <c r="CK37" s="191"/>
      <c r="CL37" s="191"/>
      <c r="CM37" s="191"/>
      <c r="CN37" s="191"/>
      <c r="CO37" s="191"/>
      <c r="CP37" s="191"/>
      <c r="CQ37" s="191"/>
      <c r="CR37" s="191"/>
      <c r="CS37" s="191"/>
      <c r="CT37" s="191"/>
      <c r="CU37" s="191"/>
      <c r="CV37" s="191"/>
      <c r="CW37" s="191"/>
      <c r="CX37" s="191"/>
      <c r="CY37" s="191"/>
      <c r="CZ37" s="191"/>
      <c r="DA37" s="191"/>
      <c r="DB37" s="191"/>
      <c r="DC37" s="191"/>
      <c r="DD37" s="191"/>
      <c r="DE37" s="191"/>
      <c r="DF37" s="191"/>
      <c r="DG37" s="191"/>
      <c r="DH37" s="191"/>
      <c r="DI37" s="191"/>
      <c r="DJ37" s="191"/>
      <c r="DK37" s="191"/>
      <c r="DL37" s="191"/>
      <c r="DM37" s="191"/>
      <c r="DN37" s="191"/>
      <c r="DO37" s="191"/>
      <c r="DP37" s="191"/>
      <c r="DQ37" s="191"/>
      <c r="DR37" s="191"/>
      <c r="DS37" s="191"/>
      <c r="DT37" s="191"/>
      <c r="DU37" s="191"/>
      <c r="DV37" s="191"/>
      <c r="DW37" s="191"/>
      <c r="DX37" s="191"/>
      <c r="DY37" s="191"/>
      <c r="DZ37" s="191"/>
      <c r="EA37" s="191"/>
      <c r="EB37" s="191"/>
      <c r="EC37" s="191"/>
      <c r="ED37" s="191"/>
      <c r="EE37" s="191"/>
      <c r="EF37" s="191"/>
      <c r="EG37" s="191"/>
      <c r="EH37" s="191"/>
      <c r="EI37" s="191"/>
      <c r="EJ37" s="191"/>
      <c r="EK37" s="191"/>
      <c r="EL37" s="191"/>
      <c r="EM37" s="191"/>
      <c r="EN37" s="191"/>
      <c r="EO37" s="191"/>
      <c r="EP37" s="191"/>
      <c r="EQ37" s="191"/>
      <c r="ER37" s="191"/>
      <c r="ES37" s="191"/>
      <c r="ET37" s="191"/>
      <c r="EU37" s="191"/>
      <c r="EV37" s="191"/>
      <c r="EW37" s="191"/>
      <c r="EX37" s="191"/>
      <c r="EY37" s="191"/>
      <c r="EZ37" s="191"/>
      <c r="FA37" s="191"/>
      <c r="FB37" s="191"/>
      <c r="FC37" s="191"/>
      <c r="FD37" s="191"/>
      <c r="FE37" s="191"/>
      <c r="FF37" s="191"/>
      <c r="FG37" s="191"/>
      <c r="FH37" s="191"/>
      <c r="FI37" s="191"/>
      <c r="FJ37" s="191"/>
      <c r="FK37" s="191"/>
      <c r="FL37" s="191"/>
      <c r="FM37" s="191"/>
      <c r="FN37" s="191"/>
      <c r="FO37" s="191"/>
      <c r="FP37" s="191"/>
      <c r="FQ37" s="191"/>
      <c r="FR37" s="191"/>
      <c r="FS37" s="191"/>
      <c r="FT37" s="191"/>
      <c r="FU37" s="191"/>
      <c r="FV37" s="191"/>
      <c r="FW37" s="191"/>
      <c r="FX37" s="191"/>
      <c r="FY37" s="191"/>
      <c r="FZ37" s="191"/>
      <c r="GA37" s="191"/>
      <c r="GB37" s="191"/>
      <c r="GC37" s="191"/>
      <c r="GD37" s="191"/>
      <c r="GE37" s="191"/>
      <c r="GF37" s="191"/>
      <c r="GG37" s="191"/>
      <c r="GH37" s="191"/>
      <c r="GI37" s="191"/>
      <c r="GJ37" s="191"/>
      <c r="GK37" s="191"/>
      <c r="GL37" s="191"/>
      <c r="GM37" s="191"/>
      <c r="GN37" s="191"/>
      <c r="GO37" s="191"/>
      <c r="GP37" s="191"/>
      <c r="GQ37" s="191"/>
      <c r="GR37" s="191"/>
      <c r="GS37" s="191"/>
      <c r="GT37" s="191"/>
      <c r="GU37" s="191"/>
      <c r="GV37" s="191"/>
      <c r="GW37" s="191"/>
      <c r="GX37" s="191"/>
      <c r="GY37" s="191"/>
      <c r="GZ37" s="191"/>
      <c r="HA37" s="191"/>
      <c r="HB37" s="191"/>
      <c r="HC37" s="191"/>
      <c r="HD37" s="191"/>
      <c r="HE37" s="191"/>
      <c r="HF37" s="191"/>
      <c r="HG37" s="191"/>
      <c r="HH37" s="191"/>
      <c r="HI37" s="191"/>
      <c r="HJ37" s="191"/>
      <c r="HK37" s="191"/>
      <c r="HL37" s="191"/>
      <c r="HM37" s="191"/>
      <c r="HN37" s="191"/>
      <c r="HO37" s="191"/>
      <c r="HP37" s="191"/>
      <c r="HQ37" s="191"/>
      <c r="HR37" s="191"/>
      <c r="HS37" s="191"/>
      <c r="HT37" s="191"/>
      <c r="HU37" s="191"/>
      <c r="HV37" s="191"/>
      <c r="HW37" s="191"/>
      <c r="HX37" s="191"/>
      <c r="HY37" s="191"/>
      <c r="HZ37" s="191"/>
      <c r="IA37" s="191"/>
      <c r="IB37" s="191"/>
      <c r="IC37" s="191"/>
      <c r="ID37" s="191"/>
      <c r="IE37" s="191"/>
      <c r="IF37" s="191"/>
      <c r="IG37" s="191"/>
      <c r="IH37" s="191"/>
      <c r="II37" s="191"/>
      <c r="IJ37" s="191"/>
      <c r="IK37" s="191"/>
      <c r="IL37" s="191"/>
      <c r="IM37" s="191"/>
      <c r="IN37" s="191"/>
      <c r="IO37" s="191"/>
      <c r="IP37" s="191"/>
      <c r="IQ37" s="191"/>
      <c r="IR37" s="191"/>
      <c r="IS37" s="191"/>
      <c r="IT37" s="191"/>
      <c r="IU37" s="191"/>
      <c r="IV37" s="191"/>
    </row>
    <row r="38" spans="1:256" s="249" customFormat="1">
      <c r="A38" s="264" t="s">
        <v>3997</v>
      </c>
      <c r="B38" s="272" t="s">
        <v>3998</v>
      </c>
      <c r="C38" s="260"/>
      <c r="D38" s="260"/>
      <c r="E38" s="261"/>
      <c r="F38" s="262"/>
      <c r="G38" s="260"/>
      <c r="H38" s="263"/>
      <c r="I38" s="264"/>
      <c r="K38" s="250"/>
      <c r="L38" s="250"/>
      <c r="M38" s="250"/>
      <c r="N38" s="250"/>
      <c r="O38" s="250"/>
      <c r="P38" s="250"/>
      <c r="Q38" s="250"/>
      <c r="R38" s="250"/>
      <c r="S38" s="250"/>
    </row>
    <row r="39" spans="1:256" s="249" customFormat="1">
      <c r="A39" s="264" t="s">
        <v>3999</v>
      </c>
      <c r="B39" s="272" t="s">
        <v>163</v>
      </c>
      <c r="C39" s="276" t="e">
        <f>IF('B THKP'!$C$154="DD",HLOOKUP(E39,DTXD,2,0),IF('B THKP'!$C$154="CN",HLOOKUP(E39,DTXD,3,0),IF('B THKP'!$C$154="GT",HLOOKUP(E39,DTXD,4,0),IF('B THKP'!$C$154="TL",HLOOKUP(E39,DTXD,5,0),IF('B THKP'!$C$154="HTKT",HLOOKUP(E39,DTXD,6,0))))))</f>
        <v>#REF!</v>
      </c>
      <c r="D39" s="276" t="e">
        <f>IF('B THKP'!$C$154="DD",HLOOKUP(F39,DTXD,2,0),IF('B THKP'!$C$154="CN",HLOOKUP(F39,DTXD,3,0),IF('B THKP'!$C$154="GT",HLOOKUP(F39,DTXD,4,0),IF('B THKP'!$C$154="TL",HLOOKUP(F39,DTXD,5,0),IF('B THKP'!$C$154="HTKT",HLOOKUP(F39,DTXD,6,0))))))</f>
        <v>#REF!</v>
      </c>
      <c r="E39" s="277" t="e">
        <f>IF(AND(G39&gt;=100,G39&lt;200),100,IF(AND(G39&gt;=200,G39&lt;500),200,IF(AND(G39&gt;=500,G39&lt;1000),500,IF(AND(G39&gt;=1000,G39&lt;2000),1000,IF(AND(G39&gt;=2000,G39&lt;5000),2000,IF(AND(G39&gt;=5000,G39&lt;8000),5000,IF(G39&gt;=8000,8000,IF(G39&lt;100,AA39))))))))</f>
        <v>#REF!</v>
      </c>
      <c r="F39" s="277" t="e">
        <f>IF(AND(G39&gt;=100,G39&lt;200),200,IF(AND(G39&gt;=200,G39&lt;500),500,IF(AND(G39&gt;=500,G39&lt;1000),1000,IF(AND(G39&gt;=1000,G39&lt;2000),2000,IF(AND(G39&gt;=2000,G39&lt;5000),5000,IF(AND(G39&gt;=5000,G39&lt;8000),8000,IF(G39&gt;=8000,8000,IF(G39&lt;100,AB39))))))))</f>
        <v>#REF!</v>
      </c>
      <c r="G39" s="278" t="e">
        <f>(GTT+'B THKP'!P13*0)*10^-9</f>
        <v>#REF!</v>
      </c>
      <c r="H39" s="279" t="e">
        <f>IF(OR(E39-G39=0,E39=F39),C39,C39-((C39-D39)/(F39-E39)*(G39-E39)))</f>
        <v>#REF!</v>
      </c>
      <c r="I39" s="280" t="e">
        <f>ROUND(H39,4)</f>
        <v>#REF!</v>
      </c>
      <c r="J39" s="280"/>
      <c r="K39" s="282"/>
      <c r="L39" s="282"/>
      <c r="M39" s="282"/>
      <c r="N39" s="282"/>
      <c r="O39" s="282"/>
      <c r="P39" s="282"/>
      <c r="Q39" s="282"/>
      <c r="R39" s="282"/>
      <c r="S39" s="282"/>
      <c r="T39" s="283"/>
      <c r="U39" s="191"/>
      <c r="V39" s="191"/>
      <c r="W39" s="191"/>
      <c r="X39" s="191"/>
      <c r="Y39" s="191"/>
      <c r="Z39" s="191"/>
      <c r="AA39" s="191" t="e">
        <f>IF(G39&lt;=10,10,IF(AND(G39&gt;10,G39&lt;20),10,IF(AND(G39&gt;=20,G39&lt;50),20,IF(AND(G39&gt;=50,G39&lt;100),50))))</f>
        <v>#REF!</v>
      </c>
      <c r="AB39" s="191" t="e">
        <f>IF(G39&lt;=10,10,IF(AND(G39&gt;10,G39&lt;20),20,IF(AND(G39&gt;=20,G39&lt;50),50,IF(AND(G39&gt;=50,G39&lt;100),100))))</f>
        <v>#REF!</v>
      </c>
      <c r="AC39" s="191"/>
      <c r="AD39" s="191"/>
      <c r="AE39" s="191"/>
      <c r="AF39" s="191"/>
      <c r="AG39" s="191"/>
      <c r="AH39" s="191"/>
      <c r="AI39" s="191"/>
      <c r="AJ39" s="191"/>
      <c r="AK39" s="191"/>
      <c r="AL39" s="191"/>
      <c r="AM39" s="191"/>
      <c r="AN39" s="191"/>
      <c r="AO39" s="191"/>
      <c r="AP39" s="191"/>
      <c r="AQ39" s="191"/>
      <c r="AR39" s="191"/>
      <c r="AS39" s="191"/>
      <c r="AT39" s="191"/>
      <c r="AU39" s="191"/>
      <c r="AV39" s="191"/>
      <c r="AW39" s="191"/>
      <c r="AX39" s="191"/>
      <c r="AY39" s="191"/>
      <c r="AZ39" s="191"/>
      <c r="BA39" s="191"/>
      <c r="BB39" s="191"/>
      <c r="BC39" s="191"/>
      <c r="BD39" s="191"/>
      <c r="BE39" s="191"/>
      <c r="BF39" s="191"/>
      <c r="BG39" s="191"/>
      <c r="BH39" s="191"/>
      <c r="BI39" s="191"/>
      <c r="BJ39" s="191"/>
      <c r="BK39" s="191"/>
      <c r="BL39" s="191"/>
      <c r="BM39" s="191"/>
      <c r="BN39" s="191"/>
      <c r="BO39" s="191"/>
      <c r="BP39" s="191"/>
      <c r="BQ39" s="191"/>
      <c r="BR39" s="191"/>
      <c r="BS39" s="191"/>
      <c r="BT39" s="191"/>
      <c r="BU39" s="191"/>
      <c r="BV39" s="191"/>
      <c r="BW39" s="191"/>
      <c r="BX39" s="191"/>
      <c r="BY39" s="191"/>
      <c r="BZ39" s="191"/>
      <c r="CA39" s="191"/>
      <c r="CB39" s="191"/>
      <c r="CC39" s="191"/>
      <c r="CD39" s="191"/>
      <c r="CE39" s="191"/>
      <c r="CF39" s="191"/>
      <c r="CG39" s="191"/>
      <c r="CH39" s="191"/>
      <c r="CI39" s="191"/>
      <c r="CJ39" s="191"/>
      <c r="CK39" s="191"/>
      <c r="CL39" s="191"/>
      <c r="CM39" s="191"/>
      <c r="CN39" s="191"/>
      <c r="CO39" s="191"/>
      <c r="CP39" s="191"/>
      <c r="CQ39" s="191"/>
      <c r="CR39" s="191"/>
      <c r="CS39" s="191"/>
      <c r="CT39" s="191"/>
      <c r="CU39" s="191"/>
      <c r="CV39" s="191"/>
      <c r="CW39" s="191"/>
      <c r="CX39" s="191"/>
      <c r="CY39" s="191"/>
      <c r="CZ39" s="191"/>
      <c r="DA39" s="191"/>
      <c r="DB39" s="191"/>
      <c r="DC39" s="191"/>
      <c r="DD39" s="191"/>
      <c r="DE39" s="191"/>
      <c r="DF39" s="191"/>
      <c r="DG39" s="191"/>
      <c r="DH39" s="191"/>
      <c r="DI39" s="191"/>
      <c r="DJ39" s="191"/>
      <c r="DK39" s="191"/>
      <c r="DL39" s="191"/>
      <c r="DM39" s="191"/>
      <c r="DN39" s="191"/>
      <c r="DO39" s="191"/>
      <c r="DP39" s="191"/>
      <c r="DQ39" s="191"/>
      <c r="DR39" s="191"/>
      <c r="DS39" s="191"/>
      <c r="DT39" s="191"/>
      <c r="DU39" s="191"/>
      <c r="DV39" s="191"/>
      <c r="DW39" s="191"/>
      <c r="DX39" s="191"/>
      <c r="DY39" s="191"/>
      <c r="DZ39" s="191"/>
      <c r="EA39" s="191"/>
      <c r="EB39" s="191"/>
      <c r="EC39" s="191"/>
      <c r="ED39" s="191"/>
      <c r="EE39" s="191"/>
      <c r="EF39" s="191"/>
      <c r="EG39" s="191"/>
      <c r="EH39" s="191"/>
      <c r="EI39" s="191"/>
      <c r="EJ39" s="191"/>
      <c r="EK39" s="191"/>
      <c r="EL39" s="191"/>
      <c r="EM39" s="191"/>
      <c r="EN39" s="191"/>
      <c r="EO39" s="191"/>
      <c r="EP39" s="191"/>
      <c r="EQ39" s="191"/>
      <c r="ER39" s="191"/>
      <c r="ES39" s="191"/>
      <c r="ET39" s="191"/>
      <c r="EU39" s="191"/>
      <c r="EV39" s="191"/>
      <c r="EW39" s="191"/>
      <c r="EX39" s="191"/>
      <c r="EY39" s="191"/>
      <c r="EZ39" s="191"/>
      <c r="FA39" s="191"/>
      <c r="FB39" s="191"/>
      <c r="FC39" s="191"/>
      <c r="FD39" s="191"/>
      <c r="FE39" s="191"/>
      <c r="FF39" s="191"/>
      <c r="FG39" s="191"/>
      <c r="FH39" s="191"/>
      <c r="FI39" s="191"/>
      <c r="FJ39" s="191"/>
      <c r="FK39" s="191"/>
      <c r="FL39" s="191"/>
      <c r="FM39" s="191"/>
      <c r="FN39" s="191"/>
      <c r="FO39" s="191"/>
      <c r="FP39" s="191"/>
      <c r="FQ39" s="191"/>
      <c r="FR39" s="191"/>
      <c r="FS39" s="191"/>
      <c r="FT39" s="191"/>
      <c r="FU39" s="191"/>
      <c r="FV39" s="191"/>
      <c r="FW39" s="191"/>
      <c r="FX39" s="191"/>
      <c r="FY39" s="191"/>
      <c r="FZ39" s="191"/>
      <c r="GA39" s="191"/>
      <c r="GB39" s="191"/>
      <c r="GC39" s="191"/>
      <c r="GD39" s="191"/>
      <c r="GE39" s="191"/>
      <c r="GF39" s="191"/>
      <c r="GG39" s="191"/>
      <c r="GH39" s="191"/>
      <c r="GI39" s="191"/>
      <c r="GJ39" s="191"/>
      <c r="GK39" s="191"/>
      <c r="GL39" s="191"/>
      <c r="GM39" s="191"/>
      <c r="GN39" s="191"/>
      <c r="GO39" s="191"/>
      <c r="GP39" s="191"/>
      <c r="GQ39" s="191"/>
      <c r="GR39" s="191"/>
      <c r="GS39" s="191"/>
      <c r="GT39" s="191"/>
      <c r="GU39" s="191"/>
      <c r="GV39" s="191"/>
      <c r="GW39" s="191"/>
      <c r="GX39" s="191"/>
      <c r="GY39" s="191"/>
      <c r="GZ39" s="191"/>
      <c r="HA39" s="191"/>
      <c r="HB39" s="191"/>
      <c r="HC39" s="191"/>
      <c r="HD39" s="191"/>
      <c r="HE39" s="191"/>
      <c r="HF39" s="191"/>
      <c r="HG39" s="191"/>
      <c r="HH39" s="191"/>
      <c r="HI39" s="191"/>
      <c r="HJ39" s="191"/>
      <c r="HK39" s="191"/>
      <c r="HL39" s="191"/>
      <c r="HM39" s="191"/>
      <c r="HN39" s="191"/>
      <c r="HO39" s="191"/>
      <c r="HP39" s="191"/>
      <c r="HQ39" s="191"/>
      <c r="HR39" s="191"/>
      <c r="HS39" s="191"/>
      <c r="HT39" s="191"/>
      <c r="HU39" s="191"/>
      <c r="HV39" s="191"/>
      <c r="HW39" s="191"/>
      <c r="HX39" s="191"/>
      <c r="HY39" s="191"/>
      <c r="HZ39" s="191"/>
      <c r="IA39" s="191"/>
      <c r="IB39" s="191"/>
      <c r="IC39" s="191"/>
      <c r="ID39" s="191"/>
      <c r="IE39" s="191"/>
      <c r="IF39" s="191"/>
      <c r="IG39" s="191"/>
      <c r="IH39" s="191"/>
      <c r="II39" s="191"/>
      <c r="IJ39" s="191"/>
      <c r="IK39" s="191"/>
      <c r="IL39" s="191"/>
      <c r="IM39" s="191"/>
      <c r="IN39" s="191"/>
      <c r="IO39" s="191"/>
      <c r="IP39" s="191"/>
      <c r="IQ39" s="191"/>
      <c r="IR39" s="191"/>
      <c r="IS39" s="191"/>
      <c r="IT39" s="191"/>
      <c r="IU39" s="191"/>
      <c r="IV39" s="191"/>
    </row>
    <row r="40" spans="1:256" s="249" customFormat="1">
      <c r="A40" s="264" t="s">
        <v>4000</v>
      </c>
      <c r="B40" s="272" t="s">
        <v>4001</v>
      </c>
      <c r="C40" s="276" t="e">
        <f>IF('B THKP'!$C$154="DD",HLOOKUP(E40,DTTB,2,0),IF('B THKP'!$C$154="CN",HLOOKUP(E40,DTTB,3,0),IF('B THKP'!$C$154="GT",HLOOKUP(E40,DTTB,4,0),IF('B THKP'!$C$154="TL",HLOOKUP(E40,DTTB,5,0),IF('B THKP'!$C$154="HTKT",HLOOKUP(E40,DTTB,6,0))))))</f>
        <v>#REF!</v>
      </c>
      <c r="D40" s="276" t="e">
        <f>IF('B THKP'!$C$154="DD",HLOOKUP(F40,DTTB,2,0),IF('B THKP'!$C$154="CN",HLOOKUP(F40,DTTB,3,0),IF('B THKP'!$C$154="GT",HLOOKUP(F40,DTTB,4,0),IF('B THKP'!$C$154="TL",HLOOKUP(F40,DTTB,5,0),IF('B THKP'!$C$154="HTKT",HLOOKUP(F40,DTTB,6,0))))))</f>
        <v>#REF!</v>
      </c>
      <c r="E40" s="277" t="e">
        <f>IF(AND(G40&gt;=100,G40&lt;200),100,IF(AND(G40&gt;=200,G40&lt;500),200,IF(AND(G40&gt;=500,G40&lt;1000),500,IF(AND(G40&gt;=1000,G40&lt;2000),1000,IF(AND(G40&gt;=2000,G40&lt;5000),2000,IF(AND(G40&gt;=5000,G40&lt;10000),5000,IF(G40&gt;=8000,8000,IF(G40&lt;100,AA40))))))))</f>
        <v>#REF!</v>
      </c>
      <c r="F40" s="277" t="e">
        <f>IF(AND(G40&gt;=100,G40&lt;200),200,IF(AND(G40&gt;=200,G40&lt;500),500,IF(AND(G40&gt;=500,G40&lt;1000),1000,IF(AND(G40&gt;=1000,G40&lt;2000),2000,IF(AND(G40&gt;=2000,G40&lt;5000),5000,IF(AND(G40&gt;=5000,G40&lt;8000),8000,IF(G40&gt;=8000,8000,IF(G40&lt;100,AB40))))))))</f>
        <v>#REF!</v>
      </c>
      <c r="G40" s="278" t="e">
        <f>TBL*10^-9</f>
        <v>#REF!</v>
      </c>
      <c r="H40" s="279" t="e">
        <f>IF(OR(E40-G40=0,E40=F40),C40,C40-((C40-D40)/(F40-E40)*(G40-E40)))</f>
        <v>#REF!</v>
      </c>
      <c r="I40" s="280" t="e">
        <f>ROUND(H40,4)</f>
        <v>#REF!</v>
      </c>
      <c r="J40" s="280"/>
      <c r="K40" s="282"/>
      <c r="L40" s="282"/>
      <c r="M40" s="282"/>
      <c r="N40" s="282"/>
      <c r="O40" s="282"/>
      <c r="P40" s="282"/>
      <c r="Q40" s="282"/>
      <c r="R40" s="282"/>
      <c r="S40" s="282"/>
      <c r="T40" s="283"/>
      <c r="U40" s="191"/>
      <c r="V40" s="191"/>
      <c r="W40" s="191"/>
      <c r="X40" s="191"/>
      <c r="Y40" s="191"/>
      <c r="Z40" s="191"/>
      <c r="AA40" s="191" t="e">
        <f>IF(G40&lt;=10,10,IF(AND(G40&gt;10,G40&lt;20),10,IF(AND(G40&gt;=20,G40&lt;50),20,IF(AND(G40&gt;=50,G40&lt;100),50))))</f>
        <v>#REF!</v>
      </c>
      <c r="AB40" s="191" t="e">
        <f>IF(G40&lt;=10,10,IF(AND(G40&gt;10,G40&lt;20),20,IF(AND(G40&gt;=20,G40&lt;50),50,IF(AND(G40&gt;=50,G40&lt;100),100))))</f>
        <v>#REF!</v>
      </c>
      <c r="AC40" s="191"/>
      <c r="AD40" s="191"/>
      <c r="AE40" s="191"/>
      <c r="AF40" s="191"/>
      <c r="AG40" s="191"/>
      <c r="AH40" s="191"/>
      <c r="AI40" s="191"/>
      <c r="AJ40" s="191"/>
      <c r="AK40" s="191"/>
      <c r="AL40" s="191"/>
      <c r="AM40" s="191"/>
      <c r="AN40" s="191"/>
      <c r="AO40" s="191"/>
      <c r="AP40" s="191"/>
      <c r="AQ40" s="191"/>
      <c r="AR40" s="191"/>
      <c r="AS40" s="191"/>
      <c r="AT40" s="191"/>
      <c r="AU40" s="191"/>
      <c r="AV40" s="191"/>
      <c r="AW40" s="191"/>
      <c r="AX40" s="191"/>
      <c r="AY40" s="191"/>
      <c r="AZ40" s="191"/>
      <c r="BA40" s="191"/>
      <c r="BB40" s="191"/>
      <c r="BC40" s="191"/>
      <c r="BD40" s="191"/>
      <c r="BE40" s="191"/>
      <c r="BF40" s="191"/>
      <c r="BG40" s="191"/>
      <c r="BH40" s="191"/>
      <c r="BI40" s="191"/>
      <c r="BJ40" s="191"/>
      <c r="BK40" s="191"/>
      <c r="BL40" s="191"/>
      <c r="BM40" s="191"/>
      <c r="BN40" s="191"/>
      <c r="BO40" s="191"/>
      <c r="BP40" s="191"/>
      <c r="BQ40" s="191"/>
      <c r="BR40" s="191"/>
      <c r="BS40" s="191"/>
      <c r="BT40" s="191"/>
      <c r="BU40" s="191"/>
      <c r="BV40" s="191"/>
      <c r="BW40" s="191"/>
      <c r="BX40" s="191"/>
      <c r="BY40" s="191"/>
      <c r="BZ40" s="191"/>
      <c r="CA40" s="191"/>
      <c r="CB40" s="191"/>
      <c r="CC40" s="191"/>
      <c r="CD40" s="191"/>
      <c r="CE40" s="191"/>
      <c r="CF40" s="191"/>
      <c r="CG40" s="191"/>
      <c r="CH40" s="191"/>
      <c r="CI40" s="191"/>
      <c r="CJ40" s="191"/>
      <c r="CK40" s="191"/>
      <c r="CL40" s="191"/>
      <c r="CM40" s="191"/>
      <c r="CN40" s="191"/>
      <c r="CO40" s="191"/>
      <c r="CP40" s="191"/>
      <c r="CQ40" s="191"/>
      <c r="CR40" s="191"/>
      <c r="CS40" s="191"/>
      <c r="CT40" s="191"/>
      <c r="CU40" s="191"/>
      <c r="CV40" s="191"/>
      <c r="CW40" s="191"/>
      <c r="CX40" s="191"/>
      <c r="CY40" s="191"/>
      <c r="CZ40" s="191"/>
      <c r="DA40" s="191"/>
      <c r="DB40" s="191"/>
      <c r="DC40" s="191"/>
      <c r="DD40" s="191"/>
      <c r="DE40" s="191"/>
      <c r="DF40" s="191"/>
      <c r="DG40" s="191"/>
      <c r="DH40" s="191"/>
      <c r="DI40" s="191"/>
      <c r="DJ40" s="191"/>
      <c r="DK40" s="191"/>
      <c r="DL40" s="191"/>
      <c r="DM40" s="191"/>
      <c r="DN40" s="191"/>
      <c r="DO40" s="191"/>
      <c r="DP40" s="191"/>
      <c r="DQ40" s="191"/>
      <c r="DR40" s="191"/>
      <c r="DS40" s="191"/>
      <c r="DT40" s="191"/>
      <c r="DU40" s="191"/>
      <c r="DV40" s="191"/>
      <c r="DW40" s="191"/>
      <c r="DX40" s="191"/>
      <c r="DY40" s="191"/>
      <c r="DZ40" s="191"/>
      <c r="EA40" s="191"/>
      <c r="EB40" s="191"/>
      <c r="EC40" s="191"/>
      <c r="ED40" s="191"/>
      <c r="EE40" s="191"/>
      <c r="EF40" s="191"/>
      <c r="EG40" s="191"/>
      <c r="EH40" s="191"/>
      <c r="EI40" s="191"/>
      <c r="EJ40" s="191"/>
      <c r="EK40" s="191"/>
      <c r="EL40" s="191"/>
      <c r="EM40" s="191"/>
      <c r="EN40" s="191"/>
      <c r="EO40" s="191"/>
      <c r="EP40" s="191"/>
      <c r="EQ40" s="191"/>
      <c r="ER40" s="191"/>
      <c r="ES40" s="191"/>
      <c r="ET40" s="191"/>
      <c r="EU40" s="191"/>
      <c r="EV40" s="191"/>
      <c r="EW40" s="191"/>
      <c r="EX40" s="191"/>
      <c r="EY40" s="191"/>
      <c r="EZ40" s="191"/>
      <c r="FA40" s="191"/>
      <c r="FB40" s="191"/>
      <c r="FC40" s="191"/>
      <c r="FD40" s="191"/>
      <c r="FE40" s="191"/>
      <c r="FF40" s="191"/>
      <c r="FG40" s="191"/>
      <c r="FH40" s="191"/>
      <c r="FI40" s="191"/>
      <c r="FJ40" s="191"/>
      <c r="FK40" s="191"/>
      <c r="FL40" s="191"/>
      <c r="FM40" s="191"/>
      <c r="FN40" s="191"/>
      <c r="FO40" s="191"/>
      <c r="FP40" s="191"/>
      <c r="FQ40" s="191"/>
      <c r="FR40" s="191"/>
      <c r="FS40" s="191"/>
      <c r="FT40" s="191"/>
      <c r="FU40" s="191"/>
      <c r="FV40" s="191"/>
      <c r="FW40" s="191"/>
      <c r="FX40" s="191"/>
      <c r="FY40" s="191"/>
      <c r="FZ40" s="191"/>
      <c r="GA40" s="191"/>
      <c r="GB40" s="191"/>
      <c r="GC40" s="191"/>
      <c r="GD40" s="191"/>
      <c r="GE40" s="191"/>
      <c r="GF40" s="191"/>
      <c r="GG40" s="191"/>
      <c r="GH40" s="191"/>
      <c r="GI40" s="191"/>
      <c r="GJ40" s="191"/>
      <c r="GK40" s="191"/>
      <c r="GL40" s="191"/>
      <c r="GM40" s="191"/>
      <c r="GN40" s="191"/>
      <c r="GO40" s="191"/>
      <c r="GP40" s="191"/>
      <c r="GQ40" s="191"/>
      <c r="GR40" s="191"/>
      <c r="GS40" s="191"/>
      <c r="GT40" s="191"/>
      <c r="GU40" s="191"/>
      <c r="GV40" s="191"/>
      <c r="GW40" s="191"/>
      <c r="GX40" s="191"/>
      <c r="GY40" s="191"/>
      <c r="GZ40" s="191"/>
      <c r="HA40" s="191"/>
      <c r="HB40" s="191"/>
      <c r="HC40" s="191"/>
      <c r="HD40" s="191"/>
      <c r="HE40" s="191"/>
      <c r="HF40" s="191"/>
      <c r="HG40" s="191"/>
      <c r="HH40" s="191"/>
      <c r="HI40" s="191"/>
      <c r="HJ40" s="191"/>
      <c r="HK40" s="191"/>
      <c r="HL40" s="191"/>
      <c r="HM40" s="191"/>
      <c r="HN40" s="191"/>
      <c r="HO40" s="191"/>
      <c r="HP40" s="191"/>
      <c r="HQ40" s="191"/>
      <c r="HR40" s="191"/>
      <c r="HS40" s="191"/>
      <c r="HT40" s="191"/>
      <c r="HU40" s="191"/>
      <c r="HV40" s="191"/>
      <c r="HW40" s="191"/>
      <c r="HX40" s="191"/>
      <c r="HY40" s="191"/>
      <c r="HZ40" s="191"/>
      <c r="IA40" s="191"/>
      <c r="IB40" s="191"/>
      <c r="IC40" s="191"/>
      <c r="ID40" s="191"/>
      <c r="IE40" s="191"/>
      <c r="IF40" s="191"/>
      <c r="IG40" s="191"/>
      <c r="IH40" s="191"/>
      <c r="II40" s="191"/>
      <c r="IJ40" s="191"/>
      <c r="IK40" s="191"/>
      <c r="IL40" s="191"/>
      <c r="IM40" s="191"/>
      <c r="IN40" s="191"/>
      <c r="IO40" s="191"/>
      <c r="IP40" s="191"/>
      <c r="IQ40" s="191"/>
      <c r="IR40" s="191"/>
      <c r="IS40" s="191"/>
      <c r="IT40" s="191"/>
      <c r="IU40" s="191"/>
      <c r="IV40" s="191"/>
    </row>
    <row r="41" spans="1:256" s="249" customFormat="1">
      <c r="A41" s="264" t="s">
        <v>4002</v>
      </c>
      <c r="B41" s="272" t="s">
        <v>4003</v>
      </c>
      <c r="C41" s="276" t="e">
        <f>IF('B THKP'!$C$154="DD",HLOOKUP(E41,GSXD,2,0),IF('B THKP'!$C$154="CN",HLOOKUP(E41,GSXD,3,0),IF('B THKP'!$C$154="GT",HLOOKUP(E41,GSXD,4,0),IF('B THKP'!$C$154="TL",HLOOKUP(E41,GSXD,5,0),IF('B THKP'!$C$154="HTKT",HLOOKUP(E41,GSXD,6,0))))))</f>
        <v>#REF!</v>
      </c>
      <c r="D41" s="276" t="e">
        <f>IF('B THKP'!$C$154="DD",HLOOKUP(F41,GSXD,2,0),IF('B THKP'!$C$154="CN",HLOOKUP(F41,GSXD,3,0),IF('B THKP'!$C$154="GT",HLOOKUP(F41,GSXD,4,0),IF('B THKP'!$C$154="TL",HLOOKUP(F41,GSXD,5,0),IF('B THKP'!$C$154="HTKT",HLOOKUP(F41,GSXD,6,0))))))</f>
        <v>#REF!</v>
      </c>
      <c r="E41" s="277" t="e">
        <f>IF(AND(G41&gt;=100,G41&lt;200),100,IF(AND(G41&gt;=200,G41&lt;500),200,IF(AND(G41&gt;=500,G41&lt;1000),500,IF(AND(G41&gt;=1000,G41&lt;2000),1000,IF(AND(G41&gt;=2000,G41&lt;5000),2000,IF(AND(G41&gt;=5000,G41&lt;8000),5000,IF(G41&gt;=8000,8000,IF(G41&lt;100,AA41))))))))</f>
        <v>#REF!</v>
      </c>
      <c r="F41" s="277" t="e">
        <f>IF(AND(G41&gt;=100,G41&lt;200),200,IF(AND(G41&gt;=200,G41&lt;500),500,IF(AND(G41&gt;=500,G41&lt;1000),1000,IF(AND(G41&gt;=1000,G41&lt;2000),2000,IF(AND(G41&gt;=2000,G41&lt;5000),5000,IF(AND(G41&gt;=5000,G41&lt;8000),8000,IF(G41&gt;=8000,8000,IF(G41&lt;100,AB41))))))))</f>
        <v>#REF!</v>
      </c>
      <c r="G41" s="278" t="e">
        <f>(GTT+'B THKP'!P13*0)*10^-9</f>
        <v>#REF!</v>
      </c>
      <c r="H41" s="279" t="e">
        <f>IF(OR(E41-G41=0,E41=F41),C41,C41-((C41-D41)/(F41-E41)*(G41-E41)))</f>
        <v>#REF!</v>
      </c>
      <c r="I41" s="280" t="e">
        <f>ROUND(H41,4)</f>
        <v>#REF!</v>
      </c>
      <c r="J41" s="280"/>
      <c r="K41" s="282"/>
      <c r="L41" s="282"/>
      <c r="M41" s="282"/>
      <c r="N41" s="282"/>
      <c r="O41" s="282"/>
      <c r="P41" s="282"/>
      <c r="Q41" s="282"/>
      <c r="R41" s="282"/>
      <c r="S41" s="282"/>
      <c r="T41" s="283"/>
      <c r="U41" s="191"/>
      <c r="V41" s="191"/>
      <c r="W41" s="191"/>
      <c r="X41" s="191"/>
      <c r="Y41" s="191"/>
      <c r="Z41" s="191"/>
      <c r="AA41" s="191" t="e">
        <f>IF(G41&lt;=10,10,IF(AND(G41&gt;10,G41&lt;20),10,IF(AND(G41&gt;=20,G41&lt;50),20,IF(AND(G41&gt;=50,G41&lt;100),50))))</f>
        <v>#REF!</v>
      </c>
      <c r="AB41" s="191" t="e">
        <f>IF(G41&lt;=10,10,IF(AND(G41&gt;10,G41&lt;20),20,IF(AND(G41&gt;=20,G41&lt;50),50,IF(AND(G41&gt;=50,G41&lt;100),100))))</f>
        <v>#REF!</v>
      </c>
      <c r="AC41" s="191"/>
      <c r="AD41" s="191"/>
      <c r="AE41" s="191"/>
      <c r="AF41" s="191"/>
      <c r="AG41" s="191"/>
      <c r="AH41" s="191"/>
      <c r="AI41" s="191"/>
      <c r="AJ41" s="191"/>
      <c r="AK41" s="191"/>
      <c r="AL41" s="191"/>
      <c r="AM41" s="191"/>
      <c r="AN41" s="191"/>
      <c r="AO41" s="191"/>
      <c r="AP41" s="191"/>
      <c r="AQ41" s="191"/>
      <c r="AR41" s="191"/>
      <c r="AS41" s="191"/>
      <c r="AT41" s="191"/>
      <c r="AU41" s="191"/>
      <c r="AV41" s="191"/>
      <c r="AW41" s="191"/>
      <c r="AX41" s="191"/>
      <c r="AY41" s="191"/>
      <c r="AZ41" s="191"/>
      <c r="BA41" s="191"/>
      <c r="BB41" s="191"/>
      <c r="BC41" s="191"/>
      <c r="BD41" s="191"/>
      <c r="BE41" s="191"/>
      <c r="BF41" s="191"/>
      <c r="BG41" s="191"/>
      <c r="BH41" s="191"/>
      <c r="BI41" s="191"/>
      <c r="BJ41" s="191"/>
      <c r="BK41" s="191"/>
      <c r="BL41" s="191"/>
      <c r="BM41" s="191"/>
      <c r="BN41" s="191"/>
      <c r="BO41" s="191"/>
      <c r="BP41" s="191"/>
      <c r="BQ41" s="191"/>
      <c r="BR41" s="191"/>
      <c r="BS41" s="191"/>
      <c r="BT41" s="191"/>
      <c r="BU41" s="191"/>
      <c r="BV41" s="191"/>
      <c r="BW41" s="191"/>
      <c r="BX41" s="191"/>
      <c r="BY41" s="191"/>
      <c r="BZ41" s="191"/>
      <c r="CA41" s="191"/>
      <c r="CB41" s="191"/>
      <c r="CC41" s="191"/>
      <c r="CD41" s="191"/>
      <c r="CE41" s="191"/>
      <c r="CF41" s="191"/>
      <c r="CG41" s="191"/>
      <c r="CH41" s="191"/>
      <c r="CI41" s="191"/>
      <c r="CJ41" s="191"/>
      <c r="CK41" s="191"/>
      <c r="CL41" s="191"/>
      <c r="CM41" s="191"/>
      <c r="CN41" s="191"/>
      <c r="CO41" s="191"/>
      <c r="CP41" s="191"/>
      <c r="CQ41" s="191"/>
      <c r="CR41" s="191"/>
      <c r="CS41" s="191"/>
      <c r="CT41" s="191"/>
      <c r="CU41" s="191"/>
      <c r="CV41" s="191"/>
      <c r="CW41" s="191"/>
      <c r="CX41" s="191"/>
      <c r="CY41" s="191"/>
      <c r="CZ41" s="191"/>
      <c r="DA41" s="191"/>
      <c r="DB41" s="191"/>
      <c r="DC41" s="191"/>
      <c r="DD41" s="191"/>
      <c r="DE41" s="191"/>
      <c r="DF41" s="191"/>
      <c r="DG41" s="191"/>
      <c r="DH41" s="191"/>
      <c r="DI41" s="191"/>
      <c r="DJ41" s="191"/>
      <c r="DK41" s="191"/>
      <c r="DL41" s="191"/>
      <c r="DM41" s="191"/>
      <c r="DN41" s="191"/>
      <c r="DO41" s="191"/>
      <c r="DP41" s="191"/>
      <c r="DQ41" s="191"/>
      <c r="DR41" s="191"/>
      <c r="DS41" s="191"/>
      <c r="DT41" s="191"/>
      <c r="DU41" s="191"/>
      <c r="DV41" s="191"/>
      <c r="DW41" s="191"/>
      <c r="DX41" s="191"/>
      <c r="DY41" s="191"/>
      <c r="DZ41" s="191"/>
      <c r="EA41" s="191"/>
      <c r="EB41" s="191"/>
      <c r="EC41" s="191"/>
      <c r="ED41" s="191"/>
      <c r="EE41" s="191"/>
      <c r="EF41" s="191"/>
      <c r="EG41" s="191"/>
      <c r="EH41" s="191"/>
      <c r="EI41" s="191"/>
      <c r="EJ41" s="191"/>
      <c r="EK41" s="191"/>
      <c r="EL41" s="191"/>
      <c r="EM41" s="191"/>
      <c r="EN41" s="191"/>
      <c r="EO41" s="191"/>
      <c r="EP41" s="191"/>
      <c r="EQ41" s="191"/>
      <c r="ER41" s="191"/>
      <c r="ES41" s="191"/>
      <c r="ET41" s="191"/>
      <c r="EU41" s="191"/>
      <c r="EV41" s="191"/>
      <c r="EW41" s="191"/>
      <c r="EX41" s="191"/>
      <c r="EY41" s="191"/>
      <c r="EZ41" s="191"/>
      <c r="FA41" s="191"/>
      <c r="FB41" s="191"/>
      <c r="FC41" s="191"/>
      <c r="FD41" s="191"/>
      <c r="FE41" s="191"/>
      <c r="FF41" s="191"/>
      <c r="FG41" s="191"/>
      <c r="FH41" s="191"/>
      <c r="FI41" s="191"/>
      <c r="FJ41" s="191"/>
      <c r="FK41" s="191"/>
      <c r="FL41" s="191"/>
      <c r="FM41" s="191"/>
      <c r="FN41" s="191"/>
      <c r="FO41" s="191"/>
      <c r="FP41" s="191"/>
      <c r="FQ41" s="191"/>
      <c r="FR41" s="191"/>
      <c r="FS41" s="191"/>
      <c r="FT41" s="191"/>
      <c r="FU41" s="191"/>
      <c r="FV41" s="191"/>
      <c r="FW41" s="191"/>
      <c r="FX41" s="191"/>
      <c r="FY41" s="191"/>
      <c r="FZ41" s="191"/>
      <c r="GA41" s="191"/>
      <c r="GB41" s="191"/>
      <c r="GC41" s="191"/>
      <c r="GD41" s="191"/>
      <c r="GE41" s="191"/>
      <c r="GF41" s="191"/>
      <c r="GG41" s="191"/>
      <c r="GH41" s="191"/>
      <c r="GI41" s="191"/>
      <c r="GJ41" s="191"/>
      <c r="GK41" s="191"/>
      <c r="GL41" s="191"/>
      <c r="GM41" s="191"/>
      <c r="GN41" s="191"/>
      <c r="GO41" s="191"/>
      <c r="GP41" s="191"/>
      <c r="GQ41" s="191"/>
      <c r="GR41" s="191"/>
      <c r="GS41" s="191"/>
      <c r="GT41" s="191"/>
      <c r="GU41" s="191"/>
      <c r="GV41" s="191"/>
      <c r="GW41" s="191"/>
      <c r="GX41" s="191"/>
      <c r="GY41" s="191"/>
      <c r="GZ41" s="191"/>
      <c r="HA41" s="191"/>
      <c r="HB41" s="191"/>
      <c r="HC41" s="191"/>
      <c r="HD41" s="191"/>
      <c r="HE41" s="191"/>
      <c r="HF41" s="191"/>
      <c r="HG41" s="191"/>
      <c r="HH41" s="191"/>
      <c r="HI41" s="191"/>
      <c r="HJ41" s="191"/>
      <c r="HK41" s="191"/>
      <c r="HL41" s="191"/>
      <c r="HM41" s="191"/>
      <c r="HN41" s="191"/>
      <c r="HO41" s="191"/>
      <c r="HP41" s="191"/>
      <c r="HQ41" s="191"/>
      <c r="HR41" s="191"/>
      <c r="HS41" s="191"/>
      <c r="HT41" s="191"/>
      <c r="HU41" s="191"/>
      <c r="HV41" s="191"/>
      <c r="HW41" s="191"/>
      <c r="HX41" s="191"/>
      <c r="HY41" s="191"/>
      <c r="HZ41" s="191"/>
      <c r="IA41" s="191"/>
      <c r="IB41" s="191"/>
      <c r="IC41" s="191"/>
      <c r="ID41" s="191"/>
      <c r="IE41" s="191"/>
      <c r="IF41" s="191"/>
      <c r="IG41" s="191"/>
      <c r="IH41" s="191"/>
      <c r="II41" s="191"/>
      <c r="IJ41" s="191"/>
      <c r="IK41" s="191"/>
      <c r="IL41" s="191"/>
      <c r="IM41" s="191"/>
      <c r="IN41" s="191"/>
      <c r="IO41" s="191"/>
      <c r="IP41" s="191"/>
      <c r="IQ41" s="191"/>
      <c r="IR41" s="191"/>
      <c r="IS41" s="191"/>
      <c r="IT41" s="191"/>
      <c r="IU41" s="191"/>
      <c r="IV41" s="191"/>
    </row>
    <row r="42" spans="1:256" s="249" customFormat="1">
      <c r="A42" s="264" t="s">
        <v>4004</v>
      </c>
      <c r="B42" s="287" t="s">
        <v>169</v>
      </c>
      <c r="C42" s="288" t="e">
        <f>IF('B THKP'!$C$154="DD",HLOOKUP(E42,GSTB,2,0),IF('B THKP'!$C$154="CN",HLOOKUP(E42,GSTB,3,0),IF('B THKP'!$C$154="GT",HLOOKUP(E42,GSTB,4,0),IF('B THKP'!$C$154="TL",HLOOKUP(E42,GSTB,5,0),IF('B THKP'!$C$154="HTKT",HLOOKUP(E42,GSTB,6,0))))))</f>
        <v>#REF!</v>
      </c>
      <c r="D42" s="288" t="e">
        <f>IF('B THKP'!$C$154="DD",HLOOKUP(F42,GSTB,2,0),IF('B THKP'!$C$154="CN",HLOOKUP(F42,GSTB,3,0),IF('B THKP'!$C$154="GT",HLOOKUP(F42,GSTB,4,0),IF('B THKP'!$C$154="TL",HLOOKUP(F42,GSTB,5,0),IF('B THKP'!$C$154="HTKT",HLOOKUP(F42,GSTB,6,0))))))</f>
        <v>#REF!</v>
      </c>
      <c r="E42" s="289" t="e">
        <f>IF(AND(G42&gt;=100,G42&lt;200),100,IF(AND(G42&gt;=200,G42&lt;500),200,IF(AND(G42&gt;=500,G42&lt;1000),500,IF(AND(G42&gt;=1000,G42&lt;2000),1000,IF(AND(G42&gt;=2000,G42&lt;5000),2000,IF(AND(G42&gt;=5000,G42&lt;8000),5000,IF(G42&gt;=8000,8000,IF(G42&lt;100,AA42))))))))</f>
        <v>#REF!</v>
      </c>
      <c r="F42" s="289" t="e">
        <f>IF(AND(G42&gt;=100,G42&lt;200),200,IF(AND(G42&gt;=200,G42&lt;500),500,IF(AND(G42&gt;=500,G42&lt;1000),1000,IF(AND(G42&gt;=1000,G42&lt;2000),2000,IF(AND(G42&gt;=2000,G42&lt;5000),5000,IF(AND(G42&gt;=5000,G42&lt;8000),8000,IF(G42&gt;=8000,8000,IF(G42&lt;100,AB42))))))))</f>
        <v>#REF!</v>
      </c>
      <c r="G42" s="290" t="e">
        <f>TBL*10^-9</f>
        <v>#REF!</v>
      </c>
      <c r="H42" s="279" t="e">
        <f>IF(OR(E42-G42=0,E42=F42),C42,C42-((C42-D42)/(F42-E42)*(G42-E42)))</f>
        <v>#REF!</v>
      </c>
      <c r="I42" s="280" t="e">
        <f>ROUND(H42,4)</f>
        <v>#REF!</v>
      </c>
      <c r="J42" s="280"/>
      <c r="K42" s="282"/>
      <c r="L42" s="282"/>
      <c r="M42" s="282"/>
      <c r="N42" s="282"/>
      <c r="O42" s="282"/>
      <c r="P42" s="282"/>
      <c r="Q42" s="282"/>
      <c r="R42" s="282"/>
      <c r="S42" s="282"/>
      <c r="T42" s="283"/>
      <c r="U42" s="191"/>
      <c r="V42" s="191"/>
      <c r="W42" s="191"/>
      <c r="X42" s="191"/>
      <c r="Y42" s="191"/>
      <c r="Z42" s="191"/>
      <c r="AA42" s="191" t="e">
        <f>IF(G42&lt;=10,10,IF(AND(G42&gt;10,G42&lt;20),10,IF(AND(G42&gt;=20,G42&lt;50),20,IF(AND(G42&gt;=50,G42&lt;100),50))))</f>
        <v>#REF!</v>
      </c>
      <c r="AB42" s="191" t="e">
        <f>IF(G42&lt;=10,10,IF(AND(G42&gt;10,G42&lt;20),20,IF(AND(G42&gt;=20,G42&lt;50),50,IF(AND(G42&gt;=50,G42&lt;100),100))))</f>
        <v>#REF!</v>
      </c>
      <c r="AC42" s="191"/>
      <c r="AD42" s="191"/>
      <c r="AE42" s="191"/>
      <c r="AF42" s="191"/>
      <c r="AG42" s="191"/>
      <c r="AH42" s="191"/>
      <c r="AI42" s="191"/>
      <c r="AJ42" s="191"/>
      <c r="AK42" s="191"/>
      <c r="AL42" s="191"/>
      <c r="AM42" s="191"/>
      <c r="AN42" s="191"/>
      <c r="AO42" s="191"/>
      <c r="AP42" s="191"/>
      <c r="AQ42" s="191"/>
      <c r="AR42" s="191"/>
      <c r="AS42" s="191"/>
      <c r="AT42" s="191"/>
      <c r="AU42" s="191"/>
      <c r="AV42" s="191"/>
      <c r="AW42" s="191"/>
      <c r="AX42" s="191"/>
      <c r="AY42" s="191"/>
      <c r="AZ42" s="191"/>
      <c r="BA42" s="191"/>
      <c r="BB42" s="191"/>
      <c r="BC42" s="191"/>
      <c r="BD42" s="191"/>
      <c r="BE42" s="191"/>
      <c r="BF42" s="191"/>
      <c r="BG42" s="191"/>
      <c r="BH42" s="191"/>
      <c r="BI42" s="191"/>
      <c r="BJ42" s="191"/>
      <c r="BK42" s="191"/>
      <c r="BL42" s="191"/>
      <c r="BM42" s="191"/>
      <c r="BN42" s="191"/>
      <c r="BO42" s="191"/>
      <c r="BP42" s="191"/>
      <c r="BQ42" s="191"/>
      <c r="BR42" s="191"/>
      <c r="BS42" s="191"/>
      <c r="BT42" s="191"/>
      <c r="BU42" s="191"/>
      <c r="BV42" s="191"/>
      <c r="BW42" s="191"/>
      <c r="BX42" s="191"/>
      <c r="BY42" s="191"/>
      <c r="BZ42" s="191"/>
      <c r="CA42" s="191"/>
      <c r="CB42" s="191"/>
      <c r="CC42" s="191"/>
      <c r="CD42" s="191"/>
      <c r="CE42" s="191"/>
      <c r="CF42" s="191"/>
      <c r="CG42" s="191"/>
      <c r="CH42" s="191"/>
      <c r="CI42" s="191"/>
      <c r="CJ42" s="191"/>
      <c r="CK42" s="191"/>
      <c r="CL42" s="191"/>
      <c r="CM42" s="191"/>
      <c r="CN42" s="191"/>
      <c r="CO42" s="191"/>
      <c r="CP42" s="191"/>
      <c r="CQ42" s="191"/>
      <c r="CR42" s="191"/>
      <c r="CS42" s="191"/>
      <c r="CT42" s="191"/>
      <c r="CU42" s="191"/>
      <c r="CV42" s="191"/>
      <c r="CW42" s="191"/>
      <c r="CX42" s="191"/>
      <c r="CY42" s="191"/>
      <c r="CZ42" s="191"/>
      <c r="DA42" s="191"/>
      <c r="DB42" s="191"/>
      <c r="DC42" s="191"/>
      <c r="DD42" s="191"/>
      <c r="DE42" s="191"/>
      <c r="DF42" s="191"/>
      <c r="DG42" s="191"/>
      <c r="DH42" s="191"/>
      <c r="DI42" s="191"/>
      <c r="DJ42" s="191"/>
      <c r="DK42" s="191"/>
      <c r="DL42" s="191"/>
      <c r="DM42" s="191"/>
      <c r="DN42" s="191"/>
      <c r="DO42" s="191"/>
      <c r="DP42" s="191"/>
      <c r="DQ42" s="191"/>
      <c r="DR42" s="191"/>
      <c r="DS42" s="191"/>
      <c r="DT42" s="191"/>
      <c r="DU42" s="191"/>
      <c r="DV42" s="191"/>
      <c r="DW42" s="191"/>
      <c r="DX42" s="191"/>
      <c r="DY42" s="191"/>
      <c r="DZ42" s="191"/>
      <c r="EA42" s="191"/>
      <c r="EB42" s="191"/>
      <c r="EC42" s="191"/>
      <c r="ED42" s="191"/>
      <c r="EE42" s="191"/>
      <c r="EF42" s="191"/>
      <c r="EG42" s="191"/>
      <c r="EH42" s="191"/>
      <c r="EI42" s="191"/>
      <c r="EJ42" s="191"/>
      <c r="EK42" s="191"/>
      <c r="EL42" s="191"/>
      <c r="EM42" s="191"/>
      <c r="EN42" s="191"/>
      <c r="EO42" s="191"/>
      <c r="EP42" s="191"/>
      <c r="EQ42" s="191"/>
      <c r="ER42" s="191"/>
      <c r="ES42" s="191"/>
      <c r="ET42" s="191"/>
      <c r="EU42" s="191"/>
      <c r="EV42" s="191"/>
      <c r="EW42" s="191"/>
      <c r="EX42" s="191"/>
      <c r="EY42" s="191"/>
      <c r="EZ42" s="191"/>
      <c r="FA42" s="191"/>
      <c r="FB42" s="191"/>
      <c r="FC42" s="191"/>
      <c r="FD42" s="191"/>
      <c r="FE42" s="191"/>
      <c r="FF42" s="191"/>
      <c r="FG42" s="191"/>
      <c r="FH42" s="191"/>
      <c r="FI42" s="191"/>
      <c r="FJ42" s="191"/>
      <c r="FK42" s="191"/>
      <c r="FL42" s="191"/>
      <c r="FM42" s="191"/>
      <c r="FN42" s="191"/>
      <c r="FO42" s="191"/>
      <c r="FP42" s="191"/>
      <c r="FQ42" s="191"/>
      <c r="FR42" s="191"/>
      <c r="FS42" s="191"/>
      <c r="FT42" s="191"/>
      <c r="FU42" s="191"/>
      <c r="FV42" s="191"/>
      <c r="FW42" s="191"/>
      <c r="FX42" s="191"/>
      <c r="FY42" s="191"/>
      <c r="FZ42" s="191"/>
      <c r="GA42" s="191"/>
      <c r="GB42" s="191"/>
      <c r="GC42" s="191"/>
      <c r="GD42" s="191"/>
      <c r="GE42" s="191"/>
      <c r="GF42" s="191"/>
      <c r="GG42" s="191"/>
      <c r="GH42" s="191"/>
      <c r="GI42" s="191"/>
      <c r="GJ42" s="191"/>
      <c r="GK42" s="191"/>
      <c r="GL42" s="191"/>
      <c r="GM42" s="191"/>
      <c r="GN42" s="191"/>
      <c r="GO42" s="191"/>
      <c r="GP42" s="191"/>
      <c r="GQ42" s="191"/>
      <c r="GR42" s="191"/>
      <c r="GS42" s="191"/>
      <c r="GT42" s="191"/>
      <c r="GU42" s="191"/>
      <c r="GV42" s="191"/>
      <c r="GW42" s="191"/>
      <c r="GX42" s="191"/>
      <c r="GY42" s="191"/>
      <c r="GZ42" s="191"/>
      <c r="HA42" s="191"/>
      <c r="HB42" s="191"/>
      <c r="HC42" s="191"/>
      <c r="HD42" s="191"/>
      <c r="HE42" s="191"/>
      <c r="HF42" s="191"/>
      <c r="HG42" s="191"/>
      <c r="HH42" s="191"/>
      <c r="HI42" s="191"/>
      <c r="HJ42" s="191"/>
      <c r="HK42" s="191"/>
      <c r="HL42" s="191"/>
      <c r="HM42" s="191"/>
      <c r="HN42" s="191"/>
      <c r="HO42" s="191"/>
      <c r="HP42" s="191"/>
      <c r="HQ42" s="191"/>
      <c r="HR42" s="191"/>
      <c r="HS42" s="191"/>
      <c r="HT42" s="191"/>
      <c r="HU42" s="191"/>
      <c r="HV42" s="191"/>
      <c r="HW42" s="191"/>
      <c r="HX42" s="191"/>
      <c r="HY42" s="191"/>
      <c r="HZ42" s="191"/>
      <c r="IA42" s="191"/>
      <c r="IB42" s="191"/>
      <c r="IC42" s="191"/>
      <c r="ID42" s="191"/>
      <c r="IE42" s="191"/>
      <c r="IF42" s="191"/>
      <c r="IG42" s="191"/>
      <c r="IH42" s="191"/>
      <c r="II42" s="191"/>
      <c r="IJ42" s="191"/>
      <c r="IK42" s="191"/>
      <c r="IL42" s="191"/>
      <c r="IM42" s="191"/>
      <c r="IN42" s="191"/>
      <c r="IO42" s="191"/>
      <c r="IP42" s="191"/>
      <c r="IQ42" s="191"/>
      <c r="IR42" s="191"/>
      <c r="IS42" s="191"/>
      <c r="IT42" s="191"/>
      <c r="IU42" s="191"/>
      <c r="IV42" s="191"/>
    </row>
    <row r="43" spans="1:256" s="249" customFormat="1">
      <c r="A43" s="264" t="s">
        <v>4005</v>
      </c>
      <c r="B43" s="272" t="s">
        <v>113</v>
      </c>
      <c r="C43" s="260"/>
      <c r="D43" s="260"/>
      <c r="E43" s="261"/>
      <c r="F43" s="262"/>
      <c r="G43" s="260"/>
      <c r="H43" s="263"/>
      <c r="I43" s="264"/>
      <c r="K43" s="250"/>
      <c r="L43" s="250"/>
      <c r="M43" s="250"/>
      <c r="N43" s="250"/>
      <c r="O43" s="250"/>
      <c r="P43" s="250"/>
      <c r="Q43" s="250"/>
      <c r="R43" s="250"/>
      <c r="S43" s="250"/>
    </row>
    <row r="44" spans="1:256" s="249" customFormat="1">
      <c r="A44" s="264" t="s">
        <v>4006</v>
      </c>
      <c r="B44" s="272" t="s">
        <v>4007</v>
      </c>
      <c r="C44" s="260"/>
      <c r="D44" s="260"/>
      <c r="E44" s="261"/>
      <c r="F44" s="262"/>
      <c r="G44" s="260"/>
      <c r="H44" s="263"/>
      <c r="I44" s="264"/>
      <c r="K44" s="250"/>
      <c r="L44" s="250"/>
      <c r="M44" s="250"/>
      <c r="N44" s="250"/>
      <c r="O44" s="250"/>
      <c r="P44" s="250"/>
      <c r="Q44" s="250"/>
      <c r="R44" s="250"/>
      <c r="S44" s="250"/>
    </row>
    <row r="45" spans="1:256" s="249" customFormat="1">
      <c r="A45" s="264" t="s">
        <v>4008</v>
      </c>
      <c r="B45" s="272" t="s">
        <v>4009</v>
      </c>
      <c r="C45" s="260"/>
      <c r="D45" s="260"/>
      <c r="E45" s="261"/>
      <c r="F45" s="262"/>
      <c r="G45" s="260"/>
      <c r="H45" s="263"/>
      <c r="I45" s="264"/>
      <c r="K45" s="250"/>
      <c r="L45" s="250"/>
      <c r="M45" s="250"/>
      <c r="N45" s="250"/>
      <c r="O45" s="250"/>
      <c r="P45" s="250"/>
      <c r="Q45" s="250"/>
      <c r="R45" s="250"/>
      <c r="S45" s="250"/>
    </row>
    <row r="46" spans="1:256" s="249" customFormat="1">
      <c r="A46" s="264" t="s">
        <v>4010</v>
      </c>
      <c r="B46" s="272" t="s">
        <v>4011</v>
      </c>
      <c r="C46" s="260"/>
      <c r="D46" s="260"/>
      <c r="E46" s="261"/>
      <c r="F46" s="262"/>
      <c r="G46" s="260"/>
      <c r="H46" s="263"/>
      <c r="I46" s="264"/>
      <c r="K46" s="250"/>
      <c r="L46" s="250"/>
      <c r="M46" s="250"/>
      <c r="N46" s="250"/>
      <c r="O46" s="250"/>
      <c r="P46" s="250"/>
      <c r="Q46" s="250"/>
      <c r="R46" s="250"/>
      <c r="S46" s="250"/>
    </row>
    <row r="47" spans="1:256" s="249" customFormat="1">
      <c r="A47" s="264" t="s">
        <v>4012</v>
      </c>
      <c r="B47" s="272" t="s">
        <v>4013</v>
      </c>
      <c r="C47" s="260"/>
      <c r="D47" s="260"/>
      <c r="E47" s="261"/>
      <c r="F47" s="262"/>
      <c r="G47" s="260"/>
      <c r="H47" s="263"/>
      <c r="I47" s="264"/>
      <c r="K47" s="250"/>
      <c r="L47" s="250"/>
      <c r="M47" s="250"/>
      <c r="N47" s="250"/>
      <c r="O47" s="250"/>
      <c r="P47" s="250"/>
      <c r="Q47" s="250"/>
      <c r="R47" s="250"/>
      <c r="S47" s="250"/>
    </row>
    <row r="48" spans="1:256" s="249" customFormat="1">
      <c r="A48" s="264" t="s">
        <v>4014</v>
      </c>
      <c r="B48" s="272" t="s">
        <v>4015</v>
      </c>
      <c r="C48" s="260"/>
      <c r="D48" s="260"/>
      <c r="E48" s="261"/>
      <c r="F48" s="262"/>
      <c r="G48" s="260"/>
      <c r="H48" s="263"/>
      <c r="I48" s="264"/>
      <c r="K48" s="250"/>
      <c r="L48" s="250"/>
      <c r="M48" s="250"/>
      <c r="N48" s="250"/>
      <c r="O48" s="250"/>
      <c r="P48" s="250"/>
      <c r="Q48" s="250"/>
      <c r="R48" s="250"/>
      <c r="S48" s="250"/>
    </row>
    <row r="49" spans="1:256" s="249" customFormat="1">
      <c r="A49" s="264" t="s">
        <v>4016</v>
      </c>
      <c r="B49" s="272" t="s">
        <v>4017</v>
      </c>
      <c r="C49" s="260"/>
      <c r="D49" s="260"/>
      <c r="E49" s="261"/>
      <c r="F49" s="262"/>
      <c r="G49" s="260"/>
      <c r="H49" s="263"/>
      <c r="I49" s="264"/>
      <c r="K49" s="250"/>
      <c r="L49" s="250"/>
      <c r="M49" s="250"/>
      <c r="N49" s="250"/>
      <c r="O49" s="250"/>
      <c r="P49" s="250"/>
      <c r="Q49" s="250"/>
      <c r="R49" s="250"/>
      <c r="S49" s="250"/>
    </row>
    <row r="50" spans="1:256" s="249" customFormat="1">
      <c r="A50" s="264" t="s">
        <v>4018</v>
      </c>
      <c r="B50" s="272" t="s">
        <v>4019</v>
      </c>
      <c r="C50" s="260"/>
      <c r="D50" s="260"/>
      <c r="E50" s="261"/>
      <c r="F50" s="262"/>
      <c r="G50" s="260"/>
      <c r="H50" s="263"/>
      <c r="I50" s="264"/>
      <c r="K50" s="250"/>
      <c r="L50" s="250"/>
      <c r="M50" s="250"/>
      <c r="N50" s="250"/>
      <c r="O50" s="250"/>
      <c r="P50" s="250"/>
      <c r="Q50" s="250"/>
      <c r="R50" s="250"/>
      <c r="S50" s="250"/>
    </row>
    <row r="51" spans="1:256" s="249" customFormat="1">
      <c r="A51" s="264" t="s">
        <v>4020</v>
      </c>
      <c r="B51" s="272" t="s">
        <v>4021</v>
      </c>
      <c r="C51" s="260"/>
      <c r="D51" s="260"/>
      <c r="E51" s="261"/>
      <c r="F51" s="262"/>
      <c r="G51" s="260"/>
      <c r="H51" s="263"/>
      <c r="I51" s="264"/>
      <c r="K51" s="250"/>
      <c r="L51" s="250"/>
      <c r="M51" s="250"/>
      <c r="N51" s="250"/>
      <c r="O51" s="250"/>
      <c r="P51" s="250"/>
      <c r="Q51" s="250"/>
      <c r="R51" s="250"/>
      <c r="S51" s="250"/>
    </row>
    <row r="52" spans="1:256" s="249" customFormat="1">
      <c r="A52" s="264" t="s">
        <v>4022</v>
      </c>
      <c r="B52" s="272" t="s">
        <v>4023</v>
      </c>
      <c r="C52" s="260"/>
      <c r="D52" s="260"/>
      <c r="E52" s="261"/>
      <c r="F52" s="262"/>
      <c r="G52" s="260"/>
      <c r="H52" s="263"/>
      <c r="I52" s="264"/>
      <c r="K52" s="250"/>
      <c r="L52" s="250"/>
      <c r="M52" s="250"/>
      <c r="N52" s="250"/>
      <c r="O52" s="250"/>
      <c r="P52" s="250"/>
      <c r="Q52" s="250"/>
      <c r="R52" s="250"/>
      <c r="S52" s="250"/>
    </row>
    <row r="53" spans="1:256" s="249" customFormat="1">
      <c r="A53" s="264" t="s">
        <v>4024</v>
      </c>
      <c r="B53" s="272" t="s">
        <v>4025</v>
      </c>
      <c r="C53" s="260"/>
      <c r="D53" s="260"/>
      <c r="E53" s="261"/>
      <c r="F53" s="262"/>
      <c r="G53" s="260"/>
      <c r="H53" s="263"/>
      <c r="I53" s="264"/>
      <c r="K53" s="250"/>
      <c r="L53" s="250"/>
      <c r="M53" s="250"/>
      <c r="N53" s="250"/>
      <c r="O53" s="250"/>
      <c r="P53" s="250"/>
      <c r="Q53" s="250"/>
      <c r="R53" s="250"/>
      <c r="S53" s="250"/>
    </row>
    <row r="54" spans="1:256" s="249" customFormat="1">
      <c r="A54" s="264" t="s">
        <v>597</v>
      </c>
      <c r="B54" s="272" t="s">
        <v>558</v>
      </c>
      <c r="C54" s="260"/>
      <c r="D54" s="260"/>
      <c r="E54" s="261"/>
      <c r="F54" s="262"/>
      <c r="G54" s="260"/>
      <c r="H54" s="263"/>
      <c r="I54" s="264"/>
      <c r="K54" s="250"/>
      <c r="L54" s="250"/>
      <c r="M54" s="250"/>
      <c r="N54" s="250"/>
      <c r="O54" s="250"/>
      <c r="P54" s="250"/>
      <c r="Q54" s="250"/>
      <c r="R54" s="250"/>
      <c r="S54" s="250"/>
    </row>
    <row r="55" spans="1:256" s="249" customFormat="1">
      <c r="A55" s="264" t="s">
        <v>4026</v>
      </c>
      <c r="B55" s="274" t="s">
        <v>4027</v>
      </c>
      <c r="C55" s="276">
        <f>IF('B THKP'!$C$154="DD",HLOOKUP(E55,TDDA,2,0),IF('B THKP'!$C$154="CN",HLOOKUP(E55,TDDA,3,0),IF('B THKP'!$C$154="GT",HLOOKUP(E55,TDDA,4,0),IF('B THKP'!$C$154="TL",HLOOKUP(E55,TDDA,5,0),IF('B THKP'!$C$154="HTKT",HLOOKUP(E55,TDDA,6,0))))))</f>
        <v>1.2500000000000001E-2</v>
      </c>
      <c r="D55" s="303">
        <f>IF('B THKP'!$C$154="DD",HLOOKUP(F55,TDDA,2,0),IF('B THKP'!$C$154="CN",HLOOKUP(F55,TDDA,3,0),IF('B THKP'!$C$154="GT",HLOOKUP(F55,TDDA,4,0),IF('B THKP'!$C$154="TL",HLOOKUP(F55,TDDA,5,0),IF('B THKP'!$C$154="HTKT",HLOOKUP(F55,TDDA,6,0))))))</f>
        <v>0.01</v>
      </c>
      <c r="E55" s="277">
        <f>IF(AND(G55&gt;=100,G55&lt;200),100,IF(AND(G55&gt;=200,G55&lt;500),200,IF(AND(G55&gt;=500,G55&lt;1000),500,IF(AND(G55&gt;=1000,G55&lt;2000),1000,IF(AND(G55&gt;=2000,G55&lt;5000),2000,IF(AND(G55&gt;=5000,G55&lt;10000),5000,IF(G55&gt;=10000,10000,IF(G55&lt;100,AA55))))))))</f>
        <v>100</v>
      </c>
      <c r="F55" s="277">
        <f>IF(AND(G55&gt;=100,G55&lt;200),200,IF(AND(G55&gt;=200,G55&lt;500),500,IF(AND(G55&gt;=500,G55&lt;1000),1000,IF(AND(G55&gt;=1000,G55&lt;2000),2000,IF(AND(G55&gt;=2000,G55&lt;5000),5000,IF(AND(G55&gt;=5000,G55&lt;10000),10000,IF(G55&gt;=10000,10000,IF(G55&lt;100,AB55))))))))</f>
        <v>200</v>
      </c>
      <c r="G55" s="278">
        <f>TMÑT*10^-9</f>
        <v>176.86302564600001</v>
      </c>
      <c r="H55" s="279">
        <f>IF(OR(E55-G55=0,E55=F55),C55,C55-((C55-D55)/(F55-E55)*(G55-E55)))</f>
        <v>1.057842435885E-2</v>
      </c>
      <c r="I55" s="280">
        <f>ROUND(H55,4)</f>
        <v>1.06E-2</v>
      </c>
      <c r="J55" s="281" t="e">
        <f>IF(TBL&lt;&gt;0,"(GTT+TBL)*","GTT*")</f>
        <v>#REF!</v>
      </c>
      <c r="K55" s="282" t="s">
        <v>3953</v>
      </c>
      <c r="L55" s="282"/>
      <c r="M55" s="282"/>
      <c r="N55" s="282"/>
      <c r="O55" s="282"/>
      <c r="P55" s="282"/>
      <c r="Q55" s="282">
        <v>50</v>
      </c>
      <c r="R55" s="282" t="s">
        <v>104</v>
      </c>
      <c r="S55" s="282"/>
      <c r="T55" s="283" t="e">
        <f>J55&amp;I55&amp;K55&amp;L55&amp;M55&amp;N55&amp;O55&amp;P55&amp;Q55&amp;R55&amp;S55</f>
        <v>#REF!</v>
      </c>
      <c r="U55" s="191"/>
      <c r="V55" s="191"/>
      <c r="W55" s="191"/>
      <c r="X55" s="191"/>
      <c r="Y55" s="191"/>
      <c r="Z55" s="191"/>
      <c r="AA55" s="191" t="b">
        <f>IF(AND(G55&gt;=0.5,G55&lt;1),0.5,IF(AND(G55&gt;=1,G55&lt;5),1,IF(AND(G55&gt;=5,G55&lt;15),5,IF(AND(G55&gt;=15,G55&lt;25),15,IF(AND(G55&gt;=25,G55&lt;50),25,IF(AND(G55&gt;=50,G55&lt;100),50,IF(G55&lt;=0.5,0.5)))))))</f>
        <v>0</v>
      </c>
      <c r="AB55" s="191" t="b">
        <f>IF(AND(G55&gt;=0.5,G55&lt;1),1,IF(AND(G55&gt;=1,G55&lt;5),5,IF(AND(G55&gt;=5,G55&lt;15),15,IF(AND(G55&gt;=15,G55&lt;25),25,IF(AND(G55&gt;=25,G55&lt;50),50,IF(AND(G55&gt;=50,G55&lt;100),100,IF(G55&lt;=0.5,0.5)))))))</f>
        <v>0</v>
      </c>
      <c r="AC55" s="191"/>
      <c r="AD55" s="191"/>
      <c r="AE55" s="191"/>
      <c r="AF55" s="191"/>
      <c r="AG55" s="191"/>
      <c r="AH55" s="191"/>
      <c r="AI55" s="191"/>
      <c r="AJ55" s="191"/>
      <c r="AK55" s="191"/>
      <c r="AL55" s="191"/>
      <c r="AM55" s="191"/>
      <c r="AN55" s="191"/>
      <c r="AO55" s="191"/>
      <c r="AP55" s="191"/>
      <c r="AQ55" s="191"/>
      <c r="AR55" s="191"/>
      <c r="AS55" s="191"/>
      <c r="AT55" s="191"/>
      <c r="AU55" s="191"/>
      <c r="AV55" s="191"/>
      <c r="AW55" s="191"/>
      <c r="AX55" s="191"/>
      <c r="AY55" s="191"/>
      <c r="AZ55" s="191"/>
      <c r="BA55" s="191"/>
      <c r="BB55" s="191"/>
      <c r="BC55" s="191"/>
      <c r="BD55" s="191"/>
      <c r="BE55" s="191"/>
      <c r="BF55" s="191"/>
      <c r="BG55" s="191"/>
      <c r="BH55" s="191"/>
      <c r="BI55" s="191"/>
      <c r="BJ55" s="191"/>
      <c r="BK55" s="191"/>
      <c r="BL55" s="191"/>
      <c r="BM55" s="191"/>
      <c r="BN55" s="191"/>
      <c r="BO55" s="191"/>
      <c r="BP55" s="191"/>
      <c r="BQ55" s="191"/>
      <c r="BR55" s="191"/>
      <c r="BS55" s="191"/>
      <c r="BT55" s="191"/>
      <c r="BU55" s="191"/>
      <c r="BV55" s="191"/>
      <c r="BW55" s="191"/>
      <c r="BX55" s="191"/>
      <c r="BY55" s="191"/>
      <c r="BZ55" s="191"/>
      <c r="CA55" s="191"/>
      <c r="CB55" s="191"/>
      <c r="CC55" s="191"/>
      <c r="CD55" s="191"/>
      <c r="CE55" s="191"/>
      <c r="CF55" s="191"/>
      <c r="CG55" s="191"/>
      <c r="CH55" s="191"/>
      <c r="CI55" s="191"/>
      <c r="CJ55" s="191"/>
      <c r="CK55" s="191"/>
      <c r="CL55" s="191"/>
      <c r="CM55" s="191"/>
      <c r="CN55" s="191"/>
      <c r="CO55" s="191"/>
      <c r="CP55" s="191"/>
      <c r="CQ55" s="191"/>
      <c r="CR55" s="191"/>
      <c r="CS55" s="191"/>
      <c r="CT55" s="191"/>
      <c r="CU55" s="191"/>
      <c r="CV55" s="191"/>
      <c r="CW55" s="191"/>
      <c r="CX55" s="191"/>
      <c r="CY55" s="191"/>
      <c r="CZ55" s="191"/>
      <c r="DA55" s="191"/>
      <c r="DB55" s="191"/>
      <c r="DC55" s="191"/>
      <c r="DD55" s="191"/>
      <c r="DE55" s="191"/>
      <c r="DF55" s="191"/>
      <c r="DG55" s="191"/>
      <c r="DH55" s="191"/>
      <c r="DI55" s="191"/>
      <c r="DJ55" s="191"/>
      <c r="DK55" s="191"/>
      <c r="DL55" s="191"/>
      <c r="DM55" s="191"/>
      <c r="DN55" s="191"/>
      <c r="DO55" s="191"/>
      <c r="DP55" s="191"/>
      <c r="DQ55" s="191"/>
      <c r="DR55" s="191"/>
      <c r="DS55" s="191"/>
      <c r="DT55" s="191"/>
      <c r="DU55" s="191"/>
      <c r="DV55" s="191"/>
      <c r="DW55" s="191"/>
      <c r="DX55" s="191"/>
      <c r="DY55" s="191"/>
      <c r="DZ55" s="191"/>
      <c r="EA55" s="191"/>
      <c r="EB55" s="191"/>
      <c r="EC55" s="191"/>
      <c r="ED55" s="191"/>
      <c r="EE55" s="191"/>
      <c r="EF55" s="191"/>
      <c r="EG55" s="191"/>
      <c r="EH55" s="191"/>
      <c r="EI55" s="191"/>
      <c r="EJ55" s="191"/>
      <c r="EK55" s="191"/>
      <c r="EL55" s="191"/>
      <c r="EM55" s="191"/>
      <c r="EN55" s="191"/>
      <c r="EO55" s="191"/>
      <c r="EP55" s="191"/>
      <c r="EQ55" s="191"/>
      <c r="ER55" s="191"/>
      <c r="ES55" s="191"/>
      <c r="ET55" s="191"/>
      <c r="EU55" s="191"/>
      <c r="EV55" s="191"/>
      <c r="EW55" s="191"/>
      <c r="EX55" s="191"/>
      <c r="EY55" s="191"/>
      <c r="EZ55" s="191"/>
      <c r="FA55" s="191"/>
      <c r="FB55" s="191"/>
      <c r="FC55" s="191"/>
      <c r="FD55" s="191"/>
      <c r="FE55" s="191"/>
      <c r="FF55" s="191"/>
      <c r="FG55" s="191"/>
      <c r="FH55" s="191"/>
      <c r="FI55" s="191"/>
      <c r="FJ55" s="191"/>
      <c r="FK55" s="191"/>
      <c r="FL55" s="191"/>
      <c r="FM55" s="191"/>
      <c r="FN55" s="191"/>
      <c r="FO55" s="191"/>
      <c r="FP55" s="191"/>
      <c r="FQ55" s="191"/>
      <c r="FR55" s="191"/>
      <c r="FS55" s="191"/>
      <c r="FT55" s="191"/>
      <c r="FU55" s="191"/>
      <c r="FV55" s="191"/>
      <c r="FW55" s="191"/>
      <c r="FX55" s="191"/>
      <c r="FY55" s="191"/>
      <c r="FZ55" s="191"/>
      <c r="GA55" s="191"/>
      <c r="GB55" s="191"/>
      <c r="GC55" s="191"/>
      <c r="GD55" s="191"/>
      <c r="GE55" s="191"/>
      <c r="GF55" s="191"/>
      <c r="GG55" s="191"/>
      <c r="GH55" s="191"/>
      <c r="GI55" s="191"/>
      <c r="GJ55" s="191"/>
      <c r="GK55" s="191"/>
      <c r="GL55" s="191"/>
      <c r="GM55" s="191"/>
      <c r="GN55" s="191"/>
      <c r="GO55" s="191"/>
      <c r="GP55" s="191"/>
      <c r="GQ55" s="191"/>
      <c r="GR55" s="191"/>
      <c r="GS55" s="191"/>
      <c r="GT55" s="191"/>
      <c r="GU55" s="191"/>
      <c r="GV55" s="191"/>
      <c r="GW55" s="191"/>
      <c r="GX55" s="191"/>
      <c r="GY55" s="191"/>
      <c r="GZ55" s="191"/>
      <c r="HA55" s="191"/>
      <c r="HB55" s="191"/>
      <c r="HC55" s="191"/>
      <c r="HD55" s="191"/>
      <c r="HE55" s="191"/>
      <c r="HF55" s="191"/>
      <c r="HG55" s="191"/>
      <c r="HH55" s="191"/>
      <c r="HI55" s="191"/>
      <c r="HJ55" s="191"/>
      <c r="HK55" s="191"/>
      <c r="HL55" s="191"/>
      <c r="HM55" s="191"/>
      <c r="HN55" s="191"/>
      <c r="HO55" s="191"/>
      <c r="HP55" s="191"/>
      <c r="HQ55" s="191"/>
      <c r="HR55" s="191"/>
      <c r="HS55" s="191"/>
      <c r="HT55" s="191"/>
      <c r="HU55" s="191"/>
      <c r="HV55" s="191"/>
      <c r="HW55" s="191"/>
      <c r="HX55" s="191"/>
      <c r="HY55" s="191"/>
      <c r="HZ55" s="191"/>
      <c r="IA55" s="191"/>
      <c r="IB55" s="191"/>
      <c r="IC55" s="191"/>
      <c r="ID55" s="191"/>
      <c r="IE55" s="191"/>
      <c r="IF55" s="191"/>
      <c r="IG55" s="191"/>
      <c r="IH55" s="191"/>
      <c r="II55" s="191"/>
      <c r="IJ55" s="191"/>
      <c r="IK55" s="191"/>
      <c r="IL55" s="191"/>
      <c r="IM55" s="191"/>
      <c r="IN55" s="191"/>
      <c r="IO55" s="191"/>
      <c r="IP55" s="191"/>
      <c r="IQ55" s="191"/>
      <c r="IR55" s="191"/>
      <c r="IS55" s="191"/>
      <c r="IT55" s="191"/>
      <c r="IU55" s="191"/>
      <c r="IV55" s="191"/>
    </row>
    <row r="56" spans="1:256" s="249" customFormat="1">
      <c r="A56" s="264" t="s">
        <v>4028</v>
      </c>
      <c r="B56" s="272" t="s">
        <v>4029</v>
      </c>
      <c r="C56" s="260"/>
      <c r="D56" s="260"/>
      <c r="E56" s="261"/>
      <c r="F56" s="262"/>
      <c r="G56" s="260"/>
      <c r="H56" s="263"/>
      <c r="I56" s="264"/>
      <c r="K56" s="250"/>
      <c r="L56" s="250"/>
      <c r="M56" s="250"/>
      <c r="N56" s="250"/>
      <c r="O56" s="250"/>
      <c r="P56" s="250"/>
      <c r="Q56" s="250"/>
      <c r="R56" s="250"/>
      <c r="S56" s="250"/>
    </row>
    <row r="57" spans="1:256" s="249" customFormat="1">
      <c r="A57" s="264" t="s">
        <v>4030</v>
      </c>
      <c r="B57" s="272" t="s">
        <v>4031</v>
      </c>
      <c r="C57" s="260"/>
      <c r="D57" s="260"/>
      <c r="E57" s="261"/>
      <c r="F57" s="262"/>
      <c r="G57" s="260"/>
      <c r="H57" s="263"/>
      <c r="I57" s="264">
        <v>0.28499999999999998</v>
      </c>
      <c r="K57" s="250"/>
      <c r="L57" s="250"/>
      <c r="M57" s="250"/>
      <c r="N57" s="250"/>
      <c r="O57" s="250"/>
      <c r="P57" s="250"/>
      <c r="Q57" s="250"/>
      <c r="R57" s="250"/>
      <c r="S57" s="250"/>
    </row>
    <row r="58" spans="1:256" s="249" customFormat="1">
      <c r="A58" s="264" t="s">
        <v>4032</v>
      </c>
      <c r="B58" s="272" t="s">
        <v>4033</v>
      </c>
      <c r="C58" s="260"/>
      <c r="D58" s="260"/>
      <c r="E58" s="261"/>
      <c r="F58" s="262"/>
      <c r="G58" s="260"/>
      <c r="H58" s="263"/>
      <c r="I58" s="264">
        <v>0.28499999999999998</v>
      </c>
      <c r="K58" s="250"/>
      <c r="L58" s="250"/>
      <c r="M58" s="250"/>
      <c r="N58" s="250"/>
      <c r="O58" s="250"/>
      <c r="P58" s="250"/>
      <c r="Q58" s="250"/>
      <c r="R58" s="250"/>
      <c r="S58" s="250"/>
    </row>
    <row r="59" spans="1:256" s="249" customFormat="1">
      <c r="A59" s="264" t="s">
        <v>4034</v>
      </c>
      <c r="B59" s="272" t="s">
        <v>4035</v>
      </c>
      <c r="C59" s="260"/>
      <c r="D59" s="260"/>
      <c r="E59" s="261"/>
      <c r="F59" s="262"/>
      <c r="G59" s="260"/>
      <c r="H59" s="263"/>
      <c r="I59" s="264"/>
      <c r="K59" s="250"/>
      <c r="L59" s="250"/>
      <c r="M59" s="250"/>
      <c r="N59" s="250"/>
      <c r="O59" s="250"/>
      <c r="P59" s="250"/>
      <c r="Q59" s="250"/>
      <c r="R59" s="250"/>
      <c r="S59" s="250"/>
    </row>
    <row r="60" spans="1:256" s="249" customFormat="1">
      <c r="A60" s="264" t="s">
        <v>4036</v>
      </c>
      <c r="B60" s="272" t="s">
        <v>4037</v>
      </c>
      <c r="C60" s="260"/>
      <c r="D60" s="260"/>
      <c r="E60" s="261"/>
      <c r="F60" s="262"/>
      <c r="G60" s="260"/>
      <c r="H60" s="263"/>
      <c r="I60" s="264"/>
      <c r="K60" s="250"/>
      <c r="L60" s="250"/>
      <c r="M60" s="250"/>
      <c r="N60" s="250"/>
      <c r="O60" s="250"/>
      <c r="P60" s="250"/>
      <c r="Q60" s="250"/>
      <c r="R60" s="250"/>
      <c r="S60" s="250"/>
    </row>
    <row r="61" spans="1:256" s="249" customFormat="1">
      <c r="A61" s="264" t="s">
        <v>4038</v>
      </c>
      <c r="B61" s="272" t="s">
        <v>4039</v>
      </c>
      <c r="C61" s="260"/>
      <c r="D61" s="260"/>
      <c r="E61" s="261"/>
      <c r="F61" s="262"/>
      <c r="G61" s="260"/>
      <c r="H61" s="263"/>
      <c r="I61" s="264"/>
      <c r="K61" s="250"/>
      <c r="L61" s="250"/>
      <c r="M61" s="250"/>
      <c r="N61" s="250"/>
      <c r="O61" s="250"/>
      <c r="P61" s="250"/>
      <c r="Q61" s="250"/>
      <c r="R61" s="250"/>
      <c r="S61" s="250"/>
    </row>
    <row r="62" spans="1:256" s="249" customFormat="1">
      <c r="A62" s="264" t="s">
        <v>4040</v>
      </c>
      <c r="B62" s="287" t="s">
        <v>4041</v>
      </c>
      <c r="C62" s="276">
        <f>IF('B THKP'!$C$154="DD",HLOOKUP(E62,KT,2,0),IF('B THKP'!$C$154="CN",HLOOKUP(E62,KT,3,0),IF('B THKP'!$C$154="GT",HLOOKUP(E62,KT,4,0),IF('B THKP'!$C$154="TL",HLOOKUP(E62,KT,5,0),IF('B THKP'!$C$154="HTKT",HLOOKUP(E62,KT,6,0))))))</f>
        <v>0.57499999999999996</v>
      </c>
      <c r="D62" s="276">
        <f>IF('B THKP'!$C$154="DD",HLOOKUP(F62,KT,2,0),IF('B THKP'!$C$154="CN",HLOOKUP(F62,KT,3,0),IF('B THKP'!$C$154="GT",HLOOKUP(F62,KT,4,0),IF('B THKP'!$C$154="TL",HLOOKUP(F62,KT,5,0),IF('B THKP'!$C$154="HTKT",HLOOKUP(F62,KT,6,0))))))</f>
        <v>0.32300000000000001</v>
      </c>
      <c r="E62" s="304">
        <f>IF(AND(G62&gt;=50,G62&lt;100),50,IF(AND(G62&gt;=100,G62&lt;500),100,IF(AND(G62&gt;=500,G62&lt;1000),500,IF(AND(G62&gt;=1000,G62&lt;5000),1000,IF(AND(G62&gt;=5000,G62&lt;10000),5000,IF(AND(G62&gt;=10000,G62&lt;20000),10000,IF(G62&gt;=20000,20000,IF(G62&lt;50,AA62))))))))</f>
        <v>100</v>
      </c>
      <c r="F62" s="304">
        <f>IF(AND(G62&gt;=50,G62&lt;100),100,IF(AND(G62&gt;=100,G62&lt;500),500,IF(AND(G62&gt;=500,G62&lt;1000),1000,IF(AND(G62&gt;=1000,G62&lt;10000),10000,IF(AND(G62&gt;=5000,G62&lt;10000),10000,IF(AND(G62&gt;=10000,G62&lt;20000),20000,IF(G62&gt;=20000,20000,IF(G62&lt;50,AB62))))))))</f>
        <v>500</v>
      </c>
      <c r="G62" s="278">
        <f>(TMÑT*10^-9)</f>
        <v>176.86302564600001</v>
      </c>
      <c r="H62" s="279">
        <f>IF(OR(E62-G62=0,E62=F62),C62,C62-((C62-D62)/(F62-E62)*(G62-E62)))</f>
        <v>0.52657629384301996</v>
      </c>
      <c r="I62" s="280">
        <f>ROUND(H62,4)</f>
        <v>0.52659999999999996</v>
      </c>
      <c r="J62" s="280"/>
      <c r="K62" s="282"/>
      <c r="L62" s="282"/>
      <c r="M62" s="282"/>
      <c r="N62" s="282"/>
      <c r="O62" s="282"/>
      <c r="P62" s="282"/>
      <c r="Q62" s="282"/>
      <c r="R62" s="282"/>
      <c r="S62" s="282"/>
      <c r="T62" s="283"/>
      <c r="U62" s="191"/>
      <c r="V62" s="191"/>
      <c r="W62" s="191"/>
      <c r="X62" s="191"/>
      <c r="Y62" s="191"/>
      <c r="Z62" s="191"/>
      <c r="AA62" s="191" t="b">
        <f>IF(AND(G62&gt;=0,G62&lt;=5),0,IF(AND(G62&gt;5,G62&lt;10),5,IF(AND(G62&gt;=10,G62&lt;50),10,IF(AND(G62&gt;=50,G62&lt;100),50,IF(G62&lt;=5,0)))))</f>
        <v>0</v>
      </c>
      <c r="AB62" s="191" t="b">
        <f>IF(AND(G62&gt;=0,G62&lt;=5),5,IF(AND(G62&gt;=5,G62&lt;10),10,IF(AND(G62&gt;=10,G62&lt;50),50,IF(AND(G62&gt;=50,G62&lt;100),100,IF(G62&lt;5,0)))))</f>
        <v>0</v>
      </c>
      <c r="AC62" s="191"/>
      <c r="AD62" s="191"/>
      <c r="AE62" s="191"/>
      <c r="AF62" s="191"/>
      <c r="AG62" s="191"/>
      <c r="AH62" s="191"/>
      <c r="AI62" s="191"/>
      <c r="AJ62" s="191"/>
      <c r="AK62" s="191"/>
      <c r="AL62" s="191"/>
      <c r="AM62" s="191"/>
      <c r="AN62" s="191"/>
      <c r="AO62" s="191"/>
      <c r="AP62" s="191"/>
      <c r="AQ62" s="191"/>
      <c r="AR62" s="191"/>
      <c r="AS62" s="191"/>
      <c r="AT62" s="191"/>
      <c r="AU62" s="191"/>
      <c r="AV62" s="191"/>
      <c r="AW62" s="191"/>
      <c r="AX62" s="191"/>
      <c r="AY62" s="191"/>
      <c r="AZ62" s="191"/>
      <c r="BA62" s="191"/>
      <c r="BB62" s="191"/>
      <c r="BC62" s="191"/>
      <c r="BD62" s="191"/>
      <c r="BE62" s="191"/>
      <c r="BF62" s="191"/>
      <c r="BG62" s="191"/>
      <c r="BH62" s="191"/>
      <c r="BI62" s="191"/>
      <c r="BJ62" s="191"/>
      <c r="BK62" s="191"/>
      <c r="BL62" s="191"/>
      <c r="BM62" s="191"/>
      <c r="BN62" s="191"/>
      <c r="BO62" s="191"/>
      <c r="BP62" s="191"/>
      <c r="BQ62" s="191"/>
      <c r="BR62" s="191"/>
      <c r="BS62" s="191"/>
      <c r="BT62" s="191"/>
      <c r="BU62" s="191"/>
      <c r="BV62" s="191"/>
      <c r="BW62" s="191"/>
      <c r="BX62" s="191"/>
      <c r="BY62" s="191"/>
      <c r="BZ62" s="191"/>
      <c r="CA62" s="191"/>
      <c r="CB62" s="191"/>
      <c r="CC62" s="191"/>
      <c r="CD62" s="191"/>
      <c r="CE62" s="191"/>
      <c r="CF62" s="191"/>
      <c r="CG62" s="191"/>
      <c r="CH62" s="191"/>
      <c r="CI62" s="191"/>
      <c r="CJ62" s="191"/>
      <c r="CK62" s="191"/>
      <c r="CL62" s="191"/>
      <c r="CM62" s="191"/>
      <c r="CN62" s="191"/>
      <c r="CO62" s="191"/>
      <c r="CP62" s="191"/>
      <c r="CQ62" s="191"/>
      <c r="CR62" s="191"/>
      <c r="CS62" s="191"/>
      <c r="CT62" s="191"/>
      <c r="CU62" s="191"/>
      <c r="CV62" s="191"/>
      <c r="CW62" s="191"/>
      <c r="CX62" s="191"/>
      <c r="CY62" s="191"/>
      <c r="CZ62" s="191"/>
      <c r="DA62" s="191"/>
      <c r="DB62" s="191"/>
      <c r="DC62" s="191"/>
      <c r="DD62" s="191"/>
      <c r="DE62" s="191"/>
      <c r="DF62" s="191"/>
      <c r="DG62" s="191"/>
      <c r="DH62" s="191"/>
      <c r="DI62" s="191"/>
      <c r="DJ62" s="191"/>
      <c r="DK62" s="191"/>
      <c r="DL62" s="191"/>
      <c r="DM62" s="191"/>
      <c r="DN62" s="191"/>
      <c r="DO62" s="191"/>
      <c r="DP62" s="191"/>
      <c r="DQ62" s="191"/>
      <c r="DR62" s="191"/>
      <c r="DS62" s="191"/>
      <c r="DT62" s="191"/>
      <c r="DU62" s="191"/>
      <c r="DV62" s="191"/>
      <c r="DW62" s="191"/>
      <c r="DX62" s="191"/>
      <c r="DY62" s="191"/>
      <c r="DZ62" s="191"/>
      <c r="EA62" s="191"/>
      <c r="EB62" s="191"/>
      <c r="EC62" s="191"/>
      <c r="ED62" s="191"/>
      <c r="EE62" s="191"/>
      <c r="EF62" s="191"/>
      <c r="EG62" s="191"/>
      <c r="EH62" s="191"/>
      <c r="EI62" s="191"/>
      <c r="EJ62" s="191"/>
      <c r="EK62" s="191"/>
      <c r="EL62" s="191"/>
      <c r="EM62" s="191"/>
      <c r="EN62" s="191"/>
      <c r="EO62" s="191"/>
      <c r="EP62" s="191"/>
      <c r="EQ62" s="191"/>
      <c r="ER62" s="191"/>
      <c r="ES62" s="191"/>
      <c r="ET62" s="191"/>
      <c r="EU62" s="191"/>
      <c r="EV62" s="191"/>
      <c r="EW62" s="191"/>
      <c r="EX62" s="191"/>
      <c r="EY62" s="191"/>
      <c r="EZ62" s="191"/>
      <c r="FA62" s="191"/>
      <c r="FB62" s="191"/>
      <c r="FC62" s="191"/>
      <c r="FD62" s="191"/>
      <c r="FE62" s="191"/>
      <c r="FF62" s="191"/>
      <c r="FG62" s="191"/>
      <c r="FH62" s="191"/>
      <c r="FI62" s="191"/>
      <c r="FJ62" s="191"/>
      <c r="FK62" s="191"/>
      <c r="FL62" s="191"/>
      <c r="FM62" s="191"/>
      <c r="FN62" s="191"/>
      <c r="FO62" s="191"/>
      <c r="FP62" s="191"/>
      <c r="FQ62" s="191"/>
      <c r="FR62" s="191"/>
      <c r="FS62" s="191"/>
      <c r="FT62" s="191"/>
      <c r="FU62" s="191"/>
      <c r="FV62" s="191"/>
      <c r="FW62" s="191"/>
      <c r="FX62" s="191"/>
      <c r="FY62" s="191"/>
      <c r="FZ62" s="191"/>
      <c r="GA62" s="191"/>
      <c r="GB62" s="191"/>
      <c r="GC62" s="191"/>
      <c r="GD62" s="191"/>
      <c r="GE62" s="191"/>
      <c r="GF62" s="191"/>
      <c r="GG62" s="191"/>
      <c r="GH62" s="191"/>
      <c r="GI62" s="191"/>
      <c r="GJ62" s="191"/>
      <c r="GK62" s="191"/>
      <c r="GL62" s="191"/>
      <c r="GM62" s="191"/>
      <c r="GN62" s="191"/>
      <c r="GO62" s="191"/>
      <c r="GP62" s="191"/>
      <c r="GQ62" s="191"/>
      <c r="GR62" s="191"/>
      <c r="GS62" s="191"/>
      <c r="GT62" s="191"/>
      <c r="GU62" s="191"/>
      <c r="GV62" s="191"/>
      <c r="GW62" s="191"/>
      <c r="GX62" s="191"/>
      <c r="GY62" s="191"/>
      <c r="GZ62" s="191"/>
      <c r="HA62" s="191"/>
      <c r="HB62" s="191"/>
      <c r="HC62" s="191"/>
      <c r="HD62" s="191"/>
      <c r="HE62" s="191"/>
      <c r="HF62" s="191"/>
      <c r="HG62" s="191"/>
      <c r="HH62" s="191"/>
      <c r="HI62" s="191"/>
      <c r="HJ62" s="191"/>
      <c r="HK62" s="191"/>
      <c r="HL62" s="191"/>
      <c r="HM62" s="191"/>
      <c r="HN62" s="191"/>
      <c r="HO62" s="191"/>
      <c r="HP62" s="191"/>
      <c r="HQ62" s="191"/>
      <c r="HR62" s="191"/>
      <c r="HS62" s="191"/>
      <c r="HT62" s="191"/>
      <c r="HU62" s="191"/>
      <c r="HV62" s="191"/>
      <c r="HW62" s="191"/>
      <c r="HX62" s="191"/>
      <c r="HY62" s="191"/>
      <c r="HZ62" s="191"/>
      <c r="IA62" s="191"/>
      <c r="IB62" s="191"/>
      <c r="IC62" s="191"/>
      <c r="ID62" s="191"/>
      <c r="IE62" s="191"/>
      <c r="IF62" s="191"/>
      <c r="IG62" s="191"/>
      <c r="IH62" s="191"/>
      <c r="II62" s="191"/>
      <c r="IJ62" s="191"/>
      <c r="IK62" s="191"/>
      <c r="IL62" s="191"/>
      <c r="IM62" s="191"/>
      <c r="IN62" s="191"/>
      <c r="IO62" s="191"/>
      <c r="IP62" s="191"/>
      <c r="IQ62" s="191"/>
      <c r="IR62" s="191"/>
      <c r="IS62" s="191"/>
      <c r="IT62" s="191"/>
      <c r="IU62" s="191"/>
      <c r="IV62" s="191"/>
    </row>
    <row r="63" spans="1:256" s="249" customFormat="1">
      <c r="A63" s="264" t="s">
        <v>4042</v>
      </c>
      <c r="B63" s="287" t="s">
        <v>4043</v>
      </c>
      <c r="C63" s="276">
        <f>IF('B THKP'!$C$154="DD",HLOOKUP(E63,TTQT,2,0),IF('B THKP'!$C$154="CN",HLOOKUP(E63,TTQT,3,0),IF('B THKP'!$C$154="GT",HLOOKUP(E63,TTQT,4,0),IF('B THKP'!$C$154="TL",HLOOKUP(E63,TTQT,5,0),IF('B THKP'!$C$154="HTKT",HLOOKUP(E63,TTQT,6,0))))))</f>
        <v>0.375</v>
      </c>
      <c r="D63" s="276">
        <f>IF('B THKP'!$C$154="DD",HLOOKUP(F63,TTQT,2,0),IF('B THKP'!$C$154="CN",HLOOKUP(F63,TTQT,3,0),IF('B THKP'!$C$154="GT",HLOOKUP(F63,TTQT,4,0),IF('B THKP'!$C$154="TL",HLOOKUP(F63,TTQT,5,0),IF('B THKP'!$C$154="HTKT",HLOOKUP(F63,TTQT,6,0))))))</f>
        <v>0.22500000000000001</v>
      </c>
      <c r="E63" s="305">
        <f>IF(AND(G63&gt;=50,G63&lt;100),50,IF(AND(G63&gt;=100,G63&lt;500),100,IF(AND(G63&gt;=500,G63&lt;1000),500,IF(AND(G63&gt;=1000,G63&lt;5000),1000,IF(AND(G63&gt;=5000,G63&lt;10000),5000,IF(AND(G63&gt;=10000,G63&lt;20000),10000,IF(G63&gt;=20000,20000,IF(G63&lt;50,AA63))))))))</f>
        <v>100</v>
      </c>
      <c r="F63" s="305">
        <f>IF(AND(G63&gt;=50,G63&lt;100),100,IF(AND(G63&gt;=100,G63&lt;500),500,IF(AND(G63&gt;=500,G63&lt;1000),1000,IF(AND(G63&gt;=1000,G63&lt;10000),10000,IF(AND(G63&gt;=5000,G63&lt;10000),10000,IF(AND(G63&gt;=10000,G63&lt;20000),20000,IF(G63&gt;=20000,20000,IF(G63&lt;50,AB63))))))))</f>
        <v>500</v>
      </c>
      <c r="G63" s="278">
        <f>(TMÑT*10^-9)</f>
        <v>176.86302564600001</v>
      </c>
      <c r="H63" s="279">
        <f>IF(OR(E63-G63=0,E63=F63),C63,C63-((C63-D63)/(F63-E63)*(G63-E63)))</f>
        <v>0.34617636538274998</v>
      </c>
      <c r="I63" s="280">
        <f>ROUND(H63,4)</f>
        <v>0.34620000000000001</v>
      </c>
      <c r="J63" s="280"/>
      <c r="K63" s="282"/>
      <c r="L63" s="282"/>
      <c r="M63" s="282"/>
      <c r="N63" s="282"/>
      <c r="O63" s="282"/>
      <c r="P63" s="282"/>
      <c r="Q63" s="282"/>
      <c r="R63" s="282"/>
      <c r="S63" s="282"/>
      <c r="T63" s="283"/>
      <c r="U63" s="191"/>
      <c r="V63" s="191"/>
      <c r="W63" s="191"/>
      <c r="X63" s="191"/>
      <c r="Y63" s="191"/>
      <c r="Z63" s="191"/>
      <c r="AA63" s="191" t="b">
        <f>IF(AND(G63&gt;=0,G63&lt;=5),0,IF(AND(G63&gt;5,G63&lt;10),5,IF(AND(G63&gt;=10,G63&lt;50),10,IF(AND(G63&gt;=50,G63&lt;100),50,IF(G63&lt;=5,0)))))</f>
        <v>0</v>
      </c>
      <c r="AB63" s="191" t="b">
        <f>IF(AND(G63&gt;=0,G63&lt;=5),5,IF(AND(G63&gt;=5,G63&lt;10),10,IF(AND(G63&gt;=10,G63&lt;50),50,IF(AND(G63&gt;=50,G63&lt;100),100,IF(G63&lt;5,0)))))</f>
        <v>0</v>
      </c>
      <c r="AC63" s="191"/>
      <c r="AD63" s="191"/>
      <c r="AE63" s="191"/>
      <c r="AF63" s="191"/>
      <c r="AG63" s="191"/>
      <c r="AH63" s="191"/>
      <c r="AI63" s="191"/>
      <c r="AJ63" s="191"/>
      <c r="AK63" s="191"/>
      <c r="AL63" s="191"/>
      <c r="AM63" s="191"/>
      <c r="AN63" s="191"/>
      <c r="AO63" s="191"/>
      <c r="AP63" s="191"/>
      <c r="AQ63" s="191"/>
      <c r="AR63" s="191"/>
      <c r="AS63" s="191"/>
      <c r="AT63" s="191"/>
      <c r="AU63" s="191"/>
      <c r="AV63" s="191"/>
      <c r="AW63" s="191"/>
      <c r="AX63" s="191"/>
      <c r="AY63" s="191"/>
      <c r="AZ63" s="191"/>
      <c r="BA63" s="191"/>
      <c r="BB63" s="191"/>
      <c r="BC63" s="191"/>
      <c r="BD63" s="191"/>
      <c r="BE63" s="191"/>
      <c r="BF63" s="191"/>
      <c r="BG63" s="191"/>
      <c r="BH63" s="191"/>
      <c r="BI63" s="191"/>
      <c r="BJ63" s="191"/>
      <c r="BK63" s="191"/>
      <c r="BL63" s="191"/>
      <c r="BM63" s="191"/>
      <c r="BN63" s="191"/>
      <c r="BO63" s="191"/>
      <c r="BP63" s="191"/>
      <c r="BQ63" s="191"/>
      <c r="BR63" s="191"/>
      <c r="BS63" s="191"/>
      <c r="BT63" s="191"/>
      <c r="BU63" s="191"/>
      <c r="BV63" s="191"/>
      <c r="BW63" s="191"/>
      <c r="BX63" s="191"/>
      <c r="BY63" s="191"/>
      <c r="BZ63" s="191"/>
      <c r="CA63" s="191"/>
      <c r="CB63" s="191"/>
      <c r="CC63" s="191"/>
      <c r="CD63" s="191"/>
      <c r="CE63" s="191"/>
      <c r="CF63" s="191"/>
      <c r="CG63" s="191"/>
      <c r="CH63" s="191"/>
      <c r="CI63" s="191"/>
      <c r="CJ63" s="191"/>
      <c r="CK63" s="191"/>
      <c r="CL63" s="191"/>
      <c r="CM63" s="191"/>
      <c r="CN63" s="191"/>
      <c r="CO63" s="191"/>
      <c r="CP63" s="191"/>
      <c r="CQ63" s="191"/>
      <c r="CR63" s="191"/>
      <c r="CS63" s="191"/>
      <c r="CT63" s="191"/>
      <c r="CU63" s="191"/>
      <c r="CV63" s="191"/>
      <c r="CW63" s="191"/>
      <c r="CX63" s="191"/>
      <c r="CY63" s="191"/>
      <c r="CZ63" s="191"/>
      <c r="DA63" s="191"/>
      <c r="DB63" s="191"/>
      <c r="DC63" s="191"/>
      <c r="DD63" s="191"/>
      <c r="DE63" s="191"/>
      <c r="DF63" s="191"/>
      <c r="DG63" s="191"/>
      <c r="DH63" s="191"/>
      <c r="DI63" s="191"/>
      <c r="DJ63" s="191"/>
      <c r="DK63" s="191"/>
      <c r="DL63" s="191"/>
      <c r="DM63" s="191"/>
      <c r="DN63" s="191"/>
      <c r="DO63" s="191"/>
      <c r="DP63" s="191"/>
      <c r="DQ63" s="191"/>
      <c r="DR63" s="191"/>
      <c r="DS63" s="191"/>
      <c r="DT63" s="191"/>
      <c r="DU63" s="191"/>
      <c r="DV63" s="191"/>
      <c r="DW63" s="191"/>
      <c r="DX63" s="191"/>
      <c r="DY63" s="191"/>
      <c r="DZ63" s="191"/>
      <c r="EA63" s="191"/>
      <c r="EB63" s="191"/>
      <c r="EC63" s="191"/>
      <c r="ED63" s="191"/>
      <c r="EE63" s="191"/>
      <c r="EF63" s="191"/>
      <c r="EG63" s="191"/>
      <c r="EH63" s="191"/>
      <c r="EI63" s="191"/>
      <c r="EJ63" s="191"/>
      <c r="EK63" s="191"/>
      <c r="EL63" s="191"/>
      <c r="EM63" s="191"/>
      <c r="EN63" s="191"/>
      <c r="EO63" s="191"/>
      <c r="EP63" s="191"/>
      <c r="EQ63" s="191"/>
      <c r="ER63" s="191"/>
      <c r="ES63" s="191"/>
      <c r="ET63" s="191"/>
      <c r="EU63" s="191"/>
      <c r="EV63" s="191"/>
      <c r="EW63" s="191"/>
      <c r="EX63" s="191"/>
      <c r="EY63" s="191"/>
      <c r="EZ63" s="191"/>
      <c r="FA63" s="191"/>
      <c r="FB63" s="191"/>
      <c r="FC63" s="191"/>
      <c r="FD63" s="191"/>
      <c r="FE63" s="191"/>
      <c r="FF63" s="191"/>
      <c r="FG63" s="191"/>
      <c r="FH63" s="191"/>
      <c r="FI63" s="191"/>
      <c r="FJ63" s="191"/>
      <c r="FK63" s="191"/>
      <c r="FL63" s="191"/>
      <c r="FM63" s="191"/>
      <c r="FN63" s="191"/>
      <c r="FO63" s="191"/>
      <c r="FP63" s="191"/>
      <c r="FQ63" s="191"/>
      <c r="FR63" s="191"/>
      <c r="FS63" s="191"/>
      <c r="FT63" s="191"/>
      <c r="FU63" s="191"/>
      <c r="FV63" s="191"/>
      <c r="FW63" s="191"/>
      <c r="FX63" s="191"/>
      <c r="FY63" s="191"/>
      <c r="FZ63" s="191"/>
      <c r="GA63" s="191"/>
      <c r="GB63" s="191"/>
      <c r="GC63" s="191"/>
      <c r="GD63" s="191"/>
      <c r="GE63" s="191"/>
      <c r="GF63" s="191"/>
      <c r="GG63" s="191"/>
      <c r="GH63" s="191"/>
      <c r="GI63" s="191"/>
      <c r="GJ63" s="191"/>
      <c r="GK63" s="191"/>
      <c r="GL63" s="191"/>
      <c r="GM63" s="191"/>
      <c r="GN63" s="191"/>
      <c r="GO63" s="191"/>
      <c r="GP63" s="191"/>
      <c r="GQ63" s="191"/>
      <c r="GR63" s="191"/>
      <c r="GS63" s="191"/>
      <c r="GT63" s="191"/>
      <c r="GU63" s="191"/>
      <c r="GV63" s="191"/>
      <c r="GW63" s="191"/>
      <c r="GX63" s="191"/>
      <c r="GY63" s="191"/>
      <c r="GZ63" s="191"/>
      <c r="HA63" s="191"/>
      <c r="HB63" s="191"/>
      <c r="HC63" s="191"/>
      <c r="HD63" s="191"/>
      <c r="HE63" s="191"/>
      <c r="HF63" s="191"/>
      <c r="HG63" s="191"/>
      <c r="HH63" s="191"/>
      <c r="HI63" s="191"/>
      <c r="HJ63" s="191"/>
      <c r="HK63" s="191"/>
      <c r="HL63" s="191"/>
      <c r="HM63" s="191"/>
      <c r="HN63" s="191"/>
      <c r="HO63" s="191"/>
      <c r="HP63" s="191"/>
      <c r="HQ63" s="191"/>
      <c r="HR63" s="191"/>
      <c r="HS63" s="191"/>
      <c r="HT63" s="191"/>
      <c r="HU63" s="191"/>
      <c r="HV63" s="191"/>
      <c r="HW63" s="191"/>
      <c r="HX63" s="191"/>
      <c r="HY63" s="191"/>
      <c r="HZ63" s="191"/>
      <c r="IA63" s="191"/>
      <c r="IB63" s="191"/>
      <c r="IC63" s="191"/>
      <c r="ID63" s="191"/>
      <c r="IE63" s="191"/>
      <c r="IF63" s="191"/>
      <c r="IG63" s="191"/>
      <c r="IH63" s="191"/>
      <c r="II63" s="191"/>
      <c r="IJ63" s="191"/>
      <c r="IK63" s="191"/>
      <c r="IL63" s="191"/>
      <c r="IM63" s="191"/>
      <c r="IN63" s="191"/>
      <c r="IO63" s="191"/>
      <c r="IP63" s="191"/>
      <c r="IQ63" s="191"/>
      <c r="IR63" s="191"/>
      <c r="IS63" s="191"/>
      <c r="IT63" s="191"/>
      <c r="IU63" s="191"/>
      <c r="IV63" s="191"/>
    </row>
    <row r="64" spans="1:256">
      <c r="A64" s="264" t="s">
        <v>4044</v>
      </c>
      <c r="B64" s="306" t="s">
        <v>4045</v>
      </c>
      <c r="C64" s="276" t="e">
        <f>IF('B THKP'!$C$154="DD",HLOOKUP(E64,TTDA,2,0),IF('B THKP'!$C$154="CN",HLOOKUP(E64,TTDA,3,0),IF('B THKP'!$C$154="GT",HLOOKUP(E64,TTDA,4,0),IF('B THKP'!$C$154="TL",HLOOKUP(E64,TTDA,5,0),IF('B THKP'!$C$154="HTKT",HLOOKUP(E64,TTDA,6,0))))))</f>
        <v>#REF!</v>
      </c>
      <c r="D64" s="303" t="e">
        <f>IF('B THKP'!$C$154="DD",HLOOKUP(F64,TTDA,2,0),IF('B THKP'!$C$154="CN",HLOOKUP(F64,TTDA,3,0),IF('B THKP'!$C$154="GT",HLOOKUP(F64,TTDA,4,0),IF('B THKP'!$C$154="TL",HLOOKUP(F64,TTDA,5,0),IF('B THKP'!$C$154="HTKT",HLOOKUP(F64,TTDA,6,0))))))</f>
        <v>#REF!</v>
      </c>
      <c r="E64" s="277" t="e">
        <f>IF(AND(G64&gt;=100,G64&lt;200),100,IF(AND(G64&gt;=200,G64&lt;500),200,IF(AND(G64&gt;=500,G64&lt;1000),500,IF(AND(G64&gt;=1000,G64&lt;2000),1000,IF(AND(G64&gt;=2000,G64&lt;5000),2000,IF(AND(G64&gt;=5000,G64&lt;10000),5000,IF(G64&gt;=10000,10000,IF(G64&lt;100,AA64))))))))</f>
        <v>#REF!</v>
      </c>
      <c r="F64" s="277" t="e">
        <f>IF(AND(G64&gt;=100,G64&lt;200),200,IF(AND(G64&gt;=200,G64&lt;500),500,IF(AND(G64&gt;=500,G64&lt;1000),1000,IF(AND(G64&gt;=1000,G64&lt;2000),2000,IF(AND(G64&gt;=2000,G64&lt;5000),5000,IF(AND(G64&gt;=5000,G64&lt;10000),10000,IF(G64&gt;=10000,10000,IF(G64&lt;100,AB64))))))))</f>
        <v>#REF!</v>
      </c>
      <c r="G64" s="278" t="e">
        <f>(GTT+'B THKP'!P13*0+TBL*0)*10^-9</f>
        <v>#REF!</v>
      </c>
      <c r="H64" s="279" t="e">
        <f>IF(OR(E64-G64=0,E64=F64),C64,C64-((C64-D64)/(F64-E64)*(G64-E64)))</f>
        <v>#REF!</v>
      </c>
      <c r="I64" s="280" t="e">
        <f>ROUND(H64,4)</f>
        <v>#REF!</v>
      </c>
      <c r="J64" s="281" t="e">
        <f>IF(TBL&lt;&gt;0,"(GTT+TBL)*","GTT*")</f>
        <v>#REF!</v>
      </c>
      <c r="K64" s="282" t="s">
        <v>3953</v>
      </c>
      <c r="L64" s="282"/>
      <c r="M64" s="282"/>
      <c r="N64" s="282"/>
      <c r="O64" s="282"/>
      <c r="P64" s="282"/>
      <c r="Q64" s="282"/>
      <c r="R64" s="282"/>
      <c r="S64" s="282">
        <v>1.1000000000000001</v>
      </c>
      <c r="T64" s="283" t="e">
        <f>J64&amp;I64&amp;K64&amp;L64&amp;M64&amp;N64&amp;O64&amp;P64&amp;Q64&amp;R64&amp;S64</f>
        <v>#REF!</v>
      </c>
      <c r="AA64" s="191" t="e">
        <f>IF(AND(G64&gt;=0,G64&lt;20),15,IF(AND(G64&gt;=20,G64&lt;50),20,IF(AND(G64&gt;=50,G64&lt;100),50)))</f>
        <v>#REF!</v>
      </c>
      <c r="AB64" s="191" t="e">
        <f>IF(AND(G64&gt;=0,G64&lt;20),20,IF(AND(G64&gt;=20,G64&lt;50),50,IF(AND(G64&gt;=50,G64&lt;100),100,IF(AND(G64&gt;=100,G64&lt;200),200))))</f>
        <v>#REF!</v>
      </c>
    </row>
    <row r="65" spans="1:28">
      <c r="A65" s="264" t="s">
        <v>4046</v>
      </c>
      <c r="B65" s="306" t="s">
        <v>4047</v>
      </c>
      <c r="C65" s="276" t="e">
        <f>IF('B THKP'!$C$154="DD",HLOOKUP(E65,TDTK,2,0),IF('B THKP'!$C$154="CN",HLOOKUP(E65,TDTK,3,0),IF('B THKP'!$C$154="GT",HLOOKUP(E65,TDTK,4,0),IF('B THKP'!$C$154="TL",HLOOKUP(E65,TDTK,5,0),IF('B THKP'!$C$154="HTKT",HLOOKUP(E65,TDTK,6,0))))))</f>
        <v>#REF!</v>
      </c>
      <c r="D65" s="303" t="e">
        <f>IF('B THKP'!$C$154="DD",HLOOKUP(F65,TDTK,2,0),IF('B THKP'!$C$154="CN",HLOOKUP(F65,TDTK,3,0),IF('B THKP'!$C$154="GT",HLOOKUP(F65,TDTK,4,0),IF('B THKP'!$C$154="TL",HLOOKUP(F65,TDTK,5,0),IF('B THKP'!$C$154="HTKT",HLOOKUP(F65,TDTK,6,0))))))</f>
        <v>#REF!</v>
      </c>
      <c r="E65" s="277" t="e">
        <f>IF(AND(G65&gt;=100,G65&lt;200),100,IF(AND(G65&gt;=200,G65&lt;500),200,IF(AND(G65&gt;=500,G65&lt;1000),500,IF(AND(G65&gt;=1000,G65&lt;2000),1000,IF(AND(G65&gt;=2000,G65&lt;5000),2000,IF(AND(G65&gt;=5000,G65&lt;10000),5000,IF(G65&gt;=10000,10000,IF(G65&lt;100,AA65))))))))</f>
        <v>#REF!</v>
      </c>
      <c r="F65" s="277" t="e">
        <f>IF(AND(G65&gt;=100,G65&lt;200),200,IF(AND(G65&gt;=200,G65&lt;500),500,IF(AND(G65&gt;=500,G65&lt;1000),1000,IF(AND(G65&gt;=1000,G65&lt;2000),2000,IF(AND(G65&gt;=2000,G65&lt;5000),5000,IF(AND(G65&gt;=5000,G65&lt;10000),10000,IF(G65&gt;=10000,10000,IF(G65&lt;100,AB65))))))))</f>
        <v>#REF!</v>
      </c>
      <c r="G65" s="278" t="e">
        <f>(GTT+'B THKP'!P13*0+TBL*0)*10^-9</f>
        <v>#REF!</v>
      </c>
      <c r="H65" s="279" t="e">
        <f>IF(OR(E65-G65=0,E65=F65),C65,C65-((C65-D65)/(F65-E65)*(G65-E65)))</f>
        <v>#REF!</v>
      </c>
      <c r="I65" s="280" t="e">
        <f>ROUND(H65,4)</f>
        <v>#REF!</v>
      </c>
      <c r="J65" s="281" t="e">
        <f>IF(TBL&lt;&gt;0,"(GTT+TBL)*","GTT*")</f>
        <v>#REF!</v>
      </c>
      <c r="K65" s="282" t="s">
        <v>3953</v>
      </c>
      <c r="L65" s="282"/>
      <c r="M65" s="282"/>
      <c r="N65" s="282"/>
      <c r="O65" s="282"/>
      <c r="P65" s="282"/>
      <c r="Q65" s="282">
        <v>50</v>
      </c>
      <c r="R65" s="282" t="s">
        <v>104</v>
      </c>
      <c r="S65" s="282"/>
      <c r="T65" s="283" t="e">
        <f>J65&amp;I65&amp;K65&amp;L65&amp;M65&amp;N65&amp;O65&amp;P65&amp;Q65&amp;R65&amp;S65</f>
        <v>#REF!</v>
      </c>
      <c r="AA65" s="191" t="e">
        <f>IF(AND(G65&gt;=0.5,G65&lt;1),0.5,IF(AND(G65&gt;=1,G65&lt;5),1,IF(AND(G65&gt;=5,G65&lt;15),5,IF(AND(G65&gt;=15,G65&lt;25),15,IF(AND(G65&gt;=25,G65&lt;50),25,IF(AND(G65&gt;=50,G65&lt;100),50,IF(G65&lt;=0.5,0.5)))))))</f>
        <v>#REF!</v>
      </c>
      <c r="AB65" s="191" t="e">
        <f>IF(AND(G65&gt;=0.5,G65&lt;1),1,IF(AND(G65&gt;=1,G65&lt;5),5,IF(AND(G65&gt;=5,G65&lt;15),15,IF(AND(G65&gt;=15,G65&lt;25),25,IF(AND(G65&gt;=25,G65&lt;50),50,IF(AND(G65&gt;=50,G65&lt;100),100,IF(G65&lt;=0.5,0.5)))))))</f>
        <v>#REF!</v>
      </c>
    </row>
    <row r="66" spans="1:28">
      <c r="A66" s="264" t="s">
        <v>4046</v>
      </c>
      <c r="B66" s="306" t="s">
        <v>4048</v>
      </c>
      <c r="C66" s="276" t="e">
        <f>IF('B THKP'!$C$154="DD",HLOOKUP(E66,TDDT,2,0),IF('B THKP'!$C$154="CN",HLOOKUP(E66,TDDT,3,0),IF('B THKP'!$C$154="GT",HLOOKUP(E66,TDDT,4,0),IF('B THKP'!$C$154="TL",HLOOKUP(E66,TDDT,5,0),IF('B THKP'!$C$154="HTKT",HLOOKUP(E66,TDDT,6,0))))))</f>
        <v>#REF!</v>
      </c>
      <c r="D66" s="303" t="e">
        <f>IF('B THKP'!$C$154="DD",HLOOKUP(F66,TDDT,2,0),IF('B THKP'!$C$154="CN",HLOOKUP(F66,TDDT,3,0),IF('B THKP'!$C$154="GT",HLOOKUP(F66,TDDT,4,0),IF('B THKP'!$C$154="TL",HLOOKUP(F66,TDDT,5,0),IF('B THKP'!$C$154="HTKT",HLOOKUP(F66,TDDT,6,0))))))</f>
        <v>#REF!</v>
      </c>
      <c r="E66" s="277" t="e">
        <f>IF(AND(G66&gt;=100,G66&lt;200),100,IF(AND(G66&gt;=200,G66&lt;500),200,IF(AND(G66&gt;=500,G66&lt;1000),500,IF(AND(G66&gt;=1000,G66&lt;2000),1000,IF(AND(G66&gt;=2000,G66&lt;5000),2000,IF(AND(G66&gt;=5000,G66&lt;10000),5000,IF(G66&gt;=10000,10000,IF(G66&lt;100,AA66))))))))</f>
        <v>#REF!</v>
      </c>
      <c r="F66" s="277" t="e">
        <f>IF(AND(G66&gt;=100,G66&lt;200),200,IF(AND(G66&gt;=200,G66&lt;500),500,IF(AND(G66&gt;=500,G66&lt;1000),1000,IF(AND(G66&gt;=1000,G66&lt;2000),2000,IF(AND(G66&gt;=2000,G66&lt;5000),5000,IF(AND(G66&gt;=5000,G66&lt;10000),10000,IF(G66&gt;=10000,10000,IF(G66&lt;100,AB66))))))))</f>
        <v>#REF!</v>
      </c>
      <c r="G66" s="278" t="e">
        <f>(GTT+'B THKP'!P15*0+TBL*0)*10^-9</f>
        <v>#REF!</v>
      </c>
      <c r="H66" s="279" t="e">
        <f>IF(OR(E66-G66=0,E66=F66),C66,C66-((C66-D66)/(F66-E66)*(G66-E66)))</f>
        <v>#REF!</v>
      </c>
      <c r="I66" s="280" t="e">
        <f>ROUND(H66,4)</f>
        <v>#REF!</v>
      </c>
      <c r="J66" s="281" t="e">
        <f>IF(TBL&lt;&gt;0,"(GTT+TBL)*","GTT*")</f>
        <v>#REF!</v>
      </c>
      <c r="K66" s="282" t="s">
        <v>3953</v>
      </c>
      <c r="L66" s="282"/>
      <c r="M66" s="282"/>
      <c r="N66" s="282"/>
      <c r="O66" s="282"/>
      <c r="P66" s="282"/>
      <c r="Q66" s="282">
        <v>50</v>
      </c>
      <c r="R66" s="282" t="s">
        <v>104</v>
      </c>
      <c r="S66" s="282"/>
      <c r="T66" s="283" t="e">
        <f>J66&amp;I66&amp;K66&amp;L66&amp;M66&amp;N66&amp;O66&amp;P66&amp;Q66&amp;R66&amp;S66</f>
        <v>#REF!</v>
      </c>
      <c r="AA66" s="191" t="e">
        <f>IF(AND(G66&gt;=0.5,G66&lt;1),0.5,IF(AND(G66&gt;=1,G66&lt;5),1,IF(AND(G66&gt;=5,G66&lt;15),5,IF(AND(G66&gt;=15,G66&lt;25),15,IF(AND(G66&gt;=25,G66&lt;50),25,IF(AND(G66&gt;=50,G66&lt;100),50,IF(G66&lt;=0.5,0.5)))))))</f>
        <v>#REF!</v>
      </c>
      <c r="AB66" s="191" t="e">
        <f>IF(AND(G66&gt;=0.5,G66&lt;1),1,IF(AND(G66&gt;=1,G66&lt;5),5,IF(AND(G66&gt;=5,G66&lt;15),15,IF(AND(G66&gt;=15,G66&lt;25),25,IF(AND(G66&gt;=25,G66&lt;50),50,IF(AND(G66&gt;=50,G66&lt;100),100,IF(G66&lt;=0.5,0.5)))))))</f>
        <v>#REF!</v>
      </c>
    </row>
    <row r="67" spans="1:28">
      <c r="A67" s="264"/>
      <c r="B67" s="307"/>
      <c r="C67" s="302"/>
      <c r="D67" s="308"/>
      <c r="E67" s="300"/>
      <c r="F67" s="300"/>
      <c r="G67" s="253"/>
      <c r="H67" s="309"/>
      <c r="I67" s="281"/>
      <c r="J67" s="301"/>
    </row>
    <row r="68" spans="1:28">
      <c r="A68" s="264" t="s">
        <v>4046</v>
      </c>
      <c r="B68" s="306" t="s">
        <v>4047</v>
      </c>
      <c r="C68" s="303" t="e">
        <f>IF('B THKP'!$C$154="DD",HLOOKUP(E68,TDTKC,2,0),IF('B THKP'!$C$154="CN",HLOOKUP(E68,TDTKC,3,0),IF('B THKP'!$C$154="GT",HLOOKUP(E68,TDTKC,4,0),IF('B THKP'!$C$154="TL",HLOOKUP(E68,TDTKC,5,0),IF('B THKP'!$C$154="HTKT",HLOOKUP(E68,TDTKC,6,0))))))</f>
        <v>#REF!</v>
      </c>
      <c r="D68" s="303" t="e">
        <f>IF('B THKP'!$C$154="DD",HLOOKUP(F68,TDTKC,2,0),IF('B THKP'!$C$154="CN",HLOOKUP(F68,TDTKC,3,0),IF('B THKP'!$C$154="GT",HLOOKUP(F68,TDTKC,4,0),IF('B THKP'!$C$154="TL",HLOOKUP(F68,TDTKC,5,0),IF('B THKP'!$C$154="HTKT",HLOOKUP(F68,TDTKC,6,0))))))</f>
        <v>#REF!</v>
      </c>
      <c r="E68" s="277" t="e">
        <f>IF(AND(G68&gt;=100,G68&lt;200),100,IF(AND(G68&gt;=200,G68&lt;500),200,IF(AND(G68&gt;=500,G68&lt;1000),500,IF(AND(G68&gt;=1000,G68&lt;2000),1000,IF(AND(G68&gt;=2000,G68&lt;5000),2000,IF(AND(G68&gt;=5000,G68&lt;10000),5000,IF(G68&gt;=10000,10000,IF(G68&lt;100,AA68))))))))</f>
        <v>#REF!</v>
      </c>
      <c r="F68" s="277" t="e">
        <f>IF(AND(G68&gt;=100,G68&lt;200),200,IF(AND(G68&gt;=200,G68&lt;500),500,IF(AND(G68&gt;=500,G68&lt;1000),1000,IF(AND(G68&gt;=1000,G68&lt;2000),2000,IF(AND(G68&gt;=2000,G68&lt;5000),5000,IF(AND(G68&gt;=5000,G68&lt;10000),10000,IF(G68&gt;=10000,10000,IF(G68&lt;100,AB68))))))))</f>
        <v>#REF!</v>
      </c>
      <c r="G68" s="278" t="e">
        <f>(GTT+'B THKP'!P18*0+TBL*0)*10^-9</f>
        <v>#REF!</v>
      </c>
      <c r="H68" s="279" t="e">
        <f>IF(OR(E68-G68=0,E68=F68),C68,C68-((C68-D68)/(F68-E68)*(G68-E68)))</f>
        <v>#REF!</v>
      </c>
      <c r="I68" s="280" t="e">
        <f>ROUND(H68,4)</f>
        <v>#REF!</v>
      </c>
      <c r="J68" s="281" t="e">
        <f>IF(TBL&lt;&gt;0,"(GTT+TBL)*","GTT*")</f>
        <v>#REF!</v>
      </c>
      <c r="K68" s="282" t="s">
        <v>3953</v>
      </c>
      <c r="L68" s="282"/>
      <c r="M68" s="282"/>
      <c r="N68" s="282"/>
      <c r="O68" s="282"/>
      <c r="P68" s="282"/>
      <c r="Q68" s="282">
        <v>50</v>
      </c>
      <c r="R68" s="282" t="s">
        <v>104</v>
      </c>
      <c r="S68" s="282"/>
      <c r="T68" s="283" t="e">
        <f>J68&amp;I68&amp;K68&amp;L68&amp;M68&amp;N68&amp;O68&amp;P68&amp;Q68&amp;R68&amp;S68</f>
        <v>#REF!</v>
      </c>
      <c r="AA68" s="191" t="e">
        <f>IF(AND(G68&gt;=0.5,G68&lt;1),0.5,IF(AND(G68&gt;=1,G68&lt;5),1,IF(AND(G68&gt;=5,G68&lt;15),5,IF(AND(G68&gt;=15,G68&lt;25),15,IF(AND(G68&gt;=25,G68&lt;50),25,IF(AND(G68&gt;=50,G68&lt;100),50,IF(G68&lt;=0.5,0.5)))))))</f>
        <v>#REF!</v>
      </c>
      <c r="AB68" s="191" t="e">
        <f>IF(AND(G68&gt;=0.5,G68&lt;1),1,IF(AND(G68&gt;=1,G68&lt;5),5,IF(AND(G68&gt;=5,G68&lt;15),15,IF(AND(G68&gt;=15,G68&lt;25),25,IF(AND(G68&gt;=25,G68&lt;50),50,IF(AND(G68&gt;=50,G68&lt;100),100,IF(G68&lt;=0.5,0.5)))))))</f>
        <v>#REF!</v>
      </c>
    </row>
    <row r="69" spans="1:28">
      <c r="A69" s="264" t="s">
        <v>4046</v>
      </c>
      <c r="B69" s="306" t="s">
        <v>4048</v>
      </c>
      <c r="C69" s="276" t="e">
        <f>IF('B THKP'!$C$154="DD",HLOOKUP(E69,TDDTC,2,0),IF('B THKP'!$C$154="CN",HLOOKUP(E69,TDDTC,3,0),IF('B THKP'!$C$154="GT",HLOOKUP(E69,TDDTC,4,0),IF('B THKP'!$C$154="TL",HLOOKUP(E69,TDDTC,5,0),IF('B THKP'!$C$154="HTKT",HLOOKUP(E69,TDDTC,6,0))))))</f>
        <v>#REF!</v>
      </c>
      <c r="D69" s="303" t="e">
        <f>IF('B THKP'!$C$154="DD",HLOOKUP(F69,TDDTC,2,0),IF('B THKP'!$C$154="CN",HLOOKUP(F69,TDDTC,3,0),IF('B THKP'!$C$154="GT",HLOOKUP(F69,TDDTC,4,0),IF('B THKP'!$C$154="TL",HLOOKUP(F69,TDDTC,5,0),IF('B THKP'!$C$154="HTKT",HLOOKUP(F69,TDDTC,6,0))))))</f>
        <v>#REF!</v>
      </c>
      <c r="E69" s="277" t="e">
        <f>IF(AND(G69&gt;=100,G69&lt;200),100,IF(AND(G69&gt;=200,G69&lt;500),200,IF(AND(G69&gt;=500,G69&lt;1000),500,IF(AND(G69&gt;=1000,G69&lt;2000),1000,IF(AND(G69&gt;=2000,G69&lt;5000),2000,IF(AND(G69&gt;=5000,G69&lt;10000),5000,IF(G69&gt;=10000,10000,IF(G69&lt;100,AA69))))))))</f>
        <v>#REF!</v>
      </c>
      <c r="F69" s="277" t="e">
        <f>IF(AND(G69&gt;=100,G69&lt;200),200,IF(AND(G69&gt;=200,G69&lt;500),500,IF(AND(G69&gt;=500,G69&lt;1000),1000,IF(AND(G69&gt;=1000,G69&lt;2000),2000,IF(AND(G69&gt;=2000,G69&lt;5000),5000,IF(AND(G69&gt;=5000,G69&lt;10000),10000,IF(G69&gt;=10000,10000,IF(G69&lt;100,AB69))))))))</f>
        <v>#REF!</v>
      </c>
      <c r="G69" s="278" t="e">
        <f>(GTT+'B THKP'!P19*0+TBL*0)*10^-9</f>
        <v>#REF!</v>
      </c>
      <c r="H69" s="279" t="e">
        <f>IF(OR(E69-G69=0,E69=F69),C69,C69-((C69-D69)/(F69-E69)*(G69-E69)))</f>
        <v>#REF!</v>
      </c>
      <c r="I69" s="280" t="e">
        <f>ROUND(H69,4)</f>
        <v>#REF!</v>
      </c>
      <c r="J69" s="281" t="e">
        <f>IF(TBL&lt;&gt;0,"(GTT+TBL)*","GTT*")</f>
        <v>#REF!</v>
      </c>
      <c r="K69" s="282" t="s">
        <v>3953</v>
      </c>
      <c r="L69" s="282"/>
      <c r="M69" s="282"/>
      <c r="N69" s="282"/>
      <c r="O69" s="282"/>
      <c r="P69" s="282"/>
      <c r="Q69" s="282">
        <v>50</v>
      </c>
      <c r="R69" s="282" t="s">
        <v>104</v>
      </c>
      <c r="S69" s="282"/>
      <c r="T69" s="283" t="e">
        <f>J69&amp;I69&amp;K69&amp;L69&amp;M69&amp;N69&amp;O69&amp;P69&amp;Q69&amp;R69&amp;S69</f>
        <v>#REF!</v>
      </c>
      <c r="AA69" s="191" t="e">
        <f>IF(AND(G69&gt;=0.5,G69&lt;1),0.5,IF(AND(G69&gt;=1,G69&lt;5),1,IF(AND(G69&gt;=5,G69&lt;15),5,IF(AND(G69&gt;=15,G69&lt;25),15,IF(AND(G69&gt;=25,G69&lt;50),25,IF(AND(G69&gt;=50,G69&lt;100),50,IF(G69&lt;=0.5,0.5)))))))</f>
        <v>#REF!</v>
      </c>
      <c r="AB69" s="191" t="e">
        <f>IF(AND(G69&gt;=0.5,G69&lt;1),1,IF(AND(G69&gt;=1,G69&lt;5),5,IF(AND(G69&gt;=5,G69&lt;15),15,IF(AND(G69&gt;=15,G69&lt;25),25,IF(AND(G69&gt;=25,G69&lt;50),50,IF(AND(G69&gt;=50,G69&lt;100),100,IF(G69&lt;=0.5,0.5)))))))</f>
        <v>#REF!</v>
      </c>
    </row>
    <row r="70" spans="1:28">
      <c r="A70" s="264" t="s">
        <v>4046</v>
      </c>
      <c r="B70" s="306" t="s">
        <v>4047</v>
      </c>
      <c r="C70" s="303" t="e">
        <f>IF('B THKP'!$C$154="DD",HLOOKUP(E70,TDTKK,2,0),IF('B THKP'!$C$154="CN",HLOOKUP(E70,TDTKK,3,0),IF('B THKP'!$C$154="GT",HLOOKUP(E70,TDTKK,4,0),IF('B THKP'!$C$154="TL",HLOOKUP(E70,TDTKK,5,0),IF('B THKP'!$C$154="HTKT",HLOOKUP(E70,TDTKK,6,0))))))</f>
        <v>#REF!</v>
      </c>
      <c r="D70" s="303" t="e">
        <f>IF('B THKP'!$C$154="DD",HLOOKUP(F70,TDTKK,2,0),IF('B THKP'!$C$154="CN",HLOOKUP(F70,TDTKK,3,0),IF('B THKP'!$C$154="GT",HLOOKUP(F70,TDTKK,4,0),IF('B THKP'!$C$154="TL",HLOOKUP(F70,TDTKK,5,0),IF('B THKP'!$C$154="HTKT",HLOOKUP(F70,TDTKK,6,0))))))</f>
        <v>#REF!</v>
      </c>
      <c r="E70" s="277" t="e">
        <f>IF(AND(G70&gt;=100,G70&lt;200),100,IF(AND(G70&gt;=200,G70&lt;500),200,IF(AND(G70&gt;=500,G70&lt;1000),500,IF(AND(G70&gt;=1000,G70&lt;2000),1000,IF(AND(G70&gt;=2000,G70&lt;5000),2000,IF(AND(G70&gt;=5000,G70&lt;10000),5000,IF(G70&gt;=10000,10000,IF(G70&lt;100,AA70))))))))</f>
        <v>#REF!</v>
      </c>
      <c r="F70" s="277" t="e">
        <f>IF(AND(G70&gt;=100,G70&lt;200),200,IF(AND(G70&gt;=200,G70&lt;500),500,IF(AND(G70&gt;=500,G70&lt;1000),1000,IF(AND(G70&gt;=1000,G70&lt;2000),2000,IF(AND(G70&gt;=2000,G70&lt;5000),5000,IF(AND(G70&gt;=5000,G70&lt;10000),10000,IF(G70&gt;=10000,10000,IF(G70&lt;100,AB70))))))))</f>
        <v>#REF!</v>
      </c>
      <c r="G70" s="278" t="e">
        <f>(GTT+'B THKP'!P20*0+TBL*0)*10^-9</f>
        <v>#REF!</v>
      </c>
      <c r="H70" s="279" t="e">
        <f>IF(OR(E70-G70=0,E70=F70),C70,C70-((C70-D70)/(F70-E70)*(G70-E70)))</f>
        <v>#REF!</v>
      </c>
      <c r="I70" s="280" t="e">
        <f>ROUND(H70,4)</f>
        <v>#REF!</v>
      </c>
      <c r="J70" s="281" t="e">
        <f>IF(TBL&lt;&gt;0,"(GTT+TBL)*","GTT*")</f>
        <v>#REF!</v>
      </c>
      <c r="K70" s="282" t="s">
        <v>3953</v>
      </c>
      <c r="L70" s="282"/>
      <c r="M70" s="282"/>
      <c r="N70" s="282"/>
      <c r="O70" s="282"/>
      <c r="P70" s="282"/>
      <c r="Q70" s="282">
        <v>50</v>
      </c>
      <c r="R70" s="282" t="s">
        <v>104</v>
      </c>
      <c r="S70" s="282"/>
      <c r="T70" s="283" t="e">
        <f>J70&amp;I70&amp;K70&amp;L70&amp;M70&amp;N70&amp;O70&amp;P70&amp;Q70&amp;R70&amp;S70</f>
        <v>#REF!</v>
      </c>
      <c r="AA70" s="191" t="e">
        <f>IF(AND(G70&gt;=0.5,G70&lt;1),0.5,IF(AND(G70&gt;=1,G70&lt;5),1,IF(AND(G70&gt;=5,G70&lt;15),5,IF(AND(G70&gt;=15,G70&lt;25),15,IF(AND(G70&gt;=25,G70&lt;50),25,IF(AND(G70&gt;=50,G70&lt;100),50,IF(G70&lt;=0.5,0.5)))))))</f>
        <v>#REF!</v>
      </c>
      <c r="AB70" s="191" t="e">
        <f>IF(AND(G70&gt;=0.5,G70&lt;1),1,IF(AND(G70&gt;=1,G70&lt;5),5,IF(AND(G70&gt;=5,G70&lt;15),15,IF(AND(G70&gt;=15,G70&lt;25),25,IF(AND(G70&gt;=25,G70&lt;50),50,IF(AND(G70&gt;=50,G70&lt;100),100,IF(G70&lt;=0.5,0.5)))))))</f>
        <v>#REF!</v>
      </c>
    </row>
    <row r="71" spans="1:28">
      <c r="A71" s="264"/>
      <c r="B71" s="307"/>
      <c r="C71" s="302"/>
      <c r="D71" s="308"/>
      <c r="E71" s="300"/>
      <c r="F71" s="300"/>
      <c r="G71" s="253"/>
      <c r="H71" s="309"/>
      <c r="I71" s="281"/>
      <c r="J71" s="301"/>
    </row>
    <row r="72" spans="1:28" s="249" customFormat="1">
      <c r="A72" s="264" t="s">
        <v>4046</v>
      </c>
      <c r="B72" s="274" t="s">
        <v>4049</v>
      </c>
      <c r="C72" s="260"/>
      <c r="D72" s="260"/>
      <c r="E72" s="261"/>
      <c r="F72" s="262"/>
      <c r="G72" s="260"/>
      <c r="H72" s="263"/>
      <c r="I72" s="264"/>
      <c r="K72" s="250"/>
      <c r="L72" s="250"/>
      <c r="M72" s="250"/>
      <c r="N72" s="250"/>
      <c r="O72" s="250"/>
      <c r="P72" s="250"/>
      <c r="Q72" s="250"/>
      <c r="R72" s="250"/>
      <c r="S72" s="250"/>
    </row>
    <row r="73" spans="1:28" s="249" customFormat="1">
      <c r="A73" s="264" t="s">
        <v>4050</v>
      </c>
      <c r="B73" s="274" t="s">
        <v>4051</v>
      </c>
      <c r="C73" s="260"/>
      <c r="D73" s="260"/>
      <c r="E73" s="261"/>
      <c r="F73" s="262"/>
      <c r="G73" s="260"/>
      <c r="H73" s="263"/>
      <c r="I73" s="264"/>
      <c r="K73" s="250"/>
      <c r="L73" s="250"/>
      <c r="M73" s="250"/>
      <c r="N73" s="250"/>
      <c r="O73" s="250"/>
      <c r="P73" s="250"/>
      <c r="Q73" s="250"/>
      <c r="R73" s="250"/>
      <c r="S73" s="250"/>
    </row>
    <row r="74" spans="1:28" s="249" customFormat="1">
      <c r="A74" s="264" t="s">
        <v>4052</v>
      </c>
      <c r="B74" s="274" t="s">
        <v>4053</v>
      </c>
      <c r="C74" s="260"/>
      <c r="D74" s="260"/>
      <c r="E74" s="261"/>
      <c r="F74" s="262"/>
      <c r="G74" s="260"/>
      <c r="H74" s="263"/>
      <c r="I74" s="264"/>
      <c r="K74" s="250"/>
      <c r="L74" s="250"/>
      <c r="M74" s="250"/>
      <c r="N74" s="250"/>
      <c r="O74" s="250"/>
      <c r="P74" s="250"/>
      <c r="Q74" s="250"/>
      <c r="R74" s="250"/>
      <c r="S74" s="250"/>
    </row>
    <row r="75" spans="1:28" s="249" customFormat="1">
      <c r="A75" s="264" t="s">
        <v>4054</v>
      </c>
      <c r="B75" s="274" t="s">
        <v>4055</v>
      </c>
      <c r="C75" s="260"/>
      <c r="D75" s="260"/>
      <c r="E75" s="261"/>
      <c r="F75" s="262"/>
      <c r="G75" s="260"/>
      <c r="H75" s="263"/>
      <c r="I75" s="264"/>
      <c r="K75" s="250"/>
      <c r="L75" s="250"/>
      <c r="M75" s="250"/>
      <c r="N75" s="250"/>
      <c r="O75" s="250"/>
      <c r="P75" s="250"/>
      <c r="Q75" s="250"/>
      <c r="R75" s="250"/>
      <c r="S75" s="250"/>
    </row>
    <row r="76" spans="1:28" s="249" customFormat="1">
      <c r="A76" s="264" t="s">
        <v>4056</v>
      </c>
      <c r="B76" s="274" t="s">
        <v>4057</v>
      </c>
      <c r="C76" s="260"/>
      <c r="D76" s="260"/>
      <c r="E76" s="261"/>
      <c r="F76" s="262"/>
      <c r="G76" s="260"/>
      <c r="H76" s="263"/>
      <c r="I76" s="264"/>
      <c r="K76" s="250"/>
      <c r="L76" s="250"/>
      <c r="M76" s="250"/>
      <c r="N76" s="250"/>
      <c r="O76" s="250"/>
      <c r="P76" s="250"/>
      <c r="Q76" s="250"/>
      <c r="R76" s="250"/>
      <c r="S76" s="250"/>
    </row>
    <row r="77" spans="1:28" s="249" customFormat="1">
      <c r="A77" s="264"/>
      <c r="B77" s="274" t="s">
        <v>205</v>
      </c>
      <c r="C77" s="303">
        <f>IF('B THKP'!$C$154="DD",HLOOKUP(E77,PCCC,3,0),IF('B THKP'!$C$154="CN",HLOOKUP(E77,PCCC,6,0),IF('B THKP'!$C$154="GT",HLOOKUP(E77,PCCC,4,0),IF('B THKP'!$C$154="TL",HLOOKUP(E77,PCCC,9,0),IF('B THKP'!$C$154="HTKT",HLOOKUP(E77,PCCC,1,0))))))</f>
        <v>3.7569999999999999E-2</v>
      </c>
      <c r="D77" s="310">
        <f>IF('B THKP'!$C$154="DD",HLOOKUP(F77,PCCC,3,0),IF('B THKP'!$C$154="CN",HLOOKUP(F77,PCCC,6,0),IF('B THKP'!$C$154="GT",HLOOKUP(F77,PCCC,4,0),IF('B THKP'!$C$154="TL",HLOOKUP(F77,PCCC,9,0),IF('B THKP'!$C$154="HTKT",HLOOKUP(F77,PCCC,1,0))))))</f>
        <v>9.5999999999999992E-3</v>
      </c>
      <c r="E77" s="261">
        <f>IF(TMÑT&lt;=50*10^9,15,IF(TMÑT&lt;=100*10^9,50,IF(TMÑT&lt;=500*10^9,100,IF(TMÑT&lt;=1000*10^9,500,IF(TMÑT&lt;=5000*10^9,500,IF(TMÑT&lt;=10000*10^9,5000))))))</f>
        <v>100</v>
      </c>
      <c r="F77" s="262">
        <f>IF(TMÑT&lt;=50*10^9,50,IF(TMÑT&lt;=100*10^9,100,IF(TMÑT&lt;=500*10^9,500,IF(TMÑT&lt;=1000*10^9,1000,IF(TMÑT&lt;=5000*10^9,5000,IF(TMÑT&lt;=10000*10^9,10000))))))</f>
        <v>500</v>
      </c>
      <c r="G77" s="260">
        <f>TMÑT*10^-9</f>
        <v>176.86302564600001</v>
      </c>
      <c r="H77" s="279">
        <f>IF(OR(E77-G77=0,E77=F77),C77,C77-((C77-D77)/(F77-E77)*(G77-E77)))</f>
        <v>3.2195352931703447E-2</v>
      </c>
      <c r="I77" s="280">
        <f>ROUND(H77,4)</f>
        <v>3.2199999999999999E-2</v>
      </c>
      <c r="K77" s="250"/>
      <c r="L77" s="250"/>
      <c r="M77" s="250"/>
      <c r="N77" s="250"/>
      <c r="O77" s="250"/>
      <c r="P77" s="250"/>
      <c r="Q77" s="250"/>
      <c r="R77" s="250"/>
      <c r="S77" s="250"/>
    </row>
    <row r="78" spans="1:28" s="249" customFormat="1">
      <c r="A78" s="264"/>
      <c r="B78" s="274"/>
      <c r="C78" s="260"/>
      <c r="D78" s="260"/>
      <c r="E78" s="261"/>
      <c r="F78" s="262"/>
      <c r="G78" s="260"/>
      <c r="H78" s="263"/>
      <c r="I78" s="264"/>
      <c r="K78" s="250"/>
      <c r="L78" s="250"/>
      <c r="M78" s="250"/>
      <c r="N78" s="250"/>
      <c r="O78" s="250"/>
      <c r="P78" s="250"/>
      <c r="Q78" s="250"/>
      <c r="R78" s="250"/>
      <c r="S78" s="250"/>
    </row>
    <row r="79" spans="1:28" s="249" customFormat="1">
      <c r="A79" s="264"/>
      <c r="B79" s="274"/>
      <c r="C79" s="260"/>
      <c r="D79" s="260"/>
      <c r="E79" s="261"/>
      <c r="F79" s="262"/>
      <c r="G79" s="260"/>
      <c r="H79" s="263"/>
      <c r="I79" s="264"/>
      <c r="K79" s="250"/>
      <c r="L79" s="250"/>
      <c r="M79" s="250"/>
      <c r="N79" s="250"/>
      <c r="O79" s="250"/>
      <c r="P79" s="250"/>
      <c r="Q79" s="250"/>
      <c r="R79" s="250"/>
      <c r="S79" s="250"/>
    </row>
    <row r="80" spans="1:28" s="249" customFormat="1">
      <c r="A80" s="264" t="s">
        <v>4058</v>
      </c>
      <c r="B80" s="272" t="s">
        <v>4059</v>
      </c>
      <c r="C80" s="260"/>
      <c r="D80" s="260"/>
      <c r="E80" s="261"/>
      <c r="F80" s="262"/>
      <c r="G80" s="260"/>
      <c r="H80" s="263"/>
      <c r="I80" s="264"/>
      <c r="K80" s="250"/>
      <c r="L80" s="250"/>
      <c r="M80" s="250"/>
      <c r="N80" s="250"/>
      <c r="O80" s="250"/>
      <c r="P80" s="250"/>
      <c r="Q80" s="250"/>
      <c r="R80" s="250"/>
      <c r="S80" s="250"/>
    </row>
    <row r="81" spans="1:19" s="249" customFormat="1">
      <c r="A81" s="264" t="s">
        <v>1928</v>
      </c>
      <c r="B81" s="272" t="s">
        <v>598</v>
      </c>
      <c r="C81" s="260"/>
      <c r="D81" s="260"/>
      <c r="E81" s="261"/>
      <c r="F81" s="262"/>
      <c r="G81" s="260"/>
      <c r="H81" s="263"/>
      <c r="I81" s="264"/>
      <c r="K81" s="250"/>
      <c r="L81" s="250"/>
      <c r="M81" s="250"/>
      <c r="N81" s="250"/>
      <c r="O81" s="250"/>
      <c r="P81" s="250"/>
      <c r="Q81" s="250"/>
      <c r="R81" s="250"/>
      <c r="S81" s="250"/>
    </row>
    <row r="82" spans="1:19" s="249" customFormat="1">
      <c r="A82" s="264" t="s">
        <v>4</v>
      </c>
      <c r="B82" s="274" t="s">
        <v>4060</v>
      </c>
      <c r="C82" s="260"/>
      <c r="D82" s="260"/>
      <c r="E82" s="261"/>
      <c r="F82" s="262"/>
      <c r="G82" s="260"/>
      <c r="H82" s="263"/>
      <c r="I82" s="264"/>
      <c r="K82" s="250"/>
      <c r="L82" s="250"/>
      <c r="M82" s="250"/>
      <c r="N82" s="250"/>
      <c r="O82" s="250"/>
      <c r="P82" s="250"/>
      <c r="Q82" s="250"/>
      <c r="R82" s="250"/>
      <c r="S82" s="250"/>
    </row>
    <row r="83" spans="1:19" s="249" customFormat="1">
      <c r="A83" s="264"/>
      <c r="B83" s="272" t="s">
        <v>4061</v>
      </c>
      <c r="C83" s="260"/>
      <c r="D83" s="260"/>
      <c r="E83" s="261"/>
      <c r="F83" s="262"/>
      <c r="G83" s="260"/>
      <c r="H83" s="263"/>
      <c r="I83" s="264"/>
      <c r="K83" s="250"/>
      <c r="L83" s="250"/>
      <c r="M83" s="250"/>
      <c r="N83" s="250"/>
      <c r="O83" s="250"/>
      <c r="P83" s="250"/>
      <c r="Q83" s="250"/>
      <c r="R83" s="250"/>
      <c r="S83" s="250"/>
    </row>
    <row r="84" spans="1:19" s="249" customFormat="1">
      <c r="A84" s="264" t="s">
        <v>4062</v>
      </c>
      <c r="B84" s="274" t="s">
        <v>4063</v>
      </c>
      <c r="C84" s="260"/>
      <c r="D84" s="260"/>
      <c r="E84" s="261"/>
      <c r="F84" s="262"/>
      <c r="G84" s="260"/>
      <c r="H84" s="263"/>
      <c r="I84" s="264"/>
      <c r="K84" s="250"/>
      <c r="L84" s="250"/>
      <c r="M84" s="250"/>
      <c r="N84" s="250"/>
      <c r="O84" s="250"/>
      <c r="P84" s="250"/>
      <c r="Q84" s="250"/>
      <c r="R84" s="250"/>
      <c r="S84" s="250"/>
    </row>
    <row r="85" spans="1:19" s="249" customFormat="1">
      <c r="A85" s="264"/>
      <c r="B85" s="272" t="s">
        <v>4064</v>
      </c>
      <c r="C85" s="260"/>
      <c r="D85" s="260"/>
      <c r="E85" s="261"/>
      <c r="F85" s="262"/>
      <c r="G85" s="260"/>
      <c r="H85" s="263"/>
      <c r="I85" s="264"/>
      <c r="K85" s="250"/>
      <c r="L85" s="250"/>
      <c r="M85" s="250"/>
      <c r="N85" s="250"/>
      <c r="O85" s="250"/>
      <c r="P85" s="250"/>
      <c r="Q85" s="250"/>
      <c r="R85" s="250"/>
      <c r="S85" s="250"/>
    </row>
    <row r="86" spans="1:19" s="249" customFormat="1">
      <c r="A86" s="264"/>
      <c r="B86" s="272" t="s">
        <v>224</v>
      </c>
      <c r="C86" s="260"/>
      <c r="D86" s="260"/>
      <c r="E86" s="261"/>
      <c r="F86" s="262"/>
      <c r="G86" s="260"/>
      <c r="H86" s="263"/>
      <c r="I86" s="264"/>
      <c r="K86" s="250"/>
      <c r="L86" s="250"/>
      <c r="M86" s="250"/>
      <c r="N86" s="250"/>
      <c r="O86" s="250"/>
      <c r="P86" s="250"/>
      <c r="Q86" s="250"/>
      <c r="R86" s="250"/>
      <c r="S86" s="250"/>
    </row>
    <row r="87" spans="1:19" s="249" customFormat="1">
      <c r="A87" s="264"/>
      <c r="B87" s="272"/>
      <c r="C87" s="260"/>
      <c r="D87" s="260"/>
      <c r="E87" s="261"/>
      <c r="F87" s="262"/>
      <c r="G87" s="260"/>
      <c r="H87" s="263"/>
      <c r="I87" s="264"/>
      <c r="K87" s="250"/>
      <c r="L87" s="250"/>
      <c r="M87" s="250"/>
      <c r="N87" s="250"/>
      <c r="O87" s="250"/>
      <c r="P87" s="250"/>
      <c r="Q87" s="250"/>
      <c r="R87" s="250"/>
      <c r="S87" s="250"/>
    </row>
  </sheetData>
  <customSheetViews>
    <customSheetView guid="{C8104123-1D0A-4627-A11A-7A20656D499A}" scale="110" zeroValues="0" showRuler="0">
      <pane xSplit="2" ySplit="7" topLeftCell="C8" activePane="bottomRight" state="frozen"/>
      <selection pane="bottomRight" activeCell="B30" sqref="B30"/>
      <pageMargins left="0" right="0" top="0" bottom="0" header="0" footer="0"/>
      <pageSetup orientation="portrait" verticalDpi="0" r:id="rId1"/>
      <headerFooter alignWithMargins="0"/>
    </customSheetView>
  </customSheetViews>
  <phoneticPr fontId="9" type="noConversion"/>
  <pageMargins left="0.75" right="0.75" top="1" bottom="1" header="0.5" footer="0.5"/>
  <pageSetup orientation="portrait" r:id="rId2"/>
  <headerFooter alignWithMargins="0"/>
  <legacyDrawing r:id="rId3"/>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4">
    <outlinePr summaryBelow="0"/>
  </sheetPr>
  <dimension ref="A2:R330"/>
  <sheetViews>
    <sheetView topLeftCell="A277" workbookViewId="0">
      <selection activeCell="D300" sqref="D300"/>
    </sheetView>
  </sheetViews>
  <sheetFormatPr defaultColWidth="9.140625" defaultRowHeight="14.25" outlineLevelRow="1"/>
  <cols>
    <col min="1" max="1" width="18.7109375" style="3" customWidth="1"/>
    <col min="2" max="2" width="33.28515625" style="3" customWidth="1"/>
    <col min="3" max="3" width="7" style="3" customWidth="1"/>
    <col min="4" max="4" width="8.5703125" style="3" customWidth="1"/>
    <col min="5" max="5" width="8.42578125" style="3" customWidth="1"/>
    <col min="6" max="6" width="13.5703125" style="3" customWidth="1"/>
    <col min="7" max="7" width="9.28515625" style="3" customWidth="1"/>
    <col min="8" max="9" width="9.140625" style="3"/>
    <col min="10" max="10" width="9.28515625" style="3" customWidth="1"/>
    <col min="11" max="12" width="8.42578125" style="3" customWidth="1"/>
    <col min="13" max="14" width="8.5703125" style="3" customWidth="1"/>
    <col min="15" max="16" width="9.140625" style="3"/>
    <col min="17" max="17" width="14" style="3" customWidth="1"/>
    <col min="18" max="16384" width="9.140625" style="3"/>
  </cols>
  <sheetData>
    <row r="2" spans="1:17" s="1" customFormat="1">
      <c r="A2" s="76" t="s">
        <v>4065</v>
      </c>
      <c r="B2" s="75"/>
      <c r="C2" s="75"/>
      <c r="D2" s="75"/>
      <c r="E2" s="75"/>
      <c r="F2" s="75"/>
      <c r="G2" s="75"/>
      <c r="H2" s="75"/>
      <c r="I2" s="75"/>
      <c r="J2" s="75"/>
      <c r="K2" s="3"/>
      <c r="L2" s="3"/>
      <c r="M2" s="3"/>
      <c r="N2" s="3"/>
      <c r="O2" s="3"/>
      <c r="P2" s="3"/>
      <c r="Q2" s="3"/>
    </row>
    <row r="3" spans="1:17" outlineLevel="1">
      <c r="A3" s="2"/>
    </row>
    <row r="4" spans="1:17" outlineLevel="1">
      <c r="A4" s="4" t="s">
        <v>4066</v>
      </c>
      <c r="B4" s="71" t="s">
        <v>4067</v>
      </c>
      <c r="C4" s="71"/>
      <c r="D4" s="71"/>
      <c r="E4" s="72"/>
      <c r="F4" s="73"/>
      <c r="G4" s="73"/>
      <c r="H4" s="73"/>
      <c r="I4" s="73"/>
      <c r="J4" s="113" t="s">
        <v>4068</v>
      </c>
      <c r="K4" s="113"/>
      <c r="L4" s="113"/>
      <c r="M4" s="113"/>
      <c r="N4" s="73"/>
      <c r="O4" s="74"/>
    </row>
    <row r="5" spans="1:17" ht="15" outlineLevel="1" thickBot="1">
      <c r="A5" s="4"/>
      <c r="B5" s="70"/>
      <c r="C5" s="79"/>
      <c r="D5" s="79"/>
      <c r="E5" s="79"/>
      <c r="F5" s="80"/>
      <c r="G5" s="80"/>
      <c r="H5" s="80" t="s">
        <v>4069</v>
      </c>
      <c r="I5" s="104"/>
      <c r="J5" s="114"/>
      <c r="K5" s="114">
        <v>3</v>
      </c>
      <c r="L5" s="115">
        <v>7</v>
      </c>
      <c r="M5" s="115">
        <v>15</v>
      </c>
      <c r="N5" s="81" t="s">
        <v>4070</v>
      </c>
      <c r="O5" s="81"/>
    </row>
    <row r="6" spans="1:17" ht="24.75" customHeight="1" outlineLevel="1" thickBot="1">
      <c r="A6" s="68" t="s">
        <v>237</v>
      </c>
      <c r="B6" s="5" t="s">
        <v>4071</v>
      </c>
      <c r="C6" s="1632"/>
      <c r="D6" s="1632"/>
      <c r="E6" s="1632"/>
      <c r="F6" s="1633"/>
      <c r="G6" s="1633"/>
      <c r="H6" s="1633"/>
      <c r="I6" s="112"/>
      <c r="J6" s="112"/>
      <c r="K6" s="112">
        <v>3.6</v>
      </c>
      <c r="L6" s="112">
        <v>3.2</v>
      </c>
      <c r="M6" s="112">
        <v>2.8</v>
      </c>
      <c r="N6" s="1633"/>
      <c r="O6" s="1633"/>
    </row>
    <row r="7" spans="1:17" ht="24.75" customHeight="1" outlineLevel="1" thickBot="1">
      <c r="A7" s="68" t="s">
        <v>252</v>
      </c>
      <c r="B7" s="5" t="s">
        <v>4071</v>
      </c>
      <c r="C7" s="1634"/>
      <c r="D7" s="1634"/>
      <c r="E7" s="1634"/>
      <c r="F7" s="1635"/>
      <c r="G7" s="1635"/>
      <c r="H7" s="1635"/>
      <c r="I7" s="112"/>
      <c r="J7" s="112"/>
      <c r="K7" s="112">
        <v>3.7</v>
      </c>
      <c r="L7" s="112">
        <v>3.3</v>
      </c>
      <c r="M7" s="112">
        <v>2.9</v>
      </c>
      <c r="N7" s="1635"/>
      <c r="O7" s="1635"/>
    </row>
    <row r="8" spans="1:17" ht="24.75" customHeight="1" outlineLevel="1" thickBot="1">
      <c r="A8" s="69" t="s">
        <v>254</v>
      </c>
      <c r="B8" s="5" t="s">
        <v>4071</v>
      </c>
      <c r="C8" s="1634"/>
      <c r="D8" s="1634"/>
      <c r="E8" s="1634"/>
      <c r="F8" s="1635"/>
      <c r="G8" s="1635"/>
      <c r="H8" s="1635"/>
      <c r="I8" s="112"/>
      <c r="J8" s="112"/>
      <c r="K8" s="112">
        <v>2.8</v>
      </c>
      <c r="L8" s="112">
        <v>2.1</v>
      </c>
      <c r="M8" s="112">
        <v>1.9</v>
      </c>
      <c r="N8" s="1635"/>
      <c r="O8" s="1635"/>
    </row>
    <row r="9" spans="1:17" ht="24.75" customHeight="1" outlineLevel="1" thickBot="1">
      <c r="A9" s="69" t="s">
        <v>256</v>
      </c>
      <c r="B9" s="5" t="s">
        <v>4071</v>
      </c>
      <c r="C9" s="1634"/>
      <c r="D9" s="1634"/>
      <c r="E9" s="1634"/>
      <c r="F9" s="1635"/>
      <c r="G9" s="1635"/>
      <c r="H9" s="1635"/>
      <c r="I9" s="112"/>
      <c r="J9" s="112"/>
      <c r="K9" s="112">
        <v>3.4</v>
      </c>
      <c r="L9" s="112">
        <v>3</v>
      </c>
      <c r="M9" s="112">
        <v>2.8</v>
      </c>
      <c r="N9" s="1635"/>
      <c r="O9" s="1635"/>
    </row>
    <row r="10" spans="1:17" ht="24.75" customHeight="1" outlineLevel="1" thickBot="1">
      <c r="A10" s="68" t="s">
        <v>258</v>
      </c>
      <c r="B10" s="5" t="s">
        <v>4071</v>
      </c>
      <c r="C10" s="1634"/>
      <c r="D10" s="1634"/>
      <c r="E10" s="1634"/>
      <c r="F10" s="1635"/>
      <c r="G10" s="1635"/>
      <c r="H10" s="1635"/>
      <c r="I10" s="112"/>
      <c r="J10" s="112"/>
      <c r="K10" s="112">
        <v>3.2</v>
      </c>
      <c r="L10" s="112">
        <v>2.6</v>
      </c>
      <c r="M10" s="112">
        <v>2.2999999999999998</v>
      </c>
      <c r="N10" s="1635"/>
      <c r="O10" s="1635"/>
    </row>
    <row r="11" spans="1:17" ht="26.25" customHeight="1" outlineLevel="1">
      <c r="A11" s="2"/>
    </row>
    <row r="12" spans="1:17" s="1" customFormat="1">
      <c r="A12" s="132" t="s">
        <v>4072</v>
      </c>
      <c r="B12" s="131"/>
      <c r="C12" s="75"/>
      <c r="D12" s="75"/>
      <c r="E12" s="75"/>
      <c r="F12" s="75"/>
      <c r="G12" s="75"/>
      <c r="H12" s="75"/>
      <c r="I12" s="75"/>
      <c r="J12" s="75"/>
      <c r="K12" s="3"/>
      <c r="L12" s="3"/>
      <c r="M12" s="3"/>
      <c r="N12" s="3"/>
      <c r="O12" s="3"/>
      <c r="P12" s="3"/>
      <c r="Q12" s="3"/>
    </row>
    <row r="13" spans="1:17" outlineLevel="1">
      <c r="A13" s="2"/>
    </row>
    <row r="14" spans="1:17" outlineLevel="1">
      <c r="A14" s="105" t="s">
        <v>4066</v>
      </c>
      <c r="B14" s="106" t="s">
        <v>4067</v>
      </c>
      <c r="C14" s="106"/>
      <c r="D14" s="106"/>
      <c r="E14" s="107" t="s">
        <v>4073</v>
      </c>
      <c r="F14" s="107"/>
      <c r="G14" s="107"/>
      <c r="H14" s="107"/>
      <c r="I14" s="107"/>
      <c r="J14" s="107"/>
      <c r="K14" s="108"/>
      <c r="L14" s="108"/>
      <c r="M14" s="108"/>
      <c r="N14" s="108"/>
      <c r="O14" s="109"/>
      <c r="P14" s="108"/>
      <c r="Q14" s="109"/>
    </row>
    <row r="15" spans="1:17" s="78" customFormat="1" outlineLevel="1">
      <c r="A15" s="110"/>
      <c r="B15" s="110"/>
      <c r="C15" s="110"/>
      <c r="D15" s="110" t="s">
        <v>4074</v>
      </c>
      <c r="E15" s="110"/>
      <c r="F15" s="110">
        <v>15</v>
      </c>
      <c r="G15" s="110">
        <v>20</v>
      </c>
      <c r="H15" s="110">
        <v>50</v>
      </c>
      <c r="I15" s="110">
        <v>100</v>
      </c>
      <c r="J15" s="110">
        <v>200</v>
      </c>
      <c r="K15" s="110">
        <v>500</v>
      </c>
      <c r="L15" s="111">
        <v>1000</v>
      </c>
      <c r="M15" s="111">
        <v>2000</v>
      </c>
      <c r="N15" s="111">
        <v>5000</v>
      </c>
      <c r="O15" s="111">
        <v>10000</v>
      </c>
      <c r="P15" s="111">
        <v>20000</v>
      </c>
      <c r="Q15" s="111">
        <v>30000</v>
      </c>
    </row>
    <row r="16" spans="1:17" s="78" customFormat="1" outlineLevel="1">
      <c r="A16" s="1636" t="s">
        <v>237</v>
      </c>
      <c r="B16" s="121" t="s">
        <v>4075</v>
      </c>
      <c r="C16" s="1636"/>
      <c r="D16" s="1636"/>
      <c r="E16" s="1636"/>
      <c r="F16" s="1636">
        <v>0.65500000000000003</v>
      </c>
      <c r="G16" s="1636">
        <v>0.53800000000000003</v>
      </c>
      <c r="H16" s="1636">
        <v>0.442</v>
      </c>
      <c r="I16" s="1636">
        <v>0.314</v>
      </c>
      <c r="J16" s="1636">
        <v>0.23699999999999999</v>
      </c>
      <c r="K16" s="1636">
        <v>0.191</v>
      </c>
      <c r="L16" s="1636">
        <v>0.16400000000000001</v>
      </c>
      <c r="M16" s="1636">
        <v>0.13900000000000001</v>
      </c>
      <c r="N16" s="1636">
        <v>0.111</v>
      </c>
      <c r="O16" s="1636">
        <v>8.8999999999999996E-2</v>
      </c>
      <c r="P16" s="1636">
        <v>7.0000000000000007E-2</v>
      </c>
      <c r="Q16" s="1636">
        <v>5.7000000000000002E-2</v>
      </c>
    </row>
    <row r="17" spans="1:17" s="78" customFormat="1" outlineLevel="1">
      <c r="A17" s="1636" t="s">
        <v>252</v>
      </c>
      <c r="B17" s="121" t="s">
        <v>4075</v>
      </c>
      <c r="C17" s="1636"/>
      <c r="D17" s="1636"/>
      <c r="E17" s="1636"/>
      <c r="F17" s="1636">
        <v>0.93400000000000005</v>
      </c>
      <c r="G17" s="1636">
        <v>0.79400000000000004</v>
      </c>
      <c r="H17" s="1636">
        <v>0.63</v>
      </c>
      <c r="I17" s="1636">
        <v>0.46700000000000003</v>
      </c>
      <c r="J17" s="1636">
        <v>0.36799999999999999</v>
      </c>
      <c r="K17" s="1636">
        <v>0.34499999999999997</v>
      </c>
      <c r="L17" s="1636">
        <v>0.29899999999999999</v>
      </c>
      <c r="M17" s="1636">
        <v>0.24199999999999999</v>
      </c>
      <c r="N17" s="1636">
        <v>0.20699999999999999</v>
      </c>
      <c r="O17" s="1636">
        <v>0.14499999999999999</v>
      </c>
      <c r="P17" s="1636">
        <v>0.104</v>
      </c>
      <c r="Q17" s="1636">
        <v>7.3999999999999996E-2</v>
      </c>
    </row>
    <row r="18" spans="1:17" s="78" customFormat="1" outlineLevel="1">
      <c r="A18" s="1636" t="s">
        <v>254</v>
      </c>
      <c r="B18" s="121" t="s">
        <v>4075</v>
      </c>
      <c r="C18" s="1636"/>
      <c r="D18" s="1636"/>
      <c r="E18" s="1636"/>
      <c r="F18" s="1636">
        <v>0.49199999999999999</v>
      </c>
      <c r="G18" s="1636">
        <v>0.44900000000000001</v>
      </c>
      <c r="H18" s="1636">
        <v>0.35799999999999998</v>
      </c>
      <c r="I18" s="1636">
        <v>0.28100000000000003</v>
      </c>
      <c r="J18" s="1636">
        <v>0.19400000000000001</v>
      </c>
      <c r="K18" s="1636">
        <v>0.15</v>
      </c>
      <c r="L18" s="1636">
        <v>0.13100000000000001</v>
      </c>
      <c r="M18" s="1636">
        <v>0.112</v>
      </c>
      <c r="N18" s="1636">
        <v>8.8999999999999996E-2</v>
      </c>
      <c r="O18" s="1636">
        <v>7.1999999999999995E-2</v>
      </c>
      <c r="P18" s="1636">
        <v>5.8000000000000003E-2</v>
      </c>
      <c r="Q18" s="1636">
        <v>4.7E-2</v>
      </c>
    </row>
    <row r="19" spans="1:17" s="78" customFormat="1" outlineLevel="1">
      <c r="A19" s="1636" t="s">
        <v>256</v>
      </c>
      <c r="B19" s="121" t="s">
        <v>4075</v>
      </c>
      <c r="C19" s="1636"/>
      <c r="D19" s="1636"/>
      <c r="E19" s="1636"/>
      <c r="F19" s="1636">
        <v>0.58899999999999997</v>
      </c>
      <c r="G19" s="1636">
        <v>0.53600000000000003</v>
      </c>
      <c r="H19" s="1636">
        <v>0.42799999999999999</v>
      </c>
      <c r="I19" s="112">
        <v>0.3</v>
      </c>
      <c r="J19" s="112">
        <v>0.22600000000000001</v>
      </c>
      <c r="K19" s="112">
        <v>0.182</v>
      </c>
      <c r="L19" s="1636">
        <v>0.156</v>
      </c>
      <c r="M19" s="1636">
        <v>0.13400000000000001</v>
      </c>
      <c r="N19" s="1636">
        <v>0.107</v>
      </c>
      <c r="O19" s="1636">
        <v>8.5999999999999993E-2</v>
      </c>
      <c r="P19" s="1636">
        <v>6.9000000000000006E-2</v>
      </c>
      <c r="Q19" s="1636">
        <v>5.6000000000000001E-2</v>
      </c>
    </row>
    <row r="20" spans="1:17" s="78" customFormat="1" outlineLevel="1">
      <c r="A20" s="1636" t="s">
        <v>258</v>
      </c>
      <c r="B20" s="121" t="s">
        <v>4075</v>
      </c>
      <c r="C20" s="1636"/>
      <c r="D20" s="1636"/>
      <c r="E20" s="1636"/>
      <c r="F20" s="1636">
        <v>0.51400000000000001</v>
      </c>
      <c r="G20" s="1636">
        <v>0.46700000000000003</v>
      </c>
      <c r="H20" s="1636">
        <v>0.374</v>
      </c>
      <c r="I20" s="1636">
        <v>0.29099999999999998</v>
      </c>
      <c r="J20" s="1636">
        <v>0.2</v>
      </c>
      <c r="K20" s="1636">
        <v>0.156</v>
      </c>
      <c r="L20" s="1636">
        <v>0.13700000000000001</v>
      </c>
      <c r="M20" s="1636">
        <v>0.11700000000000001</v>
      </c>
      <c r="N20" s="1636">
        <v>9.4E-2</v>
      </c>
      <c r="O20" s="1636">
        <v>7.4999999999999997E-2</v>
      </c>
      <c r="P20" s="1636">
        <v>0.06</v>
      </c>
      <c r="Q20" s="1636">
        <v>4.8000000000000001E-2</v>
      </c>
    </row>
    <row r="21" spans="1:17" s="78" customFormat="1" ht="20.25" customHeight="1" outlineLevel="1">
      <c r="A21" s="102"/>
      <c r="B21" s="5"/>
      <c r="C21" s="69"/>
      <c r="D21" s="69"/>
      <c r="E21" s="69"/>
      <c r="F21" s="69"/>
      <c r="G21" s="69"/>
      <c r="H21" s="69"/>
      <c r="I21" s="69"/>
      <c r="J21" s="69"/>
      <c r="K21" s="69"/>
      <c r="L21" s="69"/>
      <c r="M21" s="69"/>
      <c r="N21" s="69"/>
      <c r="O21" s="69"/>
      <c r="P21" s="69"/>
      <c r="Q21" s="69"/>
    </row>
    <row r="22" spans="1:17" outlineLevel="1">
      <c r="A22" s="6"/>
      <c r="B22" s="66"/>
      <c r="C22" s="66"/>
      <c r="D22" s="66"/>
      <c r="E22" s="67"/>
      <c r="F22" s="67"/>
      <c r="G22" s="67"/>
      <c r="H22" s="67"/>
      <c r="I22" s="67"/>
      <c r="J22" s="67"/>
      <c r="K22" s="67"/>
      <c r="L22" s="67"/>
      <c r="M22" s="67"/>
      <c r="N22" s="67"/>
      <c r="P22" s="3" t="s">
        <v>4076</v>
      </c>
    </row>
    <row r="23" spans="1:17" s="1" customFormat="1">
      <c r="A23" s="132" t="s">
        <v>4077</v>
      </c>
      <c r="B23" s="75"/>
      <c r="C23" s="75"/>
      <c r="D23" s="75"/>
      <c r="E23" s="75"/>
      <c r="F23" s="75"/>
      <c r="G23" s="75"/>
      <c r="H23" s="75"/>
      <c r="I23" s="75"/>
      <c r="J23" s="75"/>
      <c r="K23" s="3"/>
      <c r="L23" s="3"/>
      <c r="M23" s="3"/>
      <c r="N23" s="3"/>
      <c r="O23" s="3"/>
      <c r="P23" s="3"/>
      <c r="Q23" s="3"/>
    </row>
    <row r="24" spans="1:17" outlineLevel="1">
      <c r="A24" s="2"/>
    </row>
    <row r="25" spans="1:17" ht="29.25" customHeight="1" outlineLevel="1">
      <c r="A25" s="105" t="s">
        <v>4066</v>
      </c>
      <c r="B25" s="106" t="s">
        <v>4078</v>
      </c>
      <c r="C25" s="117" t="s">
        <v>4079</v>
      </c>
      <c r="D25" s="110"/>
      <c r="E25" s="107" t="s">
        <v>4080</v>
      </c>
      <c r="F25" s="107"/>
      <c r="G25" s="107"/>
      <c r="H25" s="107"/>
      <c r="I25" s="107"/>
      <c r="J25" s="107"/>
      <c r="K25" s="108"/>
      <c r="L25" s="108"/>
      <c r="M25" s="108"/>
      <c r="N25" s="108"/>
      <c r="O25" s="109"/>
    </row>
    <row r="26" spans="1:17" s="78" customFormat="1" outlineLevel="1">
      <c r="A26" s="110"/>
      <c r="B26" s="110"/>
      <c r="C26" s="1636" t="s">
        <v>4069</v>
      </c>
      <c r="D26" s="110"/>
      <c r="E26" s="110">
        <v>7</v>
      </c>
      <c r="F26" s="110">
        <v>10</v>
      </c>
      <c r="G26" s="110">
        <v>20</v>
      </c>
      <c r="H26" s="110">
        <v>50</v>
      </c>
      <c r="I26" s="110">
        <v>100</v>
      </c>
      <c r="J26" s="110">
        <v>200</v>
      </c>
      <c r="K26" s="110">
        <v>500</v>
      </c>
      <c r="L26" s="111">
        <v>1000</v>
      </c>
      <c r="M26" s="111">
        <v>2000</v>
      </c>
      <c r="N26" s="111">
        <v>5000</v>
      </c>
      <c r="O26" s="111">
        <v>8000</v>
      </c>
      <c r="P26" s="3"/>
      <c r="Q26" s="3"/>
    </row>
    <row r="27" spans="1:17" s="78" customFormat="1" outlineLevel="1">
      <c r="A27" s="1636" t="s">
        <v>237</v>
      </c>
      <c r="B27" s="1637" t="s">
        <v>4081</v>
      </c>
      <c r="C27" s="1636">
        <v>3</v>
      </c>
      <c r="D27" s="1636"/>
      <c r="E27" s="112">
        <v>2.74</v>
      </c>
      <c r="F27" s="1636">
        <v>2.74</v>
      </c>
      <c r="G27" s="1636">
        <v>2.38</v>
      </c>
      <c r="H27" s="1636">
        <v>2</v>
      </c>
      <c r="I27" s="1636">
        <v>1.82</v>
      </c>
      <c r="J27" s="1636">
        <v>1.66</v>
      </c>
      <c r="K27" s="1636">
        <v>1.4</v>
      </c>
      <c r="L27" s="1636">
        <v>1.1299999999999999</v>
      </c>
      <c r="M27" s="1636">
        <v>0.97</v>
      </c>
      <c r="N27" s="1636">
        <v>0.75</v>
      </c>
      <c r="O27" s="1636">
        <v>0.57999999999999996</v>
      </c>
      <c r="P27" s="3"/>
      <c r="Q27" s="3"/>
    </row>
    <row r="28" spans="1:17" s="78" customFormat="1" outlineLevel="1">
      <c r="A28" s="1636" t="s">
        <v>237</v>
      </c>
      <c r="B28" s="1637" t="s">
        <v>4081</v>
      </c>
      <c r="C28" s="1636">
        <v>2</v>
      </c>
      <c r="D28" s="1636"/>
      <c r="E28" s="112">
        <v>4.24</v>
      </c>
      <c r="F28" s="1636">
        <v>4.24</v>
      </c>
      <c r="G28" s="1636">
        <v>3.68</v>
      </c>
      <c r="H28" s="1636">
        <v>3.1</v>
      </c>
      <c r="I28" s="1638">
        <v>2.82</v>
      </c>
      <c r="J28" s="1638">
        <v>2.57</v>
      </c>
      <c r="K28" s="1636">
        <v>2.17</v>
      </c>
      <c r="L28" s="1636">
        <v>1.75</v>
      </c>
      <c r="M28" s="1636">
        <v>1.5</v>
      </c>
      <c r="N28" s="1636">
        <v>1.1599999999999999</v>
      </c>
      <c r="O28" s="1636">
        <v>0.9</v>
      </c>
      <c r="P28" s="3"/>
      <c r="Q28" s="3"/>
    </row>
    <row r="29" spans="1:17" s="78" customFormat="1" outlineLevel="1">
      <c r="A29" s="1636" t="s">
        <v>237</v>
      </c>
      <c r="B29" s="1637">
        <v>1</v>
      </c>
      <c r="C29" s="1636">
        <v>3</v>
      </c>
      <c r="D29" s="1636"/>
      <c r="E29" s="112">
        <v>2.48</v>
      </c>
      <c r="F29" s="1636">
        <v>2.48</v>
      </c>
      <c r="G29" s="1636">
        <v>2.17</v>
      </c>
      <c r="H29" s="1636">
        <v>1.82</v>
      </c>
      <c r="I29" s="1636">
        <v>1.64</v>
      </c>
      <c r="J29" s="1636">
        <v>1.51</v>
      </c>
      <c r="K29" s="1636">
        <v>1.27</v>
      </c>
      <c r="L29" s="1636">
        <v>1.03</v>
      </c>
      <c r="M29" s="1636">
        <v>0.89</v>
      </c>
      <c r="N29" s="1636">
        <v>0.68</v>
      </c>
      <c r="O29" s="1636">
        <v>0.53</v>
      </c>
      <c r="P29" s="3"/>
      <c r="Q29" s="3"/>
    </row>
    <row r="30" spans="1:17" s="184" customFormat="1" outlineLevel="1">
      <c r="A30" s="1639" t="s">
        <v>237</v>
      </c>
      <c r="B30" s="1640">
        <v>1</v>
      </c>
      <c r="C30" s="1639">
        <v>2</v>
      </c>
      <c r="D30" s="1639"/>
      <c r="E30" s="183">
        <v>3.84</v>
      </c>
      <c r="F30" s="1639">
        <v>3.84</v>
      </c>
      <c r="G30" s="1639">
        <v>3.36</v>
      </c>
      <c r="H30" s="1639">
        <v>2.82</v>
      </c>
      <c r="I30" s="1639">
        <v>2.54</v>
      </c>
      <c r="J30" s="1639">
        <v>2.34</v>
      </c>
      <c r="K30" s="1639">
        <v>1.96</v>
      </c>
      <c r="L30" s="1639">
        <v>1.59</v>
      </c>
      <c r="M30" s="1639">
        <v>1.38</v>
      </c>
      <c r="N30" s="1639">
        <v>1.05</v>
      </c>
      <c r="O30" s="1639">
        <v>0.82</v>
      </c>
      <c r="P30" s="1641"/>
      <c r="Q30" s="1641"/>
    </row>
    <row r="31" spans="1:17" s="78" customFormat="1" outlineLevel="1">
      <c r="A31" s="1636" t="s">
        <v>237</v>
      </c>
      <c r="B31" s="1637">
        <v>2</v>
      </c>
      <c r="C31" s="1636">
        <v>3</v>
      </c>
      <c r="D31" s="1636"/>
      <c r="E31" s="1636">
        <v>2.36</v>
      </c>
      <c r="F31" s="1636">
        <v>2.25</v>
      </c>
      <c r="G31" s="1636">
        <v>1.96</v>
      </c>
      <c r="H31" s="1636">
        <v>1.66</v>
      </c>
      <c r="I31" s="1638">
        <v>1.51</v>
      </c>
      <c r="J31" s="1638">
        <v>1.37</v>
      </c>
      <c r="K31" s="1636">
        <v>1.1599999999999999</v>
      </c>
      <c r="L31" s="1636">
        <v>0.95</v>
      </c>
      <c r="M31" s="1636">
        <v>0.8</v>
      </c>
      <c r="N31" s="1636">
        <v>0.62</v>
      </c>
      <c r="O31" s="1636">
        <v>0.47</v>
      </c>
      <c r="P31" s="3"/>
      <c r="Q31" s="3"/>
    </row>
    <row r="32" spans="1:17" s="78" customFormat="1" outlineLevel="1">
      <c r="A32" s="1636" t="s">
        <v>237</v>
      </c>
      <c r="B32" s="118">
        <v>2</v>
      </c>
      <c r="C32" s="1636">
        <v>2</v>
      </c>
      <c r="D32" s="1636"/>
      <c r="E32" s="1636">
        <v>3.63</v>
      </c>
      <c r="F32" s="1636">
        <v>3.48</v>
      </c>
      <c r="G32" s="1636">
        <v>3.01</v>
      </c>
      <c r="H32" s="1636">
        <v>2.54</v>
      </c>
      <c r="I32" s="1638">
        <v>2.29</v>
      </c>
      <c r="J32" s="1638">
        <v>2.1</v>
      </c>
      <c r="K32" s="1636">
        <v>1.79</v>
      </c>
      <c r="L32" s="1636">
        <v>1.45</v>
      </c>
      <c r="M32" s="1636">
        <v>1.24</v>
      </c>
      <c r="N32" s="1636">
        <v>0.96</v>
      </c>
      <c r="O32" s="1636">
        <v>0.73</v>
      </c>
      <c r="P32" s="3"/>
      <c r="Q32" s="3"/>
    </row>
    <row r="33" spans="1:15" s="78" customFormat="1" outlineLevel="1">
      <c r="A33" s="1636" t="s">
        <v>237</v>
      </c>
      <c r="B33" s="118">
        <v>3</v>
      </c>
      <c r="C33" s="119">
        <v>3</v>
      </c>
      <c r="D33" s="1636"/>
      <c r="E33" s="1636">
        <v>2.12</v>
      </c>
      <c r="F33" s="1636">
        <v>2.0299999999999998</v>
      </c>
      <c r="G33" s="1636">
        <v>1.76</v>
      </c>
      <c r="H33" s="1636">
        <v>1.48</v>
      </c>
      <c r="I33" s="1636">
        <v>1.34</v>
      </c>
      <c r="J33" s="1636">
        <v>1.23</v>
      </c>
      <c r="K33" s="1636">
        <v>1.04</v>
      </c>
      <c r="L33" s="1636">
        <v>0.85</v>
      </c>
      <c r="M33" s="1636">
        <v>0.72</v>
      </c>
      <c r="N33" s="1636">
        <v>0.55000000000000004</v>
      </c>
      <c r="O33" s="1636">
        <v>0.42</v>
      </c>
    </row>
    <row r="34" spans="1:15" s="78" customFormat="1" outlineLevel="1">
      <c r="A34" s="1636" t="s">
        <v>237</v>
      </c>
      <c r="B34" s="118">
        <v>3</v>
      </c>
      <c r="C34" s="119">
        <v>2</v>
      </c>
      <c r="D34" s="1636"/>
      <c r="E34" s="1636">
        <v>3.27</v>
      </c>
      <c r="F34" s="1636">
        <v>3.15</v>
      </c>
      <c r="G34" s="1636">
        <v>2.73</v>
      </c>
      <c r="H34" s="1636">
        <v>2.29</v>
      </c>
      <c r="I34" s="1636">
        <v>2.08</v>
      </c>
      <c r="J34" s="1636">
        <v>1.9</v>
      </c>
      <c r="K34" s="1636">
        <v>1.62</v>
      </c>
      <c r="L34" s="1636">
        <v>1.31</v>
      </c>
      <c r="M34" s="1636">
        <v>1.1100000000000001</v>
      </c>
      <c r="N34" s="1636">
        <v>0.86</v>
      </c>
      <c r="O34" s="1636">
        <v>0.65</v>
      </c>
    </row>
    <row r="35" spans="1:15" s="78" customFormat="1" outlineLevel="1">
      <c r="A35" s="1636" t="s">
        <v>237</v>
      </c>
      <c r="B35" s="118">
        <v>4</v>
      </c>
      <c r="C35" s="1636">
        <v>3</v>
      </c>
      <c r="D35" s="1636"/>
      <c r="E35" s="1636">
        <v>1.88</v>
      </c>
      <c r="F35" s="1636">
        <v>1.8</v>
      </c>
      <c r="G35" s="1636">
        <v>1.57</v>
      </c>
      <c r="H35" s="1636">
        <v>1.23</v>
      </c>
      <c r="I35" s="1636">
        <v>1.04</v>
      </c>
      <c r="J35" s="1636">
        <v>0.88</v>
      </c>
      <c r="K35" s="1636">
        <v>0.75</v>
      </c>
      <c r="L35" s="1636">
        <v>0.61</v>
      </c>
      <c r="M35" s="1636"/>
      <c r="N35" s="1636"/>
      <c r="O35" s="1636"/>
    </row>
    <row r="36" spans="1:15" s="78" customFormat="1" outlineLevel="1">
      <c r="A36" s="1636" t="s">
        <v>237</v>
      </c>
      <c r="B36" s="118">
        <v>4</v>
      </c>
      <c r="C36" s="1636">
        <v>2</v>
      </c>
      <c r="D36" s="1636"/>
      <c r="E36" s="1636">
        <v>2.9</v>
      </c>
      <c r="F36" s="1636">
        <v>2.78</v>
      </c>
      <c r="G36" s="1636">
        <v>2.4300000000000002</v>
      </c>
      <c r="H36" s="1636">
        <v>1.91</v>
      </c>
      <c r="I36" s="1636">
        <v>1.62</v>
      </c>
      <c r="J36" s="1636">
        <v>1.37</v>
      </c>
      <c r="K36" s="1636">
        <v>1.1599999999999999</v>
      </c>
      <c r="L36" s="1636">
        <v>0.95</v>
      </c>
      <c r="M36" s="1636"/>
      <c r="N36" s="1636"/>
      <c r="O36" s="1636"/>
    </row>
    <row r="37" spans="1:15" outlineLevel="1">
      <c r="A37" s="120"/>
      <c r="B37" s="121"/>
      <c r="C37" s="121"/>
      <c r="D37" s="121"/>
      <c r="E37" s="121"/>
      <c r="F37" s="121"/>
      <c r="G37" s="121"/>
      <c r="H37" s="121"/>
      <c r="I37" s="121"/>
      <c r="J37" s="121"/>
      <c r="K37" s="121"/>
      <c r="L37" s="121"/>
      <c r="M37" s="121"/>
      <c r="N37" s="121"/>
      <c r="O37" s="121"/>
    </row>
    <row r="38" spans="1:15" ht="29.25" customHeight="1" outlineLevel="1">
      <c r="A38" s="122" t="s">
        <v>4066</v>
      </c>
      <c r="B38" s="106" t="s">
        <v>4078</v>
      </c>
      <c r="C38" s="117" t="s">
        <v>4079</v>
      </c>
      <c r="D38" s="110"/>
      <c r="E38" s="107" t="s">
        <v>4082</v>
      </c>
      <c r="F38" s="107"/>
      <c r="G38" s="107"/>
      <c r="H38" s="107"/>
      <c r="I38" s="107"/>
      <c r="J38" s="107"/>
      <c r="K38" s="108"/>
      <c r="L38" s="108"/>
      <c r="M38" s="108"/>
      <c r="N38" s="108"/>
      <c r="O38" s="109"/>
    </row>
    <row r="39" spans="1:15" s="78" customFormat="1" outlineLevel="1">
      <c r="A39" s="123"/>
      <c r="B39" s="110"/>
      <c r="C39" s="1636" t="s">
        <v>4069</v>
      </c>
      <c r="D39" s="110"/>
      <c r="E39" s="110">
        <v>7</v>
      </c>
      <c r="F39" s="110">
        <v>10</v>
      </c>
      <c r="G39" s="110">
        <v>20</v>
      </c>
      <c r="H39" s="110">
        <v>50</v>
      </c>
      <c r="I39" s="110">
        <v>100</v>
      </c>
      <c r="J39" s="110">
        <v>200</v>
      </c>
      <c r="K39" s="110">
        <v>500</v>
      </c>
      <c r="L39" s="111">
        <v>1000</v>
      </c>
      <c r="M39" s="111">
        <v>2000</v>
      </c>
      <c r="N39" s="111">
        <v>5000</v>
      </c>
      <c r="O39" s="111">
        <v>8000</v>
      </c>
    </row>
    <row r="40" spans="1:15" s="78" customFormat="1" outlineLevel="1">
      <c r="A40" s="1642" t="s">
        <v>252</v>
      </c>
      <c r="B40" s="1637" t="s">
        <v>4081</v>
      </c>
      <c r="C40" s="1636">
        <v>3</v>
      </c>
      <c r="D40" s="1636"/>
      <c r="E40" s="112">
        <v>2.79</v>
      </c>
      <c r="F40" s="1636">
        <v>2.79</v>
      </c>
      <c r="G40" s="1636">
        <v>2.58</v>
      </c>
      <c r="H40" s="1636">
        <v>2.21</v>
      </c>
      <c r="I40" s="1636">
        <v>2.0099999999999998</v>
      </c>
      <c r="J40" s="1636">
        <v>1.82</v>
      </c>
      <c r="K40" s="1636">
        <v>1.66</v>
      </c>
      <c r="L40" s="1636">
        <v>1.45</v>
      </c>
      <c r="M40" s="1636">
        <v>1.23</v>
      </c>
      <c r="N40" s="1636">
        <v>0.95</v>
      </c>
      <c r="O40" s="1636">
        <v>0.73</v>
      </c>
    </row>
    <row r="41" spans="1:15" s="78" customFormat="1" outlineLevel="1">
      <c r="A41" s="1642" t="s">
        <v>252</v>
      </c>
      <c r="B41" s="1637" t="s">
        <v>4081</v>
      </c>
      <c r="C41" s="1636">
        <v>2</v>
      </c>
      <c r="D41" s="1636"/>
      <c r="E41" s="112">
        <v>4.67</v>
      </c>
      <c r="F41" s="1636">
        <v>4.67</v>
      </c>
      <c r="G41" s="1636">
        <v>4.12</v>
      </c>
      <c r="H41" s="1636">
        <v>3.53</v>
      </c>
      <c r="I41" s="1636">
        <v>3.21</v>
      </c>
      <c r="J41" s="1636">
        <v>2.91</v>
      </c>
      <c r="K41" s="1636">
        <v>2.65</v>
      </c>
      <c r="L41" s="1636">
        <v>2.3199999999999998</v>
      </c>
      <c r="M41" s="1636">
        <v>1.96</v>
      </c>
      <c r="N41" s="1636">
        <v>1.52</v>
      </c>
      <c r="O41" s="1636">
        <v>1.1599999999999999</v>
      </c>
    </row>
    <row r="42" spans="1:15" s="78" customFormat="1" outlineLevel="1">
      <c r="A42" s="1642" t="s">
        <v>252</v>
      </c>
      <c r="B42" s="1637">
        <v>1</v>
      </c>
      <c r="C42" s="1636">
        <v>3</v>
      </c>
      <c r="D42" s="1636"/>
      <c r="E42" s="112">
        <v>2.33</v>
      </c>
      <c r="F42" s="1636">
        <v>2.33</v>
      </c>
      <c r="G42" s="1636">
        <v>2.15</v>
      </c>
      <c r="H42" s="1636">
        <v>1.83</v>
      </c>
      <c r="I42" s="1636">
        <v>1.67</v>
      </c>
      <c r="J42" s="1636">
        <v>1.51</v>
      </c>
      <c r="K42" s="1636">
        <v>1.38</v>
      </c>
      <c r="L42" s="1636">
        <v>1.21</v>
      </c>
      <c r="M42" s="1636">
        <v>1.03</v>
      </c>
      <c r="N42" s="1636">
        <v>0.79</v>
      </c>
      <c r="O42" s="1636">
        <v>0.61</v>
      </c>
    </row>
    <row r="43" spans="1:15" s="78" customFormat="1" outlineLevel="1">
      <c r="A43" s="1642" t="s">
        <v>252</v>
      </c>
      <c r="B43" s="1637">
        <v>1</v>
      </c>
      <c r="C43" s="1636">
        <v>2</v>
      </c>
      <c r="D43" s="1636"/>
      <c r="E43" s="112">
        <v>3.73</v>
      </c>
      <c r="F43" s="1636">
        <v>3.73</v>
      </c>
      <c r="G43" s="1636">
        <v>3.44</v>
      </c>
      <c r="H43" s="1636">
        <v>2.92</v>
      </c>
      <c r="I43" s="1636">
        <v>2.67</v>
      </c>
      <c r="J43" s="1636">
        <v>2.41</v>
      </c>
      <c r="K43" s="1636">
        <v>2.2000000000000002</v>
      </c>
      <c r="L43" s="1636">
        <v>1.93</v>
      </c>
      <c r="M43" s="1636">
        <v>1.64</v>
      </c>
      <c r="N43" s="1636">
        <v>1.26</v>
      </c>
      <c r="O43" s="1636">
        <v>0.97</v>
      </c>
    </row>
    <row r="44" spans="1:15" s="78" customFormat="1" outlineLevel="1">
      <c r="A44" s="1642" t="s">
        <v>252</v>
      </c>
      <c r="B44" s="1637">
        <v>2</v>
      </c>
      <c r="C44" s="1636">
        <v>3</v>
      </c>
      <c r="D44" s="1636"/>
      <c r="E44" s="1636">
        <v>1.99</v>
      </c>
      <c r="F44" s="1636">
        <v>1.94</v>
      </c>
      <c r="G44" s="1636">
        <v>1.79</v>
      </c>
      <c r="H44" s="1636">
        <v>1.53</v>
      </c>
      <c r="I44" s="1636">
        <v>1.39</v>
      </c>
      <c r="J44" s="1636">
        <v>1.26</v>
      </c>
      <c r="K44" s="1636">
        <v>1.1499999999999999</v>
      </c>
      <c r="L44" s="1636">
        <v>1.01</v>
      </c>
      <c r="M44" s="1636">
        <v>0.86</v>
      </c>
      <c r="N44" s="1636">
        <v>0.66</v>
      </c>
      <c r="O44" s="1636">
        <v>0.51</v>
      </c>
    </row>
    <row r="45" spans="1:15" s="78" customFormat="1" outlineLevel="1">
      <c r="A45" s="1642" t="s">
        <v>252</v>
      </c>
      <c r="B45" s="118">
        <v>2</v>
      </c>
      <c r="C45" s="1636">
        <v>2</v>
      </c>
      <c r="D45" s="1636"/>
      <c r="E45" s="1636">
        <v>3.07</v>
      </c>
      <c r="F45" s="1636">
        <v>2.99</v>
      </c>
      <c r="G45" s="1636">
        <v>2.76</v>
      </c>
      <c r="H45" s="1636">
        <v>2.35</v>
      </c>
      <c r="I45" s="1636">
        <v>2.15</v>
      </c>
      <c r="J45" s="1636">
        <v>1.94</v>
      </c>
      <c r="K45" s="1636">
        <v>1.77</v>
      </c>
      <c r="L45" s="1636">
        <v>1.55</v>
      </c>
      <c r="M45" s="1636">
        <v>1.32</v>
      </c>
      <c r="N45" s="1636">
        <v>1.02</v>
      </c>
      <c r="O45" s="1636">
        <v>0.78</v>
      </c>
    </row>
    <row r="46" spans="1:15" s="78" customFormat="1" outlineLevel="1">
      <c r="A46" s="1642" t="s">
        <v>252</v>
      </c>
      <c r="B46" s="118">
        <v>3</v>
      </c>
      <c r="C46" s="110">
        <v>3</v>
      </c>
      <c r="D46" s="1636"/>
      <c r="E46" s="1636">
        <v>1.73</v>
      </c>
      <c r="F46" s="1636">
        <v>1.69</v>
      </c>
      <c r="G46" s="1636">
        <v>1.56</v>
      </c>
      <c r="H46" s="1636">
        <v>1.32</v>
      </c>
      <c r="I46" s="1636">
        <v>1.2</v>
      </c>
      <c r="J46" s="1636">
        <v>1.1000000000000001</v>
      </c>
      <c r="K46" s="1636">
        <v>1.01</v>
      </c>
      <c r="L46" s="1636">
        <v>0.9</v>
      </c>
      <c r="M46" s="1636">
        <v>0.77</v>
      </c>
      <c r="N46" s="1636">
        <v>0.59</v>
      </c>
      <c r="O46" s="1636">
        <v>0.46</v>
      </c>
    </row>
    <row r="47" spans="1:15" s="78" customFormat="1" outlineLevel="1">
      <c r="A47" s="1642" t="s">
        <v>252</v>
      </c>
      <c r="B47" s="118">
        <v>3</v>
      </c>
      <c r="C47" s="110">
        <v>2</v>
      </c>
      <c r="D47" s="1636"/>
      <c r="E47" s="1636">
        <v>2.76</v>
      </c>
      <c r="F47" s="1636">
        <v>2.69</v>
      </c>
      <c r="G47" s="1636">
        <v>2.4900000000000002</v>
      </c>
      <c r="H47" s="1636">
        <v>2.11</v>
      </c>
      <c r="I47" s="1636">
        <v>1.92</v>
      </c>
      <c r="J47" s="1636">
        <v>1.75</v>
      </c>
      <c r="K47" s="1636">
        <v>1.61</v>
      </c>
      <c r="L47" s="1636">
        <v>1.44</v>
      </c>
      <c r="M47" s="1636">
        <v>1.22</v>
      </c>
      <c r="N47" s="1636">
        <v>0.94</v>
      </c>
      <c r="O47" s="1636">
        <v>0.72</v>
      </c>
    </row>
    <row r="48" spans="1:15" s="78" customFormat="1" outlineLevel="1">
      <c r="A48" s="1642" t="s">
        <v>252</v>
      </c>
      <c r="B48" s="118">
        <v>4</v>
      </c>
      <c r="C48" s="1636">
        <v>3</v>
      </c>
      <c r="D48" s="1636"/>
      <c r="E48" s="1636">
        <v>1.54</v>
      </c>
      <c r="F48" s="1636">
        <v>1.5</v>
      </c>
      <c r="G48" s="1636">
        <v>1.39</v>
      </c>
      <c r="H48" s="1636">
        <v>1.17</v>
      </c>
      <c r="I48" s="1636">
        <v>1.08</v>
      </c>
      <c r="J48" s="1636">
        <v>0.92</v>
      </c>
      <c r="K48" s="1636">
        <v>0.78</v>
      </c>
      <c r="L48" s="1636">
        <v>0.67</v>
      </c>
      <c r="M48" s="1636"/>
      <c r="N48" s="1636"/>
      <c r="O48" s="1636"/>
    </row>
    <row r="49" spans="1:15" s="78" customFormat="1" outlineLevel="1">
      <c r="A49" s="1642" t="s">
        <v>252</v>
      </c>
      <c r="B49" s="118">
        <v>4</v>
      </c>
      <c r="C49" s="1636">
        <v>2</v>
      </c>
      <c r="D49" s="1636"/>
      <c r="E49" s="1636">
        <v>2.4500000000000002</v>
      </c>
      <c r="F49" s="1636">
        <v>2.39</v>
      </c>
      <c r="G49" s="1636">
        <v>2.21</v>
      </c>
      <c r="H49" s="1636">
        <v>1.87</v>
      </c>
      <c r="I49" s="1636">
        <v>1.72</v>
      </c>
      <c r="J49" s="1636">
        <v>1.46</v>
      </c>
      <c r="K49" s="1636">
        <v>1.24</v>
      </c>
      <c r="L49" s="1636">
        <v>1.06</v>
      </c>
      <c r="M49" s="1636"/>
      <c r="N49" s="1636"/>
      <c r="O49" s="1636"/>
    </row>
    <row r="50" spans="1:15" outlineLevel="1">
      <c r="A50" s="124"/>
      <c r="B50" s="106"/>
      <c r="C50" s="106"/>
      <c r="D50" s="106"/>
      <c r="E50" s="125"/>
      <c r="F50" s="125"/>
      <c r="G50" s="125"/>
      <c r="H50" s="125"/>
      <c r="I50" s="125"/>
      <c r="J50" s="125"/>
      <c r="K50" s="125"/>
      <c r="L50" s="125"/>
      <c r="M50" s="125"/>
      <c r="N50" s="125"/>
      <c r="O50" s="121"/>
    </row>
    <row r="51" spans="1:15" ht="29.25" customHeight="1" outlineLevel="1">
      <c r="A51" s="122" t="s">
        <v>4066</v>
      </c>
      <c r="B51" s="106" t="s">
        <v>4078</v>
      </c>
      <c r="C51" s="117" t="s">
        <v>4079</v>
      </c>
      <c r="D51" s="110"/>
      <c r="E51" s="107" t="s">
        <v>4082</v>
      </c>
      <c r="F51" s="107"/>
      <c r="G51" s="107"/>
      <c r="H51" s="107"/>
      <c r="I51" s="107"/>
      <c r="J51" s="107"/>
      <c r="K51" s="108"/>
      <c r="L51" s="108"/>
      <c r="M51" s="108"/>
      <c r="N51" s="108"/>
      <c r="O51" s="109"/>
    </row>
    <row r="52" spans="1:15" s="78" customFormat="1" outlineLevel="1">
      <c r="A52" s="123"/>
      <c r="B52" s="110"/>
      <c r="C52" s="1636" t="s">
        <v>4069</v>
      </c>
      <c r="D52" s="110"/>
      <c r="E52" s="110">
        <v>5</v>
      </c>
      <c r="F52" s="110">
        <v>15</v>
      </c>
      <c r="G52" s="110">
        <v>25</v>
      </c>
      <c r="H52" s="110">
        <v>50</v>
      </c>
      <c r="I52" s="110">
        <v>100</v>
      </c>
      <c r="J52" s="110">
        <v>200</v>
      </c>
      <c r="K52" s="110">
        <v>500</v>
      </c>
      <c r="L52" s="111">
        <v>1000</v>
      </c>
      <c r="M52" s="111">
        <v>3000</v>
      </c>
      <c r="N52" s="111"/>
      <c r="O52" s="111"/>
    </row>
    <row r="53" spans="1:15" s="78" customFormat="1" outlineLevel="1">
      <c r="A53" s="1642" t="s">
        <v>4083</v>
      </c>
      <c r="B53" s="1637" t="s">
        <v>4084</v>
      </c>
      <c r="C53" s="1636">
        <v>2</v>
      </c>
      <c r="D53" s="1636"/>
      <c r="E53" s="1636">
        <v>1.7</v>
      </c>
      <c r="F53" s="1636">
        <v>1.4</v>
      </c>
      <c r="G53" s="1636">
        <v>1.3</v>
      </c>
      <c r="H53" s="1636">
        <v>1.2</v>
      </c>
      <c r="I53" s="1636">
        <v>1.1000000000000001</v>
      </c>
      <c r="J53" s="1636">
        <v>0.95</v>
      </c>
      <c r="K53" s="1636">
        <v>0.85</v>
      </c>
      <c r="L53" s="1636"/>
      <c r="M53" s="1636"/>
      <c r="N53" s="1636"/>
      <c r="O53" s="1636"/>
    </row>
    <row r="54" spans="1:15" s="78" customFormat="1" outlineLevel="1">
      <c r="A54" s="1642" t="s">
        <v>4083</v>
      </c>
      <c r="B54" s="1637" t="s">
        <v>4085</v>
      </c>
      <c r="C54" s="1636">
        <v>2</v>
      </c>
      <c r="D54" s="1636"/>
      <c r="E54" s="1636">
        <v>1.9</v>
      </c>
      <c r="F54" s="1636">
        <v>1.6</v>
      </c>
      <c r="G54" s="1636">
        <v>1.45</v>
      </c>
      <c r="H54" s="1636">
        <v>1.3</v>
      </c>
      <c r="I54" s="1636">
        <v>1.2</v>
      </c>
      <c r="J54" s="1636">
        <v>1.05</v>
      </c>
      <c r="K54" s="1636">
        <v>0.95</v>
      </c>
      <c r="L54" s="1636"/>
      <c r="M54" s="1636"/>
      <c r="N54" s="1636"/>
      <c r="O54" s="1636"/>
    </row>
    <row r="55" spans="1:15" s="78" customFormat="1" outlineLevel="1">
      <c r="A55" s="1642" t="s">
        <v>4083</v>
      </c>
      <c r="B55" s="1637" t="s">
        <v>4086</v>
      </c>
      <c r="C55" s="1636">
        <v>2</v>
      </c>
      <c r="D55" s="1636"/>
      <c r="E55" s="1636">
        <v>1.5</v>
      </c>
      <c r="F55" s="1636">
        <v>1.3</v>
      </c>
      <c r="G55" s="1636">
        <v>1.1499999999999999</v>
      </c>
      <c r="H55" s="1636">
        <v>1.05</v>
      </c>
      <c r="I55" s="1636">
        <v>0.95</v>
      </c>
      <c r="J55" s="1636">
        <v>0.85</v>
      </c>
      <c r="K55" s="1636">
        <v>0.75</v>
      </c>
      <c r="L55" s="1636"/>
      <c r="M55" s="1636"/>
      <c r="N55" s="1636"/>
      <c r="O55" s="1636"/>
    </row>
    <row r="56" spans="1:15" s="78" customFormat="1" outlineLevel="1">
      <c r="A56" s="1642" t="s">
        <v>4087</v>
      </c>
      <c r="B56" s="118" t="s">
        <v>4088</v>
      </c>
      <c r="C56" s="1636">
        <v>2</v>
      </c>
      <c r="D56" s="1636"/>
      <c r="E56" s="1636">
        <v>1.1000000000000001</v>
      </c>
      <c r="F56" s="1636">
        <v>1</v>
      </c>
      <c r="G56" s="1636">
        <v>0.9</v>
      </c>
      <c r="H56" s="1636">
        <v>0.85</v>
      </c>
      <c r="I56" s="1636">
        <v>0.8</v>
      </c>
      <c r="J56" s="1636">
        <v>0.7</v>
      </c>
      <c r="K56" s="1636">
        <v>0.6</v>
      </c>
      <c r="L56" s="1636">
        <v>0.55000000000000004</v>
      </c>
      <c r="M56" s="1636">
        <v>0.45</v>
      </c>
      <c r="N56" s="1636"/>
      <c r="O56" s="1636"/>
    </row>
    <row r="57" spans="1:15" s="78" customFormat="1" outlineLevel="1">
      <c r="A57" s="1642" t="s">
        <v>4087</v>
      </c>
      <c r="B57" s="118" t="s">
        <v>4089</v>
      </c>
      <c r="C57" s="110">
        <v>2</v>
      </c>
      <c r="D57" s="110"/>
      <c r="E57" s="1636">
        <v>0.95</v>
      </c>
      <c r="F57" s="1636">
        <v>0.85</v>
      </c>
      <c r="G57" s="1636">
        <v>0.8</v>
      </c>
      <c r="H57" s="1636">
        <v>0.75</v>
      </c>
      <c r="I57" s="1636">
        <v>0.7</v>
      </c>
      <c r="J57" s="1636">
        <v>0.6</v>
      </c>
      <c r="K57" s="1636">
        <v>0.55000000000000004</v>
      </c>
      <c r="L57" s="1636">
        <v>0.5</v>
      </c>
      <c r="M57" s="1636">
        <v>0.4</v>
      </c>
      <c r="N57" s="1636"/>
      <c r="O57" s="1636"/>
    </row>
    <row r="58" spans="1:15" s="78" customFormat="1" outlineLevel="1">
      <c r="A58" s="1642" t="s">
        <v>4087</v>
      </c>
      <c r="B58" s="118" t="s">
        <v>4090</v>
      </c>
      <c r="C58" s="1636">
        <v>2</v>
      </c>
      <c r="D58" s="1636"/>
      <c r="E58" s="1636">
        <v>1.1499999999999999</v>
      </c>
      <c r="F58" s="1636">
        <v>1</v>
      </c>
      <c r="G58" s="1636">
        <v>0.95</v>
      </c>
      <c r="H58" s="1636">
        <v>0.9</v>
      </c>
      <c r="I58" s="1636">
        <v>0.8</v>
      </c>
      <c r="J58" s="1636">
        <v>0.75</v>
      </c>
      <c r="K58" s="1636">
        <v>0.65</v>
      </c>
      <c r="L58" s="1636">
        <v>0.6</v>
      </c>
      <c r="M58" s="1636">
        <v>0.5</v>
      </c>
      <c r="N58" s="1636"/>
      <c r="O58" s="1636"/>
    </row>
    <row r="59" spans="1:15" s="78" customFormat="1" outlineLevel="1">
      <c r="A59" s="1642" t="s">
        <v>4087</v>
      </c>
      <c r="B59" s="118" t="s">
        <v>4091</v>
      </c>
      <c r="C59" s="110">
        <v>2</v>
      </c>
      <c r="D59" s="110"/>
      <c r="E59" s="1636"/>
      <c r="F59" s="1636"/>
      <c r="G59" s="1636"/>
      <c r="H59" s="1636">
        <v>1.1499999999999999</v>
      </c>
      <c r="I59" s="1636">
        <v>1.1000000000000001</v>
      </c>
      <c r="J59" s="1636">
        <v>1.05</v>
      </c>
      <c r="K59" s="1636">
        <v>1.01</v>
      </c>
      <c r="L59" s="1636">
        <v>0.96</v>
      </c>
      <c r="M59" s="1636">
        <v>0.8</v>
      </c>
      <c r="N59" s="1636"/>
      <c r="O59" s="1636"/>
    </row>
    <row r="60" spans="1:15" s="78" customFormat="1" outlineLevel="1">
      <c r="A60" s="1642" t="s">
        <v>4087</v>
      </c>
      <c r="B60" s="118" t="s">
        <v>4092</v>
      </c>
      <c r="C60" s="1636">
        <v>2</v>
      </c>
      <c r="D60" s="1636"/>
      <c r="E60" s="1636">
        <v>0.73</v>
      </c>
      <c r="F60" s="1636">
        <v>0.65</v>
      </c>
      <c r="G60" s="1636">
        <v>0.56000000000000005</v>
      </c>
      <c r="H60" s="1636">
        <v>0.51</v>
      </c>
      <c r="I60" s="1636">
        <v>0.48</v>
      </c>
      <c r="J60" s="1636">
        <v>0.42</v>
      </c>
      <c r="K60" s="1636">
        <v>0.37</v>
      </c>
      <c r="L60" s="1636">
        <v>0.34</v>
      </c>
      <c r="M60" s="1636">
        <v>0.3</v>
      </c>
      <c r="N60" s="1636"/>
      <c r="O60" s="1636"/>
    </row>
    <row r="61" spans="1:15" outlineLevel="1">
      <c r="A61" s="124"/>
      <c r="B61" s="106"/>
      <c r="C61" s="106"/>
      <c r="D61" s="106"/>
      <c r="E61" s="125"/>
      <c r="F61" s="125"/>
      <c r="G61" s="125"/>
      <c r="H61" s="125"/>
      <c r="I61" s="125"/>
      <c r="J61" s="125"/>
      <c r="K61" s="125"/>
      <c r="L61" s="125"/>
      <c r="M61" s="125"/>
      <c r="N61" s="125"/>
      <c r="O61" s="121"/>
    </row>
    <row r="62" spans="1:15" ht="29.25" customHeight="1" outlineLevel="1">
      <c r="A62" s="105" t="s">
        <v>4066</v>
      </c>
      <c r="B62" s="106" t="s">
        <v>4078</v>
      </c>
      <c r="C62" s="117" t="s">
        <v>4079</v>
      </c>
      <c r="D62" s="110"/>
      <c r="E62" s="107" t="s">
        <v>4082</v>
      </c>
      <c r="F62" s="107"/>
      <c r="G62" s="107"/>
      <c r="H62" s="107"/>
      <c r="I62" s="107"/>
      <c r="J62" s="107"/>
      <c r="K62" s="108"/>
      <c r="L62" s="108"/>
      <c r="M62" s="108"/>
      <c r="N62" s="108"/>
      <c r="O62" s="109"/>
    </row>
    <row r="63" spans="1:15" s="78" customFormat="1" outlineLevel="1">
      <c r="A63" s="110"/>
      <c r="B63" s="110"/>
      <c r="C63" s="1636" t="s">
        <v>4069</v>
      </c>
      <c r="D63" s="110">
        <v>0</v>
      </c>
      <c r="E63" s="110">
        <v>7</v>
      </c>
      <c r="F63" s="110">
        <v>10</v>
      </c>
      <c r="G63" s="110">
        <v>20</v>
      </c>
      <c r="H63" s="110">
        <v>50</v>
      </c>
      <c r="I63" s="110">
        <v>100</v>
      </c>
      <c r="J63" s="110">
        <v>200</v>
      </c>
      <c r="K63" s="110">
        <v>500</v>
      </c>
      <c r="L63" s="111">
        <v>1000</v>
      </c>
      <c r="M63" s="111">
        <v>2000</v>
      </c>
      <c r="N63" s="111">
        <v>5000</v>
      </c>
      <c r="O63" s="111">
        <v>8000</v>
      </c>
    </row>
    <row r="64" spans="1:15" s="78" customFormat="1" outlineLevel="1">
      <c r="A64" s="1636" t="s">
        <v>254</v>
      </c>
      <c r="B64" s="1637" t="s">
        <v>4081</v>
      </c>
      <c r="C64" s="1636">
        <v>3</v>
      </c>
      <c r="D64" s="1636"/>
      <c r="E64" s="1636"/>
      <c r="F64" s="1636">
        <v>1.81</v>
      </c>
      <c r="G64" s="1636">
        <v>1.67</v>
      </c>
      <c r="H64" s="1636">
        <v>1.46</v>
      </c>
      <c r="I64" s="1636">
        <v>1.26</v>
      </c>
      <c r="J64" s="1636">
        <v>1.145</v>
      </c>
      <c r="K64" s="1636">
        <v>1.06</v>
      </c>
      <c r="L64" s="1636">
        <v>0.91</v>
      </c>
      <c r="M64" s="1636">
        <v>0.76</v>
      </c>
      <c r="N64" s="1636">
        <v>0.57999999999999996</v>
      </c>
      <c r="O64" s="1636">
        <v>0.44</v>
      </c>
    </row>
    <row r="65" spans="1:15" s="78" customFormat="1" outlineLevel="1">
      <c r="A65" s="1636" t="s">
        <v>254</v>
      </c>
      <c r="B65" s="1637" t="s">
        <v>4081</v>
      </c>
      <c r="C65" s="1636">
        <v>2</v>
      </c>
      <c r="D65" s="1636"/>
      <c r="E65" s="1636"/>
      <c r="F65" s="1636">
        <v>2.8</v>
      </c>
      <c r="G65" s="1636">
        <v>2.58</v>
      </c>
      <c r="H65" s="1636">
        <v>2.21</v>
      </c>
      <c r="I65" s="1636">
        <v>2.0099999999999998</v>
      </c>
      <c r="J65" s="1636">
        <v>1.82</v>
      </c>
      <c r="K65" s="1636">
        <v>1.66</v>
      </c>
      <c r="L65" s="1636">
        <v>1.45</v>
      </c>
      <c r="M65" s="1636">
        <v>1.23</v>
      </c>
      <c r="N65" s="1636">
        <v>0.95</v>
      </c>
      <c r="O65" s="1636">
        <v>0.73</v>
      </c>
    </row>
    <row r="66" spans="1:15" s="78" customFormat="1" outlineLevel="1">
      <c r="A66" s="1636" t="s">
        <v>254</v>
      </c>
      <c r="B66" s="1637">
        <v>1</v>
      </c>
      <c r="C66" s="1636">
        <v>3</v>
      </c>
      <c r="D66" s="1636"/>
      <c r="E66" s="1636"/>
      <c r="F66" s="1636">
        <v>1.1100000000000001</v>
      </c>
      <c r="G66" s="1636">
        <v>1.05</v>
      </c>
      <c r="H66" s="1636">
        <v>0.87</v>
      </c>
      <c r="I66" s="1636">
        <v>0.81</v>
      </c>
      <c r="J66" s="1636">
        <v>0.73</v>
      </c>
      <c r="K66" s="1636">
        <v>0.67</v>
      </c>
      <c r="L66" s="1636">
        <v>0.56999999999999995</v>
      </c>
      <c r="M66" s="1636">
        <v>0.48</v>
      </c>
      <c r="N66" s="1636">
        <v>0.37</v>
      </c>
      <c r="O66" s="1636">
        <v>0.28000000000000003</v>
      </c>
    </row>
    <row r="67" spans="1:15" s="78" customFormat="1" outlineLevel="1">
      <c r="A67" s="1636" t="s">
        <v>254</v>
      </c>
      <c r="B67" s="1637">
        <v>1</v>
      </c>
      <c r="C67" s="1636">
        <v>2</v>
      </c>
      <c r="D67" s="1636"/>
      <c r="E67" s="1636"/>
      <c r="F67" s="1636">
        <v>2.72</v>
      </c>
      <c r="G67" s="1636">
        <v>2.15</v>
      </c>
      <c r="H67" s="1636">
        <v>1.83</v>
      </c>
      <c r="I67" s="1636">
        <v>1.67</v>
      </c>
      <c r="J67" s="1636">
        <v>1.51</v>
      </c>
      <c r="K67" s="1636">
        <v>1.38</v>
      </c>
      <c r="L67" s="1636">
        <v>1.21</v>
      </c>
      <c r="M67" s="1636">
        <v>1.03</v>
      </c>
      <c r="N67" s="1636">
        <v>0.79</v>
      </c>
      <c r="O67" s="1636">
        <v>0.61</v>
      </c>
    </row>
    <row r="68" spans="1:15" s="78" customFormat="1" outlineLevel="1">
      <c r="A68" s="1636" t="s">
        <v>254</v>
      </c>
      <c r="B68" s="1637">
        <v>2</v>
      </c>
      <c r="C68" s="1636">
        <v>3</v>
      </c>
      <c r="D68" s="1636">
        <v>1.04</v>
      </c>
      <c r="E68" s="1636">
        <v>1.04</v>
      </c>
      <c r="F68" s="1636">
        <v>1.01</v>
      </c>
      <c r="G68" s="1636">
        <v>0.94</v>
      </c>
      <c r="H68" s="1636">
        <v>0.8</v>
      </c>
      <c r="I68" s="1636">
        <v>0.73</v>
      </c>
      <c r="J68" s="1636">
        <v>0.67</v>
      </c>
      <c r="K68" s="1636">
        <v>0.61</v>
      </c>
      <c r="L68" s="1636">
        <v>0.52</v>
      </c>
      <c r="M68" s="1636">
        <v>0.44</v>
      </c>
      <c r="N68" s="1636">
        <v>0.34</v>
      </c>
      <c r="O68" s="1636">
        <v>0.26</v>
      </c>
    </row>
    <row r="69" spans="1:15" s="78" customFormat="1" outlineLevel="1">
      <c r="A69" s="1636" t="s">
        <v>254</v>
      </c>
      <c r="B69" s="118">
        <v>2</v>
      </c>
      <c r="C69" s="1636">
        <v>2</v>
      </c>
      <c r="D69" s="1636">
        <v>1.61</v>
      </c>
      <c r="E69" s="1636">
        <v>1.61</v>
      </c>
      <c r="F69" s="1636">
        <v>1.56</v>
      </c>
      <c r="G69" s="1636">
        <v>1.45</v>
      </c>
      <c r="H69" s="1636">
        <v>1.23</v>
      </c>
      <c r="I69" s="1636">
        <v>1.1200000000000001</v>
      </c>
      <c r="J69" s="1636">
        <v>1.03</v>
      </c>
      <c r="K69" s="1636">
        <v>0.93</v>
      </c>
      <c r="L69" s="1636">
        <v>0.79</v>
      </c>
      <c r="M69" s="1636">
        <v>0.67</v>
      </c>
      <c r="N69" s="1636">
        <v>0.52</v>
      </c>
      <c r="O69" s="1636">
        <v>0.4</v>
      </c>
    </row>
    <row r="70" spans="1:15" s="78" customFormat="1" outlineLevel="1">
      <c r="A70" s="1636" t="s">
        <v>254</v>
      </c>
      <c r="B70" s="118">
        <v>3</v>
      </c>
      <c r="C70" s="110">
        <v>3</v>
      </c>
      <c r="D70" s="1636">
        <v>0.95</v>
      </c>
      <c r="E70" s="1636">
        <v>0.95</v>
      </c>
      <c r="F70" s="1636">
        <v>0.92</v>
      </c>
      <c r="G70" s="1636">
        <v>0.85</v>
      </c>
      <c r="H70" s="1636">
        <v>0.73</v>
      </c>
      <c r="I70" s="1636">
        <v>0.67</v>
      </c>
      <c r="J70" s="1636">
        <v>0.61</v>
      </c>
      <c r="K70" s="1636">
        <v>0.5</v>
      </c>
      <c r="L70" s="1636">
        <v>0.42</v>
      </c>
      <c r="M70" s="1636">
        <v>0.24</v>
      </c>
      <c r="N70" s="1636">
        <v>0.28000000000000003</v>
      </c>
      <c r="O70" s="1636">
        <v>0.21</v>
      </c>
    </row>
    <row r="71" spans="1:15" s="78" customFormat="1" outlineLevel="1">
      <c r="A71" s="1636" t="s">
        <v>254</v>
      </c>
      <c r="B71" s="118">
        <v>3</v>
      </c>
      <c r="C71" s="110">
        <v>2</v>
      </c>
      <c r="D71" s="1636">
        <v>1.46</v>
      </c>
      <c r="E71" s="1636">
        <v>1.46</v>
      </c>
      <c r="F71" s="1636">
        <v>1.42</v>
      </c>
      <c r="G71" s="1636">
        <v>1.31</v>
      </c>
      <c r="H71" s="1636">
        <v>1.1299999999999999</v>
      </c>
      <c r="I71" s="1636">
        <v>1.03</v>
      </c>
      <c r="J71" s="1636">
        <v>0.92</v>
      </c>
      <c r="K71" s="1636">
        <v>0.77</v>
      </c>
      <c r="L71" s="1636">
        <v>0.65</v>
      </c>
      <c r="M71" s="1636">
        <v>0.55000000000000004</v>
      </c>
      <c r="N71" s="1636">
        <v>0.42</v>
      </c>
      <c r="O71" s="1636">
        <v>0.32</v>
      </c>
    </row>
    <row r="72" spans="1:15" s="78" customFormat="1" outlineLevel="1">
      <c r="A72" s="1636" t="s">
        <v>254</v>
      </c>
      <c r="B72" s="118">
        <v>4</v>
      </c>
      <c r="C72" s="1636">
        <v>3</v>
      </c>
      <c r="D72" s="1636">
        <v>0.85</v>
      </c>
      <c r="E72" s="1636">
        <v>0.85</v>
      </c>
      <c r="F72" s="1636">
        <v>0.83</v>
      </c>
      <c r="G72" s="1636">
        <v>0.76</v>
      </c>
      <c r="H72" s="1636">
        <v>0.66</v>
      </c>
      <c r="I72" s="1636">
        <v>0.6</v>
      </c>
      <c r="J72" s="1636">
        <v>0.51</v>
      </c>
      <c r="K72" s="1636">
        <v>0.43</v>
      </c>
      <c r="L72" s="1636">
        <v>0.37</v>
      </c>
      <c r="M72" s="1636">
        <v>0.31</v>
      </c>
      <c r="N72" s="1636">
        <v>0.24</v>
      </c>
      <c r="O72" s="1636"/>
    </row>
    <row r="73" spans="1:15" s="78" customFormat="1" outlineLevel="1">
      <c r="A73" s="1636" t="s">
        <v>254</v>
      </c>
      <c r="B73" s="118">
        <v>4</v>
      </c>
      <c r="C73" s="1636">
        <v>2</v>
      </c>
      <c r="D73" s="1636">
        <v>1.31</v>
      </c>
      <c r="E73" s="1636">
        <v>1.31</v>
      </c>
      <c r="F73" s="1636">
        <v>1.28</v>
      </c>
      <c r="G73" s="1636">
        <v>1.18</v>
      </c>
      <c r="H73" s="1636">
        <v>1.01</v>
      </c>
      <c r="I73" s="1636">
        <v>0.92</v>
      </c>
      <c r="J73" s="1636">
        <v>0.78</v>
      </c>
      <c r="K73" s="1636">
        <v>0.66</v>
      </c>
      <c r="L73" s="1636">
        <v>0.56999999999999995</v>
      </c>
      <c r="M73" s="1636">
        <v>0.48</v>
      </c>
      <c r="N73" s="1636">
        <v>0.37</v>
      </c>
      <c r="O73" s="1636"/>
    </row>
    <row r="74" spans="1:15" outlineLevel="1">
      <c r="A74" s="6"/>
    </row>
    <row r="75" spans="1:15" s="140" customFormat="1" ht="29.25" customHeight="1" outlineLevel="1">
      <c r="A75" s="133" t="s">
        <v>4066</v>
      </c>
      <c r="B75" s="134" t="s">
        <v>4078</v>
      </c>
      <c r="C75" s="135" t="s">
        <v>4079</v>
      </c>
      <c r="D75" s="136"/>
      <c r="E75" s="137" t="s">
        <v>4082</v>
      </c>
      <c r="F75" s="137"/>
      <c r="G75" s="137"/>
      <c r="H75" s="137"/>
      <c r="I75" s="137"/>
      <c r="J75" s="137"/>
      <c r="K75" s="138"/>
      <c r="L75" s="138"/>
      <c r="M75" s="138"/>
      <c r="N75" s="138"/>
      <c r="O75" s="139"/>
    </row>
    <row r="76" spans="1:15" s="142" customFormat="1" outlineLevel="1">
      <c r="A76" s="136"/>
      <c r="B76" s="136"/>
      <c r="C76" s="1643" t="s">
        <v>4069</v>
      </c>
      <c r="D76" s="136">
        <v>0</v>
      </c>
      <c r="E76" s="136">
        <v>7</v>
      </c>
      <c r="F76" s="136">
        <v>10</v>
      </c>
      <c r="G76" s="136">
        <v>20</v>
      </c>
      <c r="H76" s="136">
        <v>50</v>
      </c>
      <c r="I76" s="136">
        <v>100</v>
      </c>
      <c r="J76" s="136">
        <v>200</v>
      </c>
      <c r="K76" s="136">
        <v>500</v>
      </c>
      <c r="L76" s="141">
        <v>1000</v>
      </c>
      <c r="M76" s="141">
        <v>2000</v>
      </c>
      <c r="N76" s="141">
        <v>5000</v>
      </c>
      <c r="O76" s="141">
        <v>8000</v>
      </c>
    </row>
    <row r="77" spans="1:15" s="142" customFormat="1" outlineLevel="1">
      <c r="A77" s="1643" t="s">
        <v>256</v>
      </c>
      <c r="B77" s="1644" t="s">
        <v>4081</v>
      </c>
      <c r="C77" s="1643">
        <v>3</v>
      </c>
      <c r="D77" s="1643"/>
      <c r="E77" s="1643"/>
      <c r="F77" s="1643">
        <v>2.59</v>
      </c>
      <c r="G77" s="1643">
        <v>2.25</v>
      </c>
      <c r="H77" s="1643">
        <v>1.91</v>
      </c>
      <c r="I77" s="1643">
        <v>1.72</v>
      </c>
      <c r="J77" s="1643">
        <v>1.57</v>
      </c>
      <c r="K77" s="1643">
        <v>1.34</v>
      </c>
      <c r="L77" s="1643">
        <v>1.1299999999999999</v>
      </c>
      <c r="M77" s="1643">
        <v>0.96</v>
      </c>
      <c r="N77" s="1643">
        <v>0.74</v>
      </c>
      <c r="O77" s="1643">
        <v>0.56999999999999995</v>
      </c>
    </row>
    <row r="78" spans="1:15" s="142" customFormat="1" outlineLevel="1">
      <c r="A78" s="1643" t="s">
        <v>256</v>
      </c>
      <c r="B78" s="1644" t="s">
        <v>4081</v>
      </c>
      <c r="C78" s="1643">
        <v>2</v>
      </c>
      <c r="D78" s="1643"/>
      <c r="E78" s="1643"/>
      <c r="F78" s="1643">
        <v>4.01</v>
      </c>
      <c r="G78" s="1643">
        <v>3.48</v>
      </c>
      <c r="H78" s="1643">
        <v>2.96</v>
      </c>
      <c r="I78" s="1643">
        <v>2.66</v>
      </c>
      <c r="J78" s="1643">
        <v>2.4300000000000002</v>
      </c>
      <c r="K78" s="1643">
        <v>2.0699999999999998</v>
      </c>
      <c r="L78" s="1643">
        <v>1.75</v>
      </c>
      <c r="M78" s="1643">
        <v>1.48</v>
      </c>
      <c r="N78" s="1643">
        <v>1.1399999999999999</v>
      </c>
      <c r="O78" s="1643">
        <v>0.88</v>
      </c>
    </row>
    <row r="79" spans="1:15" s="142" customFormat="1" outlineLevel="1">
      <c r="A79" s="1643" t="s">
        <v>256</v>
      </c>
      <c r="B79" s="1644">
        <v>1</v>
      </c>
      <c r="C79" s="1643">
        <v>3</v>
      </c>
      <c r="D79" s="1643"/>
      <c r="E79" s="1643"/>
      <c r="F79" s="1643">
        <v>2.35</v>
      </c>
      <c r="G79" s="1643">
        <v>2.0499999999999998</v>
      </c>
      <c r="H79" s="1643">
        <v>1.73</v>
      </c>
      <c r="I79" s="1643">
        <v>1.55</v>
      </c>
      <c r="J79" s="1643">
        <v>1.43</v>
      </c>
      <c r="K79" s="1643">
        <v>1.21</v>
      </c>
      <c r="L79" s="1643">
        <v>1.02</v>
      </c>
      <c r="M79" s="1643">
        <v>0.87</v>
      </c>
      <c r="N79" s="1643">
        <v>0.67</v>
      </c>
      <c r="O79" s="1643">
        <v>0.51</v>
      </c>
    </row>
    <row r="80" spans="1:15" s="142" customFormat="1" outlineLevel="1">
      <c r="A80" s="1643" t="s">
        <v>256</v>
      </c>
      <c r="B80" s="1644">
        <v>1</v>
      </c>
      <c r="C80" s="1643">
        <v>2</v>
      </c>
      <c r="D80" s="1643"/>
      <c r="E80" s="1643"/>
      <c r="F80" s="1643">
        <v>3.64</v>
      </c>
      <c r="G80" s="1643">
        <v>3.17</v>
      </c>
      <c r="H80" s="1643">
        <v>2.68</v>
      </c>
      <c r="I80" s="1643">
        <v>2.4</v>
      </c>
      <c r="J80" s="1643">
        <v>2.21</v>
      </c>
      <c r="K80" s="1643">
        <v>1.87</v>
      </c>
      <c r="L80" s="1643">
        <v>1.58</v>
      </c>
      <c r="M80" s="1643">
        <v>1.34</v>
      </c>
      <c r="N80" s="1643">
        <v>1.03</v>
      </c>
      <c r="O80" s="1643">
        <v>0.79</v>
      </c>
    </row>
    <row r="81" spans="1:15" s="142" customFormat="1" outlineLevel="1">
      <c r="A81" s="1643" t="s">
        <v>256</v>
      </c>
      <c r="B81" s="1644">
        <v>2</v>
      </c>
      <c r="C81" s="1643">
        <v>3</v>
      </c>
      <c r="D81" s="1643">
        <v>2.2200000000000002</v>
      </c>
      <c r="E81" s="1643">
        <v>2.2200000000000002</v>
      </c>
      <c r="F81" s="1643">
        <v>2.13</v>
      </c>
      <c r="G81" s="1643">
        <v>1.86</v>
      </c>
      <c r="H81" s="1643">
        <v>1.57</v>
      </c>
      <c r="I81" s="1643">
        <v>1.42</v>
      </c>
      <c r="J81" s="1643">
        <v>1.31</v>
      </c>
      <c r="K81" s="1643">
        <v>1.06</v>
      </c>
      <c r="L81" s="1643">
        <v>0.91</v>
      </c>
      <c r="M81" s="1643">
        <v>0.76</v>
      </c>
      <c r="N81" s="1643">
        <v>0.57999999999999996</v>
      </c>
      <c r="O81" s="1643">
        <v>0.45</v>
      </c>
    </row>
    <row r="82" spans="1:15" s="142" customFormat="1" outlineLevel="1">
      <c r="A82" s="1643" t="s">
        <v>256</v>
      </c>
      <c r="B82" s="143">
        <v>2</v>
      </c>
      <c r="C82" s="1643">
        <v>2</v>
      </c>
      <c r="D82" s="1643">
        <v>3.42</v>
      </c>
      <c r="E82" s="1643">
        <v>3.42</v>
      </c>
      <c r="F82" s="1643">
        <v>3.29</v>
      </c>
      <c r="G82" s="1643">
        <v>2.87</v>
      </c>
      <c r="H82" s="1643">
        <v>2.41</v>
      </c>
      <c r="I82" s="1643">
        <v>2.19</v>
      </c>
      <c r="J82" s="1643">
        <v>2.0099999999999998</v>
      </c>
      <c r="K82" s="1643">
        <v>1.62</v>
      </c>
      <c r="L82" s="1643">
        <v>1.38</v>
      </c>
      <c r="M82" s="1643">
        <v>1.17</v>
      </c>
      <c r="N82" s="1643">
        <v>0.9</v>
      </c>
      <c r="O82" s="1643">
        <v>0.51</v>
      </c>
    </row>
    <row r="83" spans="1:15" s="142" customFormat="1" outlineLevel="1">
      <c r="A83" s="1643" t="s">
        <v>256</v>
      </c>
      <c r="B83" s="143">
        <v>3</v>
      </c>
      <c r="C83" s="136">
        <v>3</v>
      </c>
      <c r="D83" s="1643">
        <v>2.0099999999999998</v>
      </c>
      <c r="E83" s="1643">
        <v>2.0099999999999998</v>
      </c>
      <c r="F83" s="1643">
        <v>1.93</v>
      </c>
      <c r="G83" s="1643">
        <v>1.67</v>
      </c>
      <c r="H83" s="1643">
        <v>1.4</v>
      </c>
      <c r="I83" s="1643">
        <v>1.27</v>
      </c>
      <c r="J83" s="1643">
        <v>1.08</v>
      </c>
      <c r="K83" s="1643">
        <v>0.92</v>
      </c>
      <c r="L83" s="1643">
        <v>0.78</v>
      </c>
      <c r="M83" s="1643">
        <v>0.67</v>
      </c>
      <c r="N83" s="1643">
        <v>0.51</v>
      </c>
      <c r="O83" s="1643">
        <v>0.4</v>
      </c>
    </row>
    <row r="84" spans="1:15" s="142" customFormat="1" outlineLevel="1">
      <c r="A84" s="1643" t="s">
        <v>256</v>
      </c>
      <c r="B84" s="143">
        <v>3</v>
      </c>
      <c r="C84" s="136">
        <v>2</v>
      </c>
      <c r="D84" s="1643">
        <v>3.11</v>
      </c>
      <c r="E84" s="1643">
        <v>3.11</v>
      </c>
      <c r="F84" s="1643">
        <v>2.98</v>
      </c>
      <c r="G84" s="1643">
        <v>2.58</v>
      </c>
      <c r="H84" s="1643">
        <v>2.16</v>
      </c>
      <c r="I84" s="1643">
        <v>1.96</v>
      </c>
      <c r="J84" s="1643">
        <v>1.67</v>
      </c>
      <c r="K84" s="1643">
        <v>1.42</v>
      </c>
      <c r="L84" s="1643">
        <v>1.21</v>
      </c>
      <c r="M84" s="1643">
        <v>1.03</v>
      </c>
      <c r="N84" s="1643">
        <v>0.79</v>
      </c>
      <c r="O84" s="1643">
        <v>0.46</v>
      </c>
    </row>
    <row r="85" spans="1:15" s="142" customFormat="1" outlineLevel="1">
      <c r="A85" s="1643" t="s">
        <v>256</v>
      </c>
      <c r="B85" s="143">
        <v>4</v>
      </c>
      <c r="C85" s="1643">
        <v>3</v>
      </c>
      <c r="D85" s="1643">
        <v>1.77</v>
      </c>
      <c r="E85" s="1643">
        <v>1.77</v>
      </c>
      <c r="F85" s="1643">
        <v>1.7</v>
      </c>
      <c r="G85" s="1643">
        <v>1.49</v>
      </c>
      <c r="H85" s="1643">
        <v>1.1000000000000001</v>
      </c>
      <c r="I85" s="1643">
        <v>0.93</v>
      </c>
      <c r="J85" s="1643">
        <v>0.8</v>
      </c>
      <c r="K85" s="1643">
        <v>0.67</v>
      </c>
      <c r="L85" s="1643">
        <v>0.57999999999999996</v>
      </c>
      <c r="M85" s="1643">
        <v>0.49</v>
      </c>
      <c r="N85" s="1643">
        <v>0.38</v>
      </c>
      <c r="O85" s="1643"/>
    </row>
    <row r="86" spans="1:15" s="142" customFormat="1" outlineLevel="1">
      <c r="A86" s="1643" t="s">
        <v>256</v>
      </c>
      <c r="B86" s="143">
        <v>4</v>
      </c>
      <c r="C86" s="1643">
        <v>2</v>
      </c>
      <c r="D86" s="1643">
        <v>2.74</v>
      </c>
      <c r="E86" s="1643">
        <v>2.74</v>
      </c>
      <c r="F86" s="1643">
        <v>2.63</v>
      </c>
      <c r="G86" s="1643">
        <v>2.31</v>
      </c>
      <c r="H86" s="1643">
        <v>1.7</v>
      </c>
      <c r="I86" s="1643">
        <v>1.44</v>
      </c>
      <c r="J86" s="1643">
        <v>1.23</v>
      </c>
      <c r="K86" s="1643">
        <v>1.04</v>
      </c>
      <c r="L86" s="1643">
        <v>0.89</v>
      </c>
      <c r="M86" s="1643">
        <v>0.75</v>
      </c>
      <c r="N86" s="1643">
        <v>0.57999999999999996</v>
      </c>
      <c r="O86" s="1643"/>
    </row>
    <row r="87" spans="1:15" outlineLevel="1"/>
    <row r="88" spans="1:15" ht="29.25" customHeight="1" outlineLevel="1">
      <c r="A88" s="105" t="s">
        <v>4093</v>
      </c>
      <c r="B88" s="106" t="s">
        <v>4094</v>
      </c>
      <c r="C88" s="117" t="s">
        <v>4079</v>
      </c>
      <c r="D88" s="110"/>
      <c r="E88" s="107" t="s">
        <v>4082</v>
      </c>
      <c r="F88" s="107"/>
      <c r="G88" s="107"/>
      <c r="H88" s="107"/>
      <c r="I88" s="107"/>
      <c r="J88" s="107"/>
      <c r="K88" s="108"/>
      <c r="L88" s="108"/>
      <c r="M88" s="108"/>
      <c r="N88" s="108"/>
      <c r="O88" s="109"/>
    </row>
    <row r="89" spans="1:15" s="78" customFormat="1" outlineLevel="1">
      <c r="A89" s="110"/>
      <c r="B89" s="110"/>
      <c r="C89" s="1636" t="s">
        <v>4069</v>
      </c>
      <c r="D89" s="110"/>
      <c r="E89" s="110">
        <v>5</v>
      </c>
      <c r="F89" s="110">
        <v>50</v>
      </c>
      <c r="G89" s="110">
        <v>100</v>
      </c>
      <c r="H89" s="110">
        <v>500</v>
      </c>
      <c r="I89" s="110"/>
      <c r="J89" s="110"/>
      <c r="K89" s="110"/>
      <c r="L89" s="111"/>
      <c r="M89" s="111"/>
      <c r="N89" s="111"/>
      <c r="O89" s="111"/>
    </row>
    <row r="90" spans="1:15" s="78" customFormat="1" outlineLevel="1">
      <c r="A90" s="1636" t="s">
        <v>4095</v>
      </c>
      <c r="B90" s="1637" t="s">
        <v>4081</v>
      </c>
      <c r="C90" s="1636">
        <v>3</v>
      </c>
      <c r="D90" s="1636"/>
      <c r="E90" s="1636">
        <v>1.08</v>
      </c>
      <c r="F90" s="1636">
        <v>0.6</v>
      </c>
      <c r="G90" s="1636">
        <v>0.48</v>
      </c>
      <c r="H90" s="1636">
        <v>0.3</v>
      </c>
      <c r="I90" s="1636"/>
      <c r="J90" s="1636"/>
      <c r="K90" s="1636"/>
      <c r="L90" s="1636"/>
      <c r="M90" s="1636"/>
      <c r="N90" s="1636"/>
      <c r="O90" s="1636"/>
    </row>
    <row r="91" spans="1:15" s="78" customFormat="1" outlineLevel="1">
      <c r="A91" s="1636" t="s">
        <v>4095</v>
      </c>
      <c r="B91" s="1637">
        <v>1</v>
      </c>
      <c r="C91" s="1636">
        <v>3</v>
      </c>
      <c r="D91" s="1636"/>
      <c r="E91" s="1636">
        <v>1.08</v>
      </c>
      <c r="F91" s="1636">
        <v>0.6</v>
      </c>
      <c r="G91" s="1636">
        <v>0.48</v>
      </c>
      <c r="H91" s="1636">
        <v>0.3</v>
      </c>
      <c r="I91" s="1636"/>
      <c r="J91" s="1636"/>
      <c r="K91" s="1636"/>
      <c r="L91" s="1636"/>
      <c r="M91" s="1636"/>
      <c r="N91" s="1636"/>
      <c r="O91" s="1636"/>
    </row>
    <row r="92" spans="1:15" s="78" customFormat="1" outlineLevel="1">
      <c r="A92" s="1636" t="s">
        <v>4095</v>
      </c>
      <c r="B92" s="1637">
        <v>2</v>
      </c>
      <c r="C92" s="1636">
        <v>3</v>
      </c>
      <c r="D92" s="1636"/>
      <c r="E92" s="1636">
        <v>1.08</v>
      </c>
      <c r="F92" s="1636">
        <v>0.6</v>
      </c>
      <c r="G92" s="1636">
        <v>0.48</v>
      </c>
      <c r="H92" s="1636">
        <v>0.3</v>
      </c>
      <c r="I92" s="1636"/>
      <c r="J92" s="1636"/>
      <c r="K92" s="1636"/>
      <c r="L92" s="1636"/>
      <c r="M92" s="1636"/>
      <c r="N92" s="1636"/>
      <c r="O92" s="1636"/>
    </row>
    <row r="93" spans="1:15" s="78" customFormat="1" outlineLevel="1">
      <c r="A93" s="1636" t="s">
        <v>4095</v>
      </c>
      <c r="B93" s="118">
        <v>2</v>
      </c>
      <c r="C93" s="1636">
        <v>2</v>
      </c>
      <c r="D93" s="1636"/>
      <c r="E93" s="1636">
        <v>1.08</v>
      </c>
      <c r="F93" s="1636">
        <v>0.6</v>
      </c>
      <c r="G93" s="1636">
        <v>0.48</v>
      </c>
      <c r="H93" s="1636">
        <v>0.3</v>
      </c>
      <c r="I93" s="1636"/>
      <c r="J93" s="1636"/>
      <c r="K93" s="1636"/>
      <c r="L93" s="1636"/>
      <c r="M93" s="1636"/>
      <c r="N93" s="1636"/>
      <c r="O93" s="1636"/>
    </row>
    <row r="94" spans="1:15" s="78" customFormat="1" outlineLevel="1">
      <c r="A94" s="1636" t="s">
        <v>4095</v>
      </c>
      <c r="B94" s="118">
        <v>3</v>
      </c>
      <c r="C94" s="110">
        <v>2</v>
      </c>
      <c r="D94" s="1636"/>
      <c r="E94" s="1636">
        <v>1.08</v>
      </c>
      <c r="F94" s="1636">
        <v>0.6</v>
      </c>
      <c r="G94" s="1636">
        <v>0.48</v>
      </c>
      <c r="H94" s="1636">
        <v>0.3</v>
      </c>
      <c r="I94" s="1636"/>
      <c r="J94" s="1636"/>
      <c r="K94" s="1636"/>
      <c r="L94" s="1636"/>
      <c r="M94" s="1636"/>
      <c r="N94" s="1636"/>
      <c r="O94" s="1636"/>
    </row>
    <row r="95" spans="1:15" s="78" customFormat="1" outlineLevel="1">
      <c r="A95" s="1636" t="s">
        <v>4095</v>
      </c>
      <c r="B95" s="118">
        <v>4</v>
      </c>
      <c r="C95" s="1636">
        <v>2</v>
      </c>
      <c r="D95" s="1636"/>
      <c r="E95" s="1636">
        <v>1.08</v>
      </c>
      <c r="F95" s="1636">
        <v>0.6</v>
      </c>
      <c r="G95" s="1636">
        <v>0.48</v>
      </c>
      <c r="H95" s="1636">
        <v>0.3</v>
      </c>
      <c r="I95" s="1636"/>
      <c r="J95" s="1636"/>
      <c r="K95" s="1636"/>
      <c r="L95" s="1636"/>
      <c r="M95" s="1636"/>
      <c r="N95" s="1636"/>
      <c r="O95" s="1636"/>
    </row>
    <row r="96" spans="1:15" ht="29.25" customHeight="1" outlineLevel="1">
      <c r="A96" s="105" t="s">
        <v>4066</v>
      </c>
      <c r="B96" s="106" t="s">
        <v>4078</v>
      </c>
      <c r="C96" s="117" t="s">
        <v>4079</v>
      </c>
      <c r="D96" s="110"/>
      <c r="E96" s="107" t="s">
        <v>4096</v>
      </c>
      <c r="F96" s="107"/>
      <c r="G96" s="107"/>
      <c r="H96" s="107"/>
      <c r="I96" s="107"/>
      <c r="J96" s="107"/>
      <c r="K96" s="108"/>
      <c r="L96" s="108"/>
      <c r="M96" s="108"/>
      <c r="N96" s="108"/>
      <c r="O96" s="109"/>
    </row>
    <row r="97" spans="1:15" s="78" customFormat="1" outlineLevel="1">
      <c r="A97" s="110"/>
      <c r="B97" s="110"/>
      <c r="C97" s="1636" t="s">
        <v>4069</v>
      </c>
      <c r="D97" s="110"/>
      <c r="E97" s="110">
        <v>7</v>
      </c>
      <c r="F97" s="110">
        <v>10</v>
      </c>
      <c r="G97" s="110">
        <v>20</v>
      </c>
      <c r="H97" s="110">
        <v>50</v>
      </c>
      <c r="I97" s="110">
        <v>100</v>
      </c>
      <c r="J97" s="110">
        <v>200</v>
      </c>
      <c r="K97" s="110">
        <v>500</v>
      </c>
      <c r="L97" s="111">
        <v>1000</v>
      </c>
      <c r="M97" s="111">
        <v>2000</v>
      </c>
      <c r="N97" s="111">
        <v>5000</v>
      </c>
      <c r="O97" s="111">
        <v>8000</v>
      </c>
    </row>
    <row r="98" spans="1:15" s="78" customFormat="1" outlineLevel="1">
      <c r="A98" s="1636" t="s">
        <v>258</v>
      </c>
      <c r="B98" s="1637" t="s">
        <v>4081</v>
      </c>
      <c r="C98" s="1636">
        <v>3</v>
      </c>
      <c r="D98" s="1636"/>
      <c r="E98" s="1636"/>
      <c r="F98" s="1636">
        <v>1.95</v>
      </c>
      <c r="G98" s="1636">
        <v>1.69</v>
      </c>
      <c r="H98" s="1636">
        <v>1.42</v>
      </c>
      <c r="I98" s="1636">
        <v>1.29</v>
      </c>
      <c r="J98" s="1636">
        <v>1.18</v>
      </c>
      <c r="K98" s="1636">
        <v>0.99</v>
      </c>
      <c r="L98" s="1636">
        <v>0.84</v>
      </c>
      <c r="M98" s="1636">
        <v>0.72</v>
      </c>
      <c r="N98" s="1636">
        <v>0.55000000000000004</v>
      </c>
      <c r="O98" s="1636">
        <v>0.42</v>
      </c>
    </row>
    <row r="99" spans="1:15" s="78" customFormat="1" outlineLevel="1">
      <c r="A99" s="1636" t="s">
        <v>258</v>
      </c>
      <c r="B99" s="1637" t="s">
        <v>4081</v>
      </c>
      <c r="C99" s="1636">
        <v>2</v>
      </c>
      <c r="D99" s="1636"/>
      <c r="E99" s="1636"/>
      <c r="F99" s="1636">
        <v>3.02</v>
      </c>
      <c r="G99" s="1636">
        <v>2.61</v>
      </c>
      <c r="H99" s="1636">
        <v>2.2000000000000002</v>
      </c>
      <c r="I99" s="1636">
        <v>1.99</v>
      </c>
      <c r="J99" s="1636">
        <v>1.82</v>
      </c>
      <c r="K99" s="1636">
        <v>1.53</v>
      </c>
      <c r="L99" s="1636">
        <v>1.3</v>
      </c>
      <c r="M99" s="1636">
        <v>1.1100000000000001</v>
      </c>
      <c r="N99" s="1636">
        <v>0.85</v>
      </c>
      <c r="O99" s="1636">
        <v>0.65</v>
      </c>
    </row>
    <row r="100" spans="1:15" s="78" customFormat="1" outlineLevel="1">
      <c r="A100" s="1636" t="s">
        <v>258</v>
      </c>
      <c r="B100" s="1637">
        <v>1</v>
      </c>
      <c r="C100" s="1636">
        <v>3</v>
      </c>
      <c r="D100" s="1636"/>
      <c r="E100" s="1636"/>
      <c r="F100" s="1636">
        <v>1.77</v>
      </c>
      <c r="G100" s="1636">
        <v>1.54</v>
      </c>
      <c r="H100" s="1636">
        <v>1.31</v>
      </c>
      <c r="I100" s="1636">
        <v>1.17</v>
      </c>
      <c r="J100" s="1636">
        <v>1.07</v>
      </c>
      <c r="K100" s="1636">
        <v>0.85</v>
      </c>
      <c r="L100" s="1636">
        <v>0.72</v>
      </c>
      <c r="M100" s="1636">
        <v>0.61</v>
      </c>
      <c r="N100" s="1636">
        <v>0.47</v>
      </c>
      <c r="O100" s="1636">
        <v>0.31</v>
      </c>
    </row>
    <row r="101" spans="1:15" s="78" customFormat="1" outlineLevel="1">
      <c r="A101" s="1636" t="s">
        <v>258</v>
      </c>
      <c r="B101" s="1637">
        <v>1</v>
      </c>
      <c r="C101" s="1636">
        <v>2</v>
      </c>
      <c r="D101" s="1636"/>
      <c r="E101" s="1636"/>
      <c r="F101" s="1636">
        <v>2.74</v>
      </c>
      <c r="G101" s="1636">
        <v>2.38</v>
      </c>
      <c r="H101" s="1636">
        <v>2.0299999999999998</v>
      </c>
      <c r="I101" s="1636">
        <v>1.81</v>
      </c>
      <c r="J101" s="1636">
        <v>1.65</v>
      </c>
      <c r="K101" s="1636">
        <v>1.31</v>
      </c>
      <c r="L101" s="1636">
        <v>1.1100000000000001</v>
      </c>
      <c r="M101" s="1636">
        <v>0.94</v>
      </c>
      <c r="N101" s="1636">
        <v>0.72</v>
      </c>
      <c r="O101" s="1636">
        <v>0.56000000000000005</v>
      </c>
    </row>
    <row r="102" spans="1:15" s="78" customFormat="1" outlineLevel="1">
      <c r="A102" s="1636" t="s">
        <v>258</v>
      </c>
      <c r="B102" s="1637">
        <v>2</v>
      </c>
      <c r="C102" s="1636">
        <v>3</v>
      </c>
      <c r="D102" s="1636"/>
      <c r="E102" s="1636">
        <v>1.68</v>
      </c>
      <c r="F102" s="1636">
        <v>1.61</v>
      </c>
      <c r="G102" s="1636">
        <v>1.41</v>
      </c>
      <c r="H102" s="1636">
        <v>1.18</v>
      </c>
      <c r="I102" s="1636">
        <v>1.06</v>
      </c>
      <c r="J102" s="1636">
        <v>0.98</v>
      </c>
      <c r="K102" s="1636">
        <v>0.78</v>
      </c>
      <c r="L102" s="1636">
        <v>0.67</v>
      </c>
      <c r="M102" s="1636">
        <v>0.56999999999999995</v>
      </c>
      <c r="N102" s="1636">
        <v>0.44</v>
      </c>
      <c r="O102" s="1636">
        <v>0.28999999999999998</v>
      </c>
    </row>
    <row r="103" spans="1:15" s="78" customFormat="1" outlineLevel="1">
      <c r="A103" s="1636" t="s">
        <v>258</v>
      </c>
      <c r="B103" s="118">
        <v>2</v>
      </c>
      <c r="C103" s="1636">
        <v>2</v>
      </c>
      <c r="D103" s="1636"/>
      <c r="E103" s="1636">
        <v>2.58</v>
      </c>
      <c r="F103" s="1636">
        <v>2.48</v>
      </c>
      <c r="G103" s="1636">
        <v>2.15</v>
      </c>
      <c r="H103" s="1636">
        <v>1.81</v>
      </c>
      <c r="I103" s="1636">
        <v>1.64</v>
      </c>
      <c r="J103" s="1636">
        <v>1.51</v>
      </c>
      <c r="K103" s="1636">
        <v>1.21</v>
      </c>
      <c r="L103" s="1636">
        <v>1.02</v>
      </c>
      <c r="M103" s="1636">
        <v>0.87</v>
      </c>
      <c r="N103" s="1636">
        <v>0.67</v>
      </c>
      <c r="O103" s="1636">
        <v>0.51</v>
      </c>
    </row>
    <row r="104" spans="1:15" s="78" customFormat="1" outlineLevel="1">
      <c r="A104" s="1636" t="s">
        <v>258</v>
      </c>
      <c r="B104" s="118">
        <v>3</v>
      </c>
      <c r="C104" s="1636">
        <v>3</v>
      </c>
      <c r="D104" s="1636"/>
      <c r="E104" s="1636">
        <v>1.5</v>
      </c>
      <c r="F104" s="1636">
        <v>1.44</v>
      </c>
      <c r="G104" s="1636">
        <v>1.26</v>
      </c>
      <c r="H104" s="1636">
        <v>1.05</v>
      </c>
      <c r="I104" s="1636">
        <v>0.96</v>
      </c>
      <c r="J104" s="1636">
        <v>0.84</v>
      </c>
      <c r="K104" s="1636">
        <v>0.76</v>
      </c>
      <c r="L104" s="1636">
        <v>0.64</v>
      </c>
      <c r="M104" s="1636">
        <v>0.55000000000000004</v>
      </c>
      <c r="N104" s="1636">
        <v>0.42</v>
      </c>
      <c r="O104" s="1636">
        <v>0.27</v>
      </c>
    </row>
    <row r="105" spans="1:15" s="78" customFormat="1" outlineLevel="1">
      <c r="A105" s="1636" t="s">
        <v>258</v>
      </c>
      <c r="B105" s="118">
        <v>3</v>
      </c>
      <c r="C105" s="110">
        <v>2</v>
      </c>
      <c r="D105" s="110"/>
      <c r="E105" s="1636">
        <v>2.3199999999999998</v>
      </c>
      <c r="F105" s="1636">
        <v>2.23</v>
      </c>
      <c r="G105" s="1636">
        <v>1.94</v>
      </c>
      <c r="H105" s="1636">
        <v>1.62</v>
      </c>
      <c r="I105" s="1636">
        <v>1.48</v>
      </c>
      <c r="J105" s="1636">
        <v>1.29</v>
      </c>
      <c r="K105" s="1636">
        <v>1.17</v>
      </c>
      <c r="L105" s="1636">
        <v>0.99</v>
      </c>
      <c r="M105" s="1636">
        <v>0.84</v>
      </c>
      <c r="N105" s="1636">
        <v>0.64</v>
      </c>
      <c r="O105" s="1636">
        <v>0.41</v>
      </c>
    </row>
    <row r="106" spans="1:15" s="78" customFormat="1" outlineLevel="1">
      <c r="A106" s="1636" t="s">
        <v>258</v>
      </c>
      <c r="B106" s="118">
        <v>4</v>
      </c>
      <c r="C106" s="1636">
        <v>3</v>
      </c>
      <c r="D106" s="1636"/>
      <c r="E106" s="1636">
        <v>1.34</v>
      </c>
      <c r="F106" s="1636">
        <v>1.28</v>
      </c>
      <c r="G106" s="1636">
        <v>1.1100000000000001</v>
      </c>
      <c r="H106" s="1636">
        <v>0.88</v>
      </c>
      <c r="I106" s="1636">
        <v>0.8</v>
      </c>
      <c r="J106" s="1636">
        <v>0.6</v>
      </c>
      <c r="K106" s="1636">
        <v>0.57999999999999996</v>
      </c>
      <c r="L106" s="1636">
        <v>0.5</v>
      </c>
      <c r="M106" s="1636">
        <v>0.42</v>
      </c>
      <c r="N106" s="1636">
        <v>0.32</v>
      </c>
      <c r="O106" s="1636"/>
    </row>
    <row r="107" spans="1:15" s="78" customFormat="1" outlineLevel="1">
      <c r="A107" s="1636" t="s">
        <v>258</v>
      </c>
      <c r="B107" s="118">
        <v>4</v>
      </c>
      <c r="C107" s="1636">
        <v>2</v>
      </c>
      <c r="D107" s="1636"/>
      <c r="E107" s="1636">
        <v>2.0699999999999998</v>
      </c>
      <c r="F107" s="1636">
        <v>1.98</v>
      </c>
      <c r="G107" s="1636">
        <v>1.72</v>
      </c>
      <c r="H107" s="1636">
        <v>1.35</v>
      </c>
      <c r="I107" s="1636">
        <v>1.23</v>
      </c>
      <c r="J107" s="1636">
        <v>0.92</v>
      </c>
      <c r="K107" s="1636">
        <v>0.89</v>
      </c>
      <c r="L107" s="1636">
        <v>0.76</v>
      </c>
      <c r="M107" s="1636">
        <v>0.64</v>
      </c>
      <c r="N107" s="1636">
        <v>0.49</v>
      </c>
      <c r="O107" s="1636"/>
    </row>
    <row r="108" spans="1:15" ht="29.25" customHeight="1" outlineLevel="1">
      <c r="A108" s="105" t="s">
        <v>4066</v>
      </c>
      <c r="B108" s="126" t="s">
        <v>4097</v>
      </c>
      <c r="C108" s="117" t="s">
        <v>4079</v>
      </c>
      <c r="D108" s="110"/>
      <c r="E108" s="107" t="s">
        <v>4068</v>
      </c>
      <c r="F108" s="107"/>
      <c r="G108" s="107"/>
      <c r="H108" s="107"/>
      <c r="I108" s="107"/>
      <c r="J108" s="107"/>
      <c r="K108" s="108"/>
      <c r="L108" s="108"/>
      <c r="M108" s="108"/>
      <c r="N108" s="108"/>
      <c r="O108" s="109"/>
    </row>
    <row r="109" spans="1:15" s="78" customFormat="1" outlineLevel="1">
      <c r="A109" s="110"/>
      <c r="B109" s="110"/>
      <c r="C109" s="1636" t="s">
        <v>4069</v>
      </c>
      <c r="D109" s="110"/>
      <c r="E109" s="110">
        <v>5</v>
      </c>
      <c r="F109" s="110">
        <v>10</v>
      </c>
      <c r="G109" s="110">
        <v>15</v>
      </c>
      <c r="H109" s="110">
        <v>25</v>
      </c>
      <c r="I109" s="110">
        <v>50</v>
      </c>
      <c r="J109" s="110">
        <v>100</v>
      </c>
      <c r="K109" s="110">
        <v>200</v>
      </c>
      <c r="L109" s="111">
        <v>500</v>
      </c>
      <c r="M109" s="111"/>
      <c r="N109" s="111"/>
      <c r="O109" s="111"/>
    </row>
    <row r="110" spans="1:15" s="78" customFormat="1" outlineLevel="1">
      <c r="A110" s="1636" t="s">
        <v>4098</v>
      </c>
      <c r="B110" s="1637" t="s">
        <v>4099</v>
      </c>
      <c r="C110" s="1636">
        <v>2</v>
      </c>
      <c r="D110" s="1636"/>
      <c r="E110" s="1636">
        <v>1.83</v>
      </c>
      <c r="F110" s="1636">
        <v>1.4</v>
      </c>
      <c r="G110" s="1636">
        <v>1.3</v>
      </c>
      <c r="H110" s="1636">
        <v>1.1000000000000001</v>
      </c>
      <c r="I110" s="1636">
        <v>0.95</v>
      </c>
      <c r="J110" s="1636">
        <v>0.8</v>
      </c>
      <c r="K110" s="1636">
        <v>0.7</v>
      </c>
      <c r="L110" s="1636">
        <v>0.6</v>
      </c>
      <c r="M110" s="1636"/>
      <c r="N110" s="1636"/>
      <c r="O110" s="1636"/>
    </row>
    <row r="111" spans="1:15" s="78" customFormat="1" outlineLevel="1">
      <c r="A111" s="1636" t="s">
        <v>4098</v>
      </c>
      <c r="B111" s="1637" t="s">
        <v>4100</v>
      </c>
      <c r="C111" s="1636">
        <v>2</v>
      </c>
      <c r="D111" s="1636"/>
      <c r="E111" s="1636">
        <v>1.9</v>
      </c>
      <c r="F111" s="1636">
        <v>1.5</v>
      </c>
      <c r="G111" s="1636">
        <v>1.4</v>
      </c>
      <c r="H111" s="1636">
        <v>1.3</v>
      </c>
      <c r="I111" s="1636">
        <v>1.1000000000000001</v>
      </c>
      <c r="J111" s="1636">
        <v>1</v>
      </c>
      <c r="K111" s="1636">
        <v>0.9</v>
      </c>
      <c r="L111" s="1636">
        <v>0.7</v>
      </c>
      <c r="M111" s="1636"/>
      <c r="N111" s="1636"/>
      <c r="O111" s="1636"/>
    </row>
    <row r="112" spans="1:15" s="78" customFormat="1" outlineLevel="1">
      <c r="A112" s="1636" t="s">
        <v>4098</v>
      </c>
      <c r="B112" s="1637" t="s">
        <v>4101</v>
      </c>
      <c r="C112" s="1636">
        <v>2</v>
      </c>
      <c r="D112" s="1636"/>
      <c r="E112" s="1636">
        <v>2.1</v>
      </c>
      <c r="F112" s="1636">
        <v>1.6</v>
      </c>
      <c r="G112" s="1636">
        <v>1.5</v>
      </c>
      <c r="H112" s="1636">
        <v>1.35</v>
      </c>
      <c r="I112" s="1636">
        <v>1.1499999999999999</v>
      </c>
      <c r="J112" s="1636">
        <v>1.05</v>
      </c>
      <c r="K112" s="1636">
        <v>0.95</v>
      </c>
      <c r="L112" s="1636">
        <v>0.8</v>
      </c>
      <c r="M112" s="1636"/>
      <c r="N112" s="1636"/>
      <c r="O112" s="1636"/>
    </row>
    <row r="113" spans="1:17" s="78" customFormat="1" outlineLevel="1">
      <c r="A113" s="1636"/>
      <c r="B113" s="126" t="s">
        <v>4102</v>
      </c>
      <c r="C113" s="1636"/>
      <c r="D113" s="1636"/>
      <c r="E113" s="1636"/>
      <c r="F113" s="1636"/>
      <c r="G113" s="1636"/>
      <c r="H113" s="1636"/>
      <c r="I113" s="1636"/>
      <c r="J113" s="1636"/>
      <c r="K113" s="1636"/>
      <c r="L113" s="1636"/>
      <c r="M113" s="1636"/>
      <c r="N113" s="1636"/>
      <c r="O113" s="1636"/>
      <c r="P113" s="3"/>
      <c r="Q113" s="3"/>
    </row>
    <row r="114" spans="1:17" s="78" customFormat="1" outlineLevel="1">
      <c r="A114" s="1636" t="s">
        <v>4103</v>
      </c>
      <c r="B114" s="1637" t="s">
        <v>4104</v>
      </c>
      <c r="C114" s="1636">
        <v>2</v>
      </c>
      <c r="D114" s="1636"/>
      <c r="E114" s="1636">
        <v>1</v>
      </c>
      <c r="F114" s="1636">
        <v>0.75</v>
      </c>
      <c r="G114" s="1636">
        <v>0.6</v>
      </c>
      <c r="H114" s="1636">
        <v>0.5</v>
      </c>
      <c r="I114" s="1636">
        <v>0.45</v>
      </c>
      <c r="J114" s="1636">
        <v>0.35</v>
      </c>
      <c r="K114" s="1636">
        <v>0.25</v>
      </c>
      <c r="L114" s="1636">
        <v>0.15</v>
      </c>
      <c r="M114" s="1636"/>
      <c r="N114" s="1636"/>
      <c r="O114" s="1636"/>
      <c r="P114" s="3"/>
      <c r="Q114" s="3"/>
    </row>
    <row r="115" spans="1:17" s="78" customFormat="1" outlineLevel="1">
      <c r="A115" s="1636" t="s">
        <v>4103</v>
      </c>
      <c r="B115" s="1637" t="s">
        <v>4105</v>
      </c>
      <c r="C115" s="1636">
        <v>2</v>
      </c>
      <c r="D115" s="110"/>
      <c r="E115" s="1636">
        <v>0.9</v>
      </c>
      <c r="F115" s="1636">
        <v>0.7</v>
      </c>
      <c r="G115" s="1636">
        <v>0.55000000000000004</v>
      </c>
      <c r="H115" s="1636">
        <v>0.45</v>
      </c>
      <c r="I115" s="1636">
        <v>0.4</v>
      </c>
      <c r="J115" s="1636">
        <v>0.3</v>
      </c>
      <c r="K115" s="1636">
        <v>0.2</v>
      </c>
      <c r="L115" s="1636">
        <v>0.1</v>
      </c>
      <c r="M115" s="1636"/>
      <c r="N115" s="1636"/>
      <c r="O115" s="1636"/>
      <c r="P115" s="3"/>
      <c r="Q115" s="3"/>
    </row>
    <row r="116" spans="1:17" s="78" customFormat="1" outlineLevel="1">
      <c r="A116" s="1636" t="s">
        <v>4103</v>
      </c>
      <c r="B116" s="1637" t="s">
        <v>4106</v>
      </c>
      <c r="C116" s="1636">
        <v>2</v>
      </c>
      <c r="D116" s="1636"/>
      <c r="E116" s="1636">
        <v>1.35</v>
      </c>
      <c r="F116" s="1636">
        <v>0.8</v>
      </c>
      <c r="G116" s="1636">
        <v>0.6</v>
      </c>
      <c r="H116" s="1636">
        <v>0.5</v>
      </c>
      <c r="I116" s="1636">
        <v>0.4</v>
      </c>
      <c r="J116" s="1636">
        <v>0.3</v>
      </c>
      <c r="K116" s="1636">
        <v>0.2</v>
      </c>
      <c r="L116" s="1636">
        <v>0.1</v>
      </c>
      <c r="M116" s="1636"/>
      <c r="N116" s="1636"/>
      <c r="O116" s="1636"/>
      <c r="P116" s="3"/>
      <c r="Q116" s="3"/>
    </row>
    <row r="117" spans="1:17" s="78" customFormat="1" outlineLevel="1">
      <c r="A117" s="1636" t="s">
        <v>4103</v>
      </c>
      <c r="B117" s="1637" t="s">
        <v>4107</v>
      </c>
      <c r="C117" s="1636">
        <v>2</v>
      </c>
      <c r="D117" s="1636"/>
      <c r="E117" s="1636">
        <v>1.7</v>
      </c>
      <c r="F117" s="1636">
        <v>1.4</v>
      </c>
      <c r="G117" s="1636">
        <v>1.3</v>
      </c>
      <c r="H117" s="1636">
        <v>0.8</v>
      </c>
      <c r="I117" s="1636">
        <v>0.6</v>
      </c>
      <c r="J117" s="1636">
        <v>0.45</v>
      </c>
      <c r="K117" s="1636">
        <v>0.3</v>
      </c>
      <c r="L117" s="1636">
        <v>0.15</v>
      </c>
      <c r="M117" s="1636"/>
      <c r="N117" s="1636"/>
      <c r="O117" s="1636"/>
      <c r="P117" s="3"/>
      <c r="Q117" s="3"/>
    </row>
    <row r="118" spans="1:17" s="78" customFormat="1" outlineLevel="1">
      <c r="A118" s="1636" t="s">
        <v>4103</v>
      </c>
      <c r="B118" s="1637" t="s">
        <v>4108</v>
      </c>
      <c r="C118" s="1636">
        <v>2</v>
      </c>
      <c r="D118" s="110"/>
      <c r="E118" s="1636">
        <v>2.8</v>
      </c>
      <c r="F118" s="1636">
        <v>1.75</v>
      </c>
      <c r="G118" s="1636">
        <v>1.4</v>
      </c>
      <c r="H118" s="1636">
        <v>0.9</v>
      </c>
      <c r="I118" s="1636">
        <v>0.65</v>
      </c>
      <c r="J118" s="1636">
        <v>0.5</v>
      </c>
      <c r="K118" s="1636">
        <v>0.35</v>
      </c>
      <c r="L118" s="1636">
        <v>0.2</v>
      </c>
      <c r="M118" s="1636"/>
      <c r="N118" s="1636"/>
      <c r="O118" s="1636"/>
      <c r="P118" s="3"/>
      <c r="Q118" s="3"/>
    </row>
    <row r="119" spans="1:17" s="78" customFormat="1" outlineLevel="1">
      <c r="A119" s="1636" t="s">
        <v>4103</v>
      </c>
      <c r="B119" s="1637" t="s">
        <v>4109</v>
      </c>
      <c r="C119" s="1636">
        <v>2</v>
      </c>
      <c r="D119" s="1636"/>
      <c r="E119" s="1636">
        <v>1</v>
      </c>
      <c r="F119" s="1636">
        <v>0.75</v>
      </c>
      <c r="G119" s="1636">
        <v>0.6</v>
      </c>
      <c r="H119" s="1636">
        <v>0.5</v>
      </c>
      <c r="I119" s="1636">
        <v>0.4</v>
      </c>
      <c r="J119" s="1636">
        <v>0.3</v>
      </c>
      <c r="K119" s="1636">
        <v>0.2</v>
      </c>
      <c r="L119" s="1636">
        <v>0.1</v>
      </c>
      <c r="M119" s="1636"/>
      <c r="N119" s="1636"/>
      <c r="O119" s="1636"/>
      <c r="P119" s="3"/>
      <c r="Q119" s="3"/>
    </row>
    <row r="120" spans="1:17" s="78" customFormat="1" outlineLevel="1">
      <c r="A120" s="1636" t="s">
        <v>4103</v>
      </c>
      <c r="B120" s="1637" t="s">
        <v>4110</v>
      </c>
      <c r="C120" s="1636">
        <v>2</v>
      </c>
      <c r="D120" s="110"/>
      <c r="E120" s="1636">
        <v>2.15</v>
      </c>
      <c r="F120" s="1636">
        <v>1.05</v>
      </c>
      <c r="G120" s="1636">
        <v>0.85</v>
      </c>
      <c r="H120" s="1636">
        <v>0.65</v>
      </c>
      <c r="I120" s="1636">
        <v>0.55000000000000004</v>
      </c>
      <c r="J120" s="1636">
        <v>0.35</v>
      </c>
      <c r="K120" s="1636">
        <v>0.25</v>
      </c>
      <c r="L120" s="1636">
        <v>0.2</v>
      </c>
      <c r="M120" s="1636"/>
      <c r="N120" s="1636"/>
      <c r="O120" s="1636"/>
      <c r="P120" s="3"/>
      <c r="Q120" s="3"/>
    </row>
    <row r="121" spans="1:17" s="78" customFormat="1" outlineLevel="1">
      <c r="A121" s="1636" t="s">
        <v>4103</v>
      </c>
      <c r="B121" s="1637" t="s">
        <v>4111</v>
      </c>
      <c r="C121" s="1636">
        <v>2</v>
      </c>
      <c r="D121" s="1636"/>
      <c r="E121" s="1636">
        <v>1.8</v>
      </c>
      <c r="F121" s="1636">
        <v>1.3</v>
      </c>
      <c r="G121" s="1636">
        <v>1.1000000000000001</v>
      </c>
      <c r="H121" s="1636">
        <v>0.9</v>
      </c>
      <c r="I121" s="1636">
        <v>0.7</v>
      </c>
      <c r="J121" s="1636">
        <v>0.5</v>
      </c>
      <c r="K121" s="1636">
        <v>0.35</v>
      </c>
      <c r="L121" s="1636">
        <v>0.2</v>
      </c>
      <c r="M121" s="1636"/>
      <c r="N121" s="1636"/>
      <c r="O121" s="1636"/>
      <c r="P121" s="3"/>
      <c r="Q121" s="3"/>
    </row>
    <row r="122" spans="1:17" s="78" customFormat="1" outlineLevel="1">
      <c r="A122" s="1636" t="s">
        <v>4103</v>
      </c>
      <c r="B122" s="1637" t="s">
        <v>4112</v>
      </c>
      <c r="C122" s="1636">
        <v>2</v>
      </c>
      <c r="D122" s="1636"/>
      <c r="E122" s="1636">
        <v>1.25</v>
      </c>
      <c r="F122" s="1636">
        <v>0.7</v>
      </c>
      <c r="G122" s="1636">
        <v>0.5</v>
      </c>
      <c r="H122" s="1636">
        <v>0.35</v>
      </c>
      <c r="I122" s="1636">
        <v>0.3</v>
      </c>
      <c r="J122" s="1636">
        <v>0.25</v>
      </c>
      <c r="K122" s="1636">
        <v>0.2</v>
      </c>
      <c r="L122" s="1636">
        <v>0.1</v>
      </c>
      <c r="M122" s="1636"/>
      <c r="N122" s="1636"/>
      <c r="O122" s="1636"/>
      <c r="P122" s="3"/>
      <c r="Q122" s="3"/>
    </row>
    <row r="123" spans="1:17" s="78" customFormat="1" outlineLevel="1">
      <c r="A123" s="1636"/>
      <c r="B123" s="1637"/>
      <c r="C123" s="1636"/>
      <c r="D123" s="110"/>
      <c r="E123" s="1636"/>
      <c r="F123" s="1636"/>
      <c r="G123" s="1636"/>
      <c r="H123" s="1636"/>
      <c r="I123" s="1636"/>
      <c r="J123" s="1636"/>
      <c r="K123" s="1636"/>
      <c r="L123" s="1636"/>
      <c r="M123" s="1636"/>
      <c r="N123" s="1636"/>
      <c r="O123" s="1636"/>
      <c r="P123" s="3"/>
      <c r="Q123" s="3"/>
    </row>
    <row r="124" spans="1:17" s="78" customFormat="1" outlineLevel="1">
      <c r="A124" s="1636"/>
      <c r="B124" s="1637"/>
      <c r="C124" s="1636"/>
      <c r="D124" s="1636"/>
      <c r="E124" s="1636"/>
      <c r="F124" s="1636"/>
      <c r="G124" s="1636"/>
      <c r="H124" s="1636"/>
      <c r="I124" s="1636"/>
      <c r="J124" s="1636"/>
      <c r="K124" s="1636"/>
      <c r="L124" s="1636"/>
      <c r="M124" s="1636"/>
      <c r="N124" s="1636"/>
      <c r="O124" s="1636"/>
      <c r="P124" s="3"/>
      <c r="Q124" s="3"/>
    </row>
    <row r="125" spans="1:17" outlineLevel="1">
      <c r="A125" s="2"/>
    </row>
    <row r="126" spans="1:17" s="1" customFormat="1">
      <c r="A126" s="88" t="s">
        <v>4113</v>
      </c>
      <c r="B126" s="75"/>
      <c r="C126" s="75"/>
      <c r="D126" s="75"/>
      <c r="E126" s="75"/>
      <c r="F126" s="75"/>
      <c r="G126" s="75"/>
      <c r="H126" s="75"/>
      <c r="I126" s="75"/>
      <c r="J126" s="75"/>
      <c r="K126" s="3"/>
      <c r="L126" s="3"/>
      <c r="M126" s="3"/>
      <c r="N126" s="3"/>
      <c r="O126" s="3"/>
      <c r="P126" s="3"/>
      <c r="Q126" s="3"/>
    </row>
    <row r="127" spans="1:17" outlineLevel="1">
      <c r="A127" s="2"/>
    </row>
    <row r="128" spans="1:17" ht="29.25" customHeight="1" outlineLevel="1" thickBot="1">
      <c r="A128" s="90" t="s">
        <v>4066</v>
      </c>
      <c r="B128" s="92"/>
      <c r="C128" s="93"/>
      <c r="D128" s="94"/>
      <c r="E128" s="95" t="s">
        <v>4114</v>
      </c>
      <c r="F128" s="95"/>
      <c r="G128" s="95"/>
      <c r="H128" s="95"/>
      <c r="I128" s="95"/>
      <c r="J128" s="95"/>
      <c r="K128" s="96"/>
      <c r="L128" s="96"/>
      <c r="M128" s="96"/>
      <c r="N128" s="96"/>
      <c r="O128" s="97"/>
      <c r="P128" s="97"/>
      <c r="Q128" s="97"/>
    </row>
    <row r="129" spans="1:17" s="78" customFormat="1" ht="15" outlineLevel="1" thickBot="1">
      <c r="A129" s="91"/>
      <c r="B129" s="94"/>
      <c r="C129" s="69"/>
      <c r="D129" s="98" t="s">
        <v>4069</v>
      </c>
      <c r="E129" s="98"/>
      <c r="F129" s="98">
        <v>10</v>
      </c>
      <c r="G129" s="98">
        <v>20</v>
      </c>
      <c r="H129" s="98">
        <v>50</v>
      </c>
      <c r="I129" s="98">
        <v>100</v>
      </c>
      <c r="J129" s="98">
        <v>200</v>
      </c>
      <c r="K129" s="98">
        <v>500</v>
      </c>
      <c r="L129" s="99">
        <v>1000</v>
      </c>
      <c r="M129" s="99">
        <v>2000</v>
      </c>
      <c r="N129" s="99">
        <v>5000</v>
      </c>
      <c r="O129" s="99">
        <v>10000</v>
      </c>
      <c r="P129" s="115">
        <v>20000</v>
      </c>
      <c r="Q129" s="115">
        <v>30000</v>
      </c>
    </row>
    <row r="130" spans="1:17" s="78" customFormat="1" ht="15" outlineLevel="1" thickBot="1">
      <c r="A130" s="1645" t="s">
        <v>237</v>
      </c>
      <c r="B130" s="68"/>
      <c r="C130" s="69"/>
      <c r="D130" s="100"/>
      <c r="E130" s="100"/>
      <c r="F130" s="100">
        <v>2.524</v>
      </c>
      <c r="G130" s="100">
        <v>2.141</v>
      </c>
      <c r="H130" s="100">
        <v>1.9119999999999999</v>
      </c>
      <c r="I130" s="100">
        <v>1.5369999999999999</v>
      </c>
      <c r="J130" s="100">
        <v>1.4359999999999999</v>
      </c>
      <c r="K130" s="100">
        <v>1.254</v>
      </c>
      <c r="L130" s="100">
        <v>1.026</v>
      </c>
      <c r="M130" s="100">
        <v>0.79300000000000004</v>
      </c>
      <c r="N130" s="100">
        <v>0.58899999999999997</v>
      </c>
      <c r="O130" s="100">
        <v>0.442</v>
      </c>
      <c r="P130" s="112">
        <v>0.33</v>
      </c>
      <c r="Q130" s="112">
        <v>0.26400000000000001</v>
      </c>
    </row>
    <row r="131" spans="1:17" s="78" customFormat="1" ht="15" outlineLevel="1" thickBot="1">
      <c r="A131" s="1645" t="s">
        <v>252</v>
      </c>
      <c r="B131" s="68"/>
      <c r="C131" s="69"/>
      <c r="D131" s="100"/>
      <c r="E131" s="100"/>
      <c r="F131" s="100">
        <v>2.657</v>
      </c>
      <c r="G131" s="100">
        <v>2.254</v>
      </c>
      <c r="H131" s="100">
        <v>2.0129999999999999</v>
      </c>
      <c r="I131" s="100">
        <v>1.617</v>
      </c>
      <c r="J131" s="100">
        <v>1.512</v>
      </c>
      <c r="K131" s="100">
        <v>1.32</v>
      </c>
      <c r="L131" s="100">
        <v>1.08</v>
      </c>
      <c r="M131" s="100">
        <v>0.93100000000000005</v>
      </c>
      <c r="N131" s="100">
        <v>0.62</v>
      </c>
      <c r="O131" s="100">
        <v>0.46500000000000002</v>
      </c>
      <c r="P131" s="112">
        <v>0.34699999999999998</v>
      </c>
      <c r="Q131" s="112">
        <v>0.27800000000000002</v>
      </c>
    </row>
    <row r="132" spans="1:17" s="78" customFormat="1" ht="15" outlineLevel="1" thickBot="1">
      <c r="A132" s="1645" t="s">
        <v>254</v>
      </c>
      <c r="B132" s="68"/>
      <c r="C132" s="69"/>
      <c r="D132" s="100"/>
      <c r="E132" s="100"/>
      <c r="F132" s="100">
        <v>2.2589999999999999</v>
      </c>
      <c r="G132" s="100">
        <v>1.9159999999999999</v>
      </c>
      <c r="H132" s="100">
        <v>1.7110000000000001</v>
      </c>
      <c r="I132" s="100">
        <v>1.375</v>
      </c>
      <c r="J132" s="100">
        <v>1.2849999999999999</v>
      </c>
      <c r="K132" s="100">
        <v>1.1220000000000001</v>
      </c>
      <c r="L132" s="100">
        <v>0.91800000000000004</v>
      </c>
      <c r="M132" s="100">
        <v>0.79100000000000004</v>
      </c>
      <c r="N132" s="100">
        <v>0.52700000000000002</v>
      </c>
      <c r="O132" s="100">
        <v>0.39500000000000002</v>
      </c>
      <c r="P132" s="112">
        <v>0.29499999999999998</v>
      </c>
      <c r="Q132" s="112">
        <v>0.23599999999999999</v>
      </c>
    </row>
    <row r="133" spans="1:17" s="78" customFormat="1" ht="15" outlineLevel="1" thickBot="1">
      <c r="A133" s="1645" t="s">
        <v>256</v>
      </c>
      <c r="B133" s="84"/>
      <c r="C133" s="69"/>
      <c r="D133" s="100"/>
      <c r="E133" s="100"/>
      <c r="F133" s="100">
        <v>2.391</v>
      </c>
      <c r="G133" s="100">
        <v>2.0289999999999999</v>
      </c>
      <c r="H133" s="100">
        <v>1.8109999999999999</v>
      </c>
      <c r="I133" s="100">
        <v>1.4550000000000001</v>
      </c>
      <c r="J133" s="100">
        <v>1.361</v>
      </c>
      <c r="K133" s="100">
        <v>1.1879999999999999</v>
      </c>
      <c r="L133" s="100">
        <v>0.97199999999999998</v>
      </c>
      <c r="M133" s="100">
        <v>0.83799999999999997</v>
      </c>
      <c r="N133" s="100">
        <v>0.55800000000000005</v>
      </c>
      <c r="O133" s="100">
        <v>0.41899999999999998</v>
      </c>
      <c r="P133" s="112">
        <v>0.313</v>
      </c>
      <c r="Q133" s="112">
        <v>0.25</v>
      </c>
    </row>
    <row r="134" spans="1:17" s="78" customFormat="1" ht="15" outlineLevel="1" thickBot="1">
      <c r="A134" s="1645" t="s">
        <v>258</v>
      </c>
      <c r="B134" s="84"/>
      <c r="C134" s="94"/>
      <c r="D134" s="98"/>
      <c r="E134" s="100"/>
      <c r="F134" s="100">
        <v>2.125</v>
      </c>
      <c r="G134" s="100">
        <v>1.8029999999999999</v>
      </c>
      <c r="H134" s="100">
        <v>1.61</v>
      </c>
      <c r="I134" s="100">
        <v>1.294</v>
      </c>
      <c r="J134" s="100">
        <v>1.21</v>
      </c>
      <c r="K134" s="100">
        <v>1.056</v>
      </c>
      <c r="L134" s="100">
        <v>0.86399999999999999</v>
      </c>
      <c r="M134" s="100">
        <v>0.74399999999999999</v>
      </c>
      <c r="N134" s="100">
        <v>0.496</v>
      </c>
      <c r="O134" s="100">
        <v>0.372</v>
      </c>
      <c r="P134" s="112">
        <v>0.27800000000000002</v>
      </c>
      <c r="Q134" s="112">
        <v>0.222</v>
      </c>
    </row>
    <row r="135" spans="1:17" s="78" customFormat="1" ht="15" outlineLevel="1" thickBot="1">
      <c r="A135" s="1645"/>
      <c r="B135" s="84"/>
      <c r="C135" s="69"/>
      <c r="D135" s="100"/>
      <c r="E135" s="100"/>
      <c r="F135" s="100"/>
      <c r="G135" s="100"/>
      <c r="H135" s="100"/>
      <c r="I135" s="100"/>
      <c r="J135" s="100"/>
      <c r="K135" s="100"/>
      <c r="L135" s="100"/>
      <c r="M135" s="100"/>
      <c r="N135" s="100"/>
      <c r="O135" s="100"/>
      <c r="P135" s="112"/>
      <c r="Q135" s="112"/>
    </row>
    <row r="136" spans="1:17" s="78" customFormat="1" outlineLevel="1">
      <c r="A136" s="1646" t="s">
        <v>4115</v>
      </c>
      <c r="B136" s="86"/>
      <c r="C136" s="1646"/>
      <c r="D136" s="1646"/>
      <c r="E136" s="1646"/>
      <c r="F136" s="1646"/>
      <c r="G136" s="1646"/>
      <c r="H136" s="1646"/>
      <c r="I136" s="1646"/>
      <c r="J136" s="1646"/>
      <c r="K136" s="1646"/>
      <c r="L136" s="1646"/>
      <c r="M136" s="1646"/>
      <c r="N136" s="1646"/>
      <c r="O136" s="1646"/>
      <c r="P136" s="3" t="s">
        <v>4076</v>
      </c>
      <c r="Q136" s="3"/>
    </row>
    <row r="137" spans="1:17" s="1" customFormat="1">
      <c r="A137" s="144" t="s">
        <v>4116</v>
      </c>
      <c r="B137" s="145"/>
      <c r="C137" s="145"/>
      <c r="D137" s="145"/>
      <c r="E137" s="145"/>
      <c r="F137" s="145"/>
      <c r="G137" s="75"/>
      <c r="H137" s="75"/>
      <c r="I137" s="75"/>
      <c r="J137" s="75"/>
      <c r="K137" s="3"/>
      <c r="L137" s="3"/>
      <c r="M137" s="3"/>
      <c r="N137" s="3"/>
      <c r="O137" s="3"/>
      <c r="P137" s="3"/>
      <c r="Q137" s="3"/>
    </row>
    <row r="138" spans="1:17" outlineLevel="1">
      <c r="A138" s="146"/>
      <c r="B138" s="147"/>
      <c r="C138" s="147"/>
      <c r="D138" s="147"/>
      <c r="E138" s="147"/>
      <c r="F138" s="147"/>
    </row>
    <row r="139" spans="1:17" ht="29.25" customHeight="1" outlineLevel="1">
      <c r="A139" s="105" t="s">
        <v>4066</v>
      </c>
      <c r="B139" s="106"/>
      <c r="C139" s="117"/>
      <c r="D139" s="110"/>
      <c r="E139" s="107" t="s">
        <v>4117</v>
      </c>
      <c r="F139" s="107"/>
      <c r="G139" s="95"/>
      <c r="H139" s="95"/>
      <c r="I139" s="95"/>
      <c r="J139" s="95"/>
      <c r="K139" s="96"/>
      <c r="L139" s="96"/>
      <c r="M139" s="96"/>
      <c r="N139" s="96"/>
      <c r="O139" s="97"/>
      <c r="P139" s="97"/>
      <c r="Q139" s="97"/>
    </row>
    <row r="140" spans="1:17" s="78" customFormat="1" outlineLevel="1">
      <c r="A140" s="110"/>
      <c r="B140" s="110"/>
      <c r="C140" s="1636"/>
      <c r="D140" s="110"/>
      <c r="E140" s="110" t="s">
        <v>4074</v>
      </c>
      <c r="F140" s="110">
        <v>15</v>
      </c>
      <c r="G140" s="110">
        <v>20</v>
      </c>
      <c r="H140" s="110">
        <v>50</v>
      </c>
      <c r="I140" s="110">
        <v>100</v>
      </c>
      <c r="J140" s="110">
        <v>200</v>
      </c>
      <c r="K140" s="110">
        <v>500</v>
      </c>
      <c r="L140" s="111">
        <v>1000</v>
      </c>
      <c r="M140" s="111">
        <v>2000</v>
      </c>
      <c r="N140" s="111">
        <v>5000</v>
      </c>
      <c r="O140" s="111">
        <v>10000</v>
      </c>
      <c r="P140" s="115">
        <v>20000</v>
      </c>
      <c r="Q140" s="115">
        <v>30000</v>
      </c>
    </row>
    <row r="141" spans="1:17" s="78" customFormat="1" outlineLevel="1">
      <c r="A141" s="1636" t="s">
        <v>237</v>
      </c>
      <c r="B141" s="1637"/>
      <c r="C141" s="1636"/>
      <c r="D141" s="1636"/>
      <c r="E141" s="1636"/>
      <c r="F141" s="1636">
        <v>9.8000000000000004E-2</v>
      </c>
      <c r="G141" s="1636">
        <v>8.1000000000000003E-2</v>
      </c>
      <c r="H141" s="1636">
        <v>6.6000000000000003E-2</v>
      </c>
      <c r="I141" s="1636">
        <v>4.7E-2</v>
      </c>
      <c r="J141" s="1636">
        <v>3.5000000000000003E-2</v>
      </c>
      <c r="K141" s="1636">
        <v>2.3E-2</v>
      </c>
      <c r="L141" s="1636">
        <v>0.02</v>
      </c>
      <c r="M141" s="1636">
        <v>1.7000000000000001E-2</v>
      </c>
      <c r="N141" s="1636">
        <v>1.4E-2</v>
      </c>
      <c r="O141" s="1636">
        <v>0.01</v>
      </c>
      <c r="P141" s="112">
        <v>0.08</v>
      </c>
      <c r="Q141" s="112">
        <v>6.0000000000000001E-3</v>
      </c>
    </row>
    <row r="142" spans="1:17" s="78" customFormat="1" outlineLevel="1">
      <c r="A142" s="1636" t="s">
        <v>252</v>
      </c>
      <c r="B142" s="1637"/>
      <c r="C142" s="1636"/>
      <c r="D142" s="1636"/>
      <c r="E142" s="1636"/>
      <c r="F142" s="1636">
        <v>0.14000000000000001</v>
      </c>
      <c r="G142" s="1636">
        <v>0.11899999999999999</v>
      </c>
      <c r="H142" s="1636">
        <v>9.5000000000000001E-2</v>
      </c>
      <c r="I142" s="1636">
        <v>7.0000000000000007E-2</v>
      </c>
      <c r="J142" s="1636">
        <v>5.5E-2</v>
      </c>
      <c r="K142" s="1636">
        <v>4.1000000000000002E-2</v>
      </c>
      <c r="L142" s="1636">
        <v>3.5999999999999997E-2</v>
      </c>
      <c r="M142" s="1636">
        <v>2.9000000000000001E-2</v>
      </c>
      <c r="N142" s="1636">
        <v>2.5000000000000001E-2</v>
      </c>
      <c r="O142" s="1636">
        <v>1.4999999999999999E-2</v>
      </c>
      <c r="P142" s="112">
        <v>0.01</v>
      </c>
      <c r="Q142" s="112">
        <v>7.0000000000000001E-3</v>
      </c>
    </row>
    <row r="143" spans="1:17" s="78" customFormat="1" outlineLevel="1">
      <c r="A143" s="1636" t="s">
        <v>254</v>
      </c>
      <c r="B143" s="1637"/>
      <c r="C143" s="1636"/>
      <c r="D143" s="1636"/>
      <c r="E143" s="1636"/>
      <c r="F143" s="1636">
        <v>7.3999999999999996E-2</v>
      </c>
      <c r="G143" s="1636">
        <v>6.7000000000000004E-2</v>
      </c>
      <c r="H143" s="1636">
        <v>5.3999999999999999E-2</v>
      </c>
      <c r="I143" s="1636">
        <v>4.2000000000000003E-2</v>
      </c>
      <c r="J143" s="1636">
        <v>2.9000000000000001E-2</v>
      </c>
      <c r="K143" s="1636">
        <v>1.7999999999999999E-2</v>
      </c>
      <c r="L143" s="1636">
        <v>1.6E-2</v>
      </c>
      <c r="M143" s="1636">
        <v>1.2999999999999999E-2</v>
      </c>
      <c r="N143" s="1636">
        <v>1.0999999999999999E-2</v>
      </c>
      <c r="O143" s="1636">
        <v>7.0000000000000001E-3</v>
      </c>
      <c r="P143" s="112">
        <v>5.0000000000000001E-3</v>
      </c>
      <c r="Q143" s="112">
        <v>4.0000000000000001E-3</v>
      </c>
    </row>
    <row r="144" spans="1:17" s="78" customFormat="1" outlineLevel="1">
      <c r="A144" s="1636" t="s">
        <v>256</v>
      </c>
      <c r="B144" s="118"/>
      <c r="C144" s="1636"/>
      <c r="D144" s="1636"/>
      <c r="E144" s="1636"/>
      <c r="F144" s="1636">
        <v>8.7999999999999995E-2</v>
      </c>
      <c r="G144" s="1636">
        <v>0.08</v>
      </c>
      <c r="H144" s="1636">
        <v>6.4000000000000001E-2</v>
      </c>
      <c r="I144" s="1636">
        <v>4.4999999999999998E-2</v>
      </c>
      <c r="J144" s="1636">
        <v>3.4000000000000002E-2</v>
      </c>
      <c r="K144" s="1636">
        <v>2.1999999999999999E-2</v>
      </c>
      <c r="L144" s="1636">
        <v>1.9E-2</v>
      </c>
      <c r="M144" s="1636">
        <v>1.6E-2</v>
      </c>
      <c r="N144" s="1636">
        <v>1.2999999999999999E-2</v>
      </c>
      <c r="O144" s="1636">
        <v>8.9999999999999993E-3</v>
      </c>
      <c r="P144" s="112">
        <v>7.0000000000000001E-3</v>
      </c>
      <c r="Q144" s="112">
        <v>5.0000000000000001E-3</v>
      </c>
    </row>
    <row r="145" spans="1:17" s="78" customFormat="1" outlineLevel="1">
      <c r="A145" s="1636" t="s">
        <v>258</v>
      </c>
      <c r="B145" s="118"/>
      <c r="C145" s="110"/>
      <c r="D145" s="110"/>
      <c r="E145" s="1636"/>
      <c r="F145" s="1636">
        <v>7.6999999999999999E-2</v>
      </c>
      <c r="G145" s="1636">
        <v>7.0000000000000007E-2</v>
      </c>
      <c r="H145" s="1636">
        <v>5.6000000000000001E-2</v>
      </c>
      <c r="I145" s="1636">
        <v>4.3999999999999997E-2</v>
      </c>
      <c r="J145" s="1636">
        <v>0.03</v>
      </c>
      <c r="K145" s="1636">
        <v>1.9E-2</v>
      </c>
      <c r="L145" s="1636">
        <v>1.7000000000000001E-2</v>
      </c>
      <c r="M145" s="1636">
        <v>1.4E-2</v>
      </c>
      <c r="N145" s="1636">
        <v>1.2E-2</v>
      </c>
      <c r="O145" s="1636">
        <v>8.0000000000000002E-3</v>
      </c>
      <c r="P145" s="112">
        <v>6.0000000000000001E-3</v>
      </c>
      <c r="Q145" s="112">
        <v>4.0000000000000001E-3</v>
      </c>
    </row>
    <row r="146" spans="1:17" s="78" customFormat="1" outlineLevel="1">
      <c r="A146" s="1636"/>
      <c r="B146" s="118"/>
      <c r="C146" s="1636"/>
      <c r="D146" s="1636"/>
      <c r="E146" s="1636"/>
      <c r="F146" s="1636"/>
      <c r="G146" s="1636"/>
      <c r="H146" s="1636"/>
      <c r="I146" s="1636"/>
      <c r="J146" s="1636"/>
      <c r="K146" s="1636"/>
      <c r="L146" s="1636"/>
      <c r="M146" s="1636"/>
      <c r="N146" s="1636"/>
      <c r="O146" s="1636"/>
      <c r="P146" s="112"/>
      <c r="Q146" s="112"/>
    </row>
    <row r="147" spans="1:17" s="78" customFormat="1" outlineLevel="1">
      <c r="A147" s="1646"/>
      <c r="B147" s="86"/>
      <c r="C147" s="1646"/>
      <c r="D147" s="1646"/>
      <c r="E147" s="1646"/>
      <c r="F147" s="1646"/>
      <c r="G147" s="1646"/>
      <c r="H147" s="1646"/>
      <c r="I147" s="1646"/>
      <c r="J147" s="1646"/>
      <c r="K147" s="1646"/>
      <c r="L147" s="1646"/>
      <c r="M147" s="1646"/>
      <c r="N147" s="1646"/>
      <c r="O147" s="1646"/>
      <c r="P147" s="3"/>
      <c r="Q147" s="3"/>
    </row>
    <row r="148" spans="1:17" s="1" customFormat="1">
      <c r="A148" s="76" t="s">
        <v>4118</v>
      </c>
      <c r="B148" s="75"/>
      <c r="C148" s="75"/>
      <c r="D148" s="75"/>
      <c r="E148" s="75"/>
      <c r="F148" s="75"/>
      <c r="G148" s="75"/>
      <c r="H148" s="75"/>
      <c r="I148" s="75"/>
      <c r="J148" s="75"/>
      <c r="K148" s="3"/>
      <c r="L148" s="3"/>
      <c r="M148" s="3"/>
      <c r="N148" s="3"/>
      <c r="O148" s="3"/>
      <c r="P148" s="3"/>
      <c r="Q148" s="3"/>
    </row>
    <row r="149" spans="1:17" outlineLevel="1">
      <c r="A149" s="2"/>
    </row>
    <row r="150" spans="1:17" ht="29.25" customHeight="1" outlineLevel="1">
      <c r="A150" s="4" t="s">
        <v>4066</v>
      </c>
      <c r="B150" s="92"/>
      <c r="C150" s="93"/>
      <c r="D150" s="94"/>
      <c r="E150" s="95" t="s">
        <v>4082</v>
      </c>
      <c r="F150" s="95"/>
      <c r="G150" s="95"/>
      <c r="H150" s="95"/>
      <c r="I150" s="95"/>
      <c r="J150" s="95"/>
      <c r="K150" s="96"/>
      <c r="L150" s="96"/>
      <c r="M150" s="96"/>
      <c r="N150" s="96"/>
      <c r="O150" s="97"/>
    </row>
    <row r="151" spans="1:17" s="78" customFormat="1" outlineLevel="1">
      <c r="A151" s="94"/>
      <c r="B151" s="94"/>
      <c r="C151" s="69"/>
      <c r="D151" s="110" t="s">
        <v>4069</v>
      </c>
      <c r="E151" s="110"/>
      <c r="F151" s="110">
        <v>10</v>
      </c>
      <c r="G151" s="110">
        <v>20</v>
      </c>
      <c r="H151" s="110">
        <v>50</v>
      </c>
      <c r="I151" s="110">
        <v>100</v>
      </c>
      <c r="J151" s="110">
        <v>200</v>
      </c>
      <c r="K151" s="110">
        <v>500</v>
      </c>
      <c r="L151" s="111">
        <v>1000</v>
      </c>
      <c r="M151" s="111">
        <v>2000</v>
      </c>
      <c r="N151" s="111">
        <v>5000</v>
      </c>
      <c r="O151" s="111">
        <v>8000</v>
      </c>
      <c r="P151" s="3"/>
      <c r="Q151" s="3"/>
    </row>
    <row r="152" spans="1:17" s="78" customFormat="1" outlineLevel="1">
      <c r="A152" s="69" t="s">
        <v>237</v>
      </c>
      <c r="B152" s="68"/>
      <c r="C152" s="69"/>
      <c r="D152" s="1636"/>
      <c r="E152" s="1636"/>
      <c r="F152" s="1636">
        <v>0.20599999999999999</v>
      </c>
      <c r="G152" s="1636">
        <v>0.17899999999999999</v>
      </c>
      <c r="H152" s="1636">
        <v>0.13800000000000001</v>
      </c>
      <c r="I152" s="1636">
        <v>0.106</v>
      </c>
      <c r="J152" s="1636">
        <v>8.1000000000000003E-2</v>
      </c>
      <c r="K152" s="1636">
        <v>6.3E-2</v>
      </c>
      <c r="L152" s="1636">
        <v>5.0999999999999997E-2</v>
      </c>
      <c r="M152" s="1636">
        <v>3.5999999999999997E-2</v>
      </c>
      <c r="N152" s="1636">
        <v>2.8000000000000001E-2</v>
      </c>
      <c r="O152" s="1636">
        <v>2.4E-2</v>
      </c>
      <c r="P152" s="3"/>
      <c r="Q152" s="3"/>
    </row>
    <row r="153" spans="1:17" s="184" customFormat="1" outlineLevel="1">
      <c r="A153" s="1639" t="s">
        <v>252</v>
      </c>
      <c r="B153" s="1640"/>
      <c r="C153" s="1639"/>
      <c r="D153" s="1639"/>
      <c r="E153" s="1639"/>
      <c r="F153" s="1639">
        <v>0.23799999999999999</v>
      </c>
      <c r="G153" s="1639">
        <v>0.20599999999999999</v>
      </c>
      <c r="H153" s="1639">
        <v>0.158</v>
      </c>
      <c r="I153" s="1639">
        <v>0.121</v>
      </c>
      <c r="J153" s="1639">
        <v>9.4E-2</v>
      </c>
      <c r="K153" s="1639">
        <v>7.2999999999999995E-2</v>
      </c>
      <c r="L153" s="1639">
        <v>5.5E-2</v>
      </c>
      <c r="M153" s="1639">
        <v>4.3999999999999997E-2</v>
      </c>
      <c r="N153" s="1639">
        <v>3.3000000000000002E-2</v>
      </c>
      <c r="O153" s="1639">
        <v>2.8000000000000001E-2</v>
      </c>
      <c r="P153" s="1641"/>
      <c r="Q153" s="1641"/>
    </row>
    <row r="154" spans="1:17" s="78" customFormat="1" outlineLevel="1">
      <c r="A154" s="69" t="s">
        <v>254</v>
      </c>
      <c r="B154" s="68"/>
      <c r="C154" s="69"/>
      <c r="D154" s="1636"/>
      <c r="E154" s="1636"/>
      <c r="F154" s="1636">
        <v>0.13600000000000001</v>
      </c>
      <c r="G154" s="1636">
        <v>0.11799999999999999</v>
      </c>
      <c r="H154" s="1636">
        <v>0.09</v>
      </c>
      <c r="I154" s="1636">
        <v>6.9000000000000006E-2</v>
      </c>
      <c r="J154" s="1636">
        <v>5.3999999999999999E-2</v>
      </c>
      <c r="K154" s="1636">
        <v>4.1000000000000002E-2</v>
      </c>
      <c r="L154" s="1636">
        <v>3.1E-2</v>
      </c>
      <c r="M154" s="1636">
        <v>2.5999999999999999E-2</v>
      </c>
      <c r="N154" s="1636">
        <v>0.02</v>
      </c>
      <c r="O154" s="1636">
        <v>1.7000000000000001E-2</v>
      </c>
      <c r="P154" s="3"/>
      <c r="Q154" s="3"/>
    </row>
    <row r="155" spans="1:17" s="78" customFormat="1" outlineLevel="1">
      <c r="A155" s="69" t="s">
        <v>256</v>
      </c>
      <c r="B155" s="84"/>
      <c r="C155" s="69"/>
      <c r="D155" s="1636"/>
      <c r="E155" s="1636"/>
      <c r="F155" s="1636">
        <v>0.151</v>
      </c>
      <c r="G155" s="1636">
        <v>0.13</v>
      </c>
      <c r="H155" s="1636">
        <v>0.1</v>
      </c>
      <c r="I155" s="1636">
        <v>7.5999999999999998E-2</v>
      </c>
      <c r="J155" s="1636">
        <v>0.06</v>
      </c>
      <c r="K155" s="1636">
        <v>4.5999999999999999E-2</v>
      </c>
      <c r="L155" s="1636">
        <v>3.5000000000000003E-2</v>
      </c>
      <c r="M155" s="1636">
        <v>2.9000000000000001E-2</v>
      </c>
      <c r="N155" s="1636">
        <v>2.1000000000000001E-2</v>
      </c>
      <c r="O155" s="1636">
        <v>1.7999999999999999E-2</v>
      </c>
      <c r="P155" s="3"/>
      <c r="Q155" s="3"/>
    </row>
    <row r="156" spans="1:17" s="78" customFormat="1" outlineLevel="1">
      <c r="A156" s="69" t="s">
        <v>258</v>
      </c>
      <c r="B156" s="84"/>
      <c r="C156" s="94"/>
      <c r="D156" s="110"/>
      <c r="E156" s="1636"/>
      <c r="F156" s="1636">
        <v>0.158</v>
      </c>
      <c r="G156" s="1636">
        <v>0.13800000000000001</v>
      </c>
      <c r="H156" s="1636">
        <v>0.106</v>
      </c>
      <c r="I156" s="1636">
        <v>8.1000000000000003E-2</v>
      </c>
      <c r="J156" s="1636">
        <v>6.3E-2</v>
      </c>
      <c r="K156" s="1636">
        <v>4.9000000000000002E-2</v>
      </c>
      <c r="L156" s="1636">
        <v>3.7999999999999999E-2</v>
      </c>
      <c r="M156" s="1636">
        <v>3.3000000000000002E-2</v>
      </c>
      <c r="N156" s="1636">
        <v>2.4E-2</v>
      </c>
      <c r="O156" s="1636">
        <v>2.1000000000000001E-2</v>
      </c>
      <c r="P156" s="3"/>
      <c r="Q156" s="3"/>
    </row>
    <row r="157" spans="1:17" s="78" customFormat="1" outlineLevel="1">
      <c r="A157" s="69"/>
      <c r="B157" s="84"/>
      <c r="C157" s="69"/>
      <c r="D157" s="1636"/>
      <c r="E157" s="1636"/>
      <c r="F157" s="1636"/>
      <c r="G157" s="1636"/>
      <c r="H157" s="1636"/>
      <c r="I157" s="1636"/>
      <c r="J157" s="1636"/>
      <c r="K157" s="1636"/>
      <c r="L157" s="1636"/>
      <c r="M157" s="1636"/>
      <c r="N157" s="1636"/>
      <c r="O157" s="1636"/>
      <c r="P157" s="3"/>
      <c r="Q157" s="3"/>
    </row>
    <row r="158" spans="1:17" s="78" customFormat="1" outlineLevel="1">
      <c r="A158" s="1646"/>
      <c r="B158" s="86"/>
      <c r="C158" s="1646"/>
      <c r="D158" s="1646"/>
      <c r="E158" s="1646"/>
      <c r="F158" s="1646"/>
      <c r="G158" s="1646"/>
      <c r="H158" s="1646"/>
      <c r="I158" s="1646"/>
      <c r="J158" s="1646"/>
      <c r="K158" s="1646"/>
      <c r="L158" s="1646"/>
      <c r="M158" s="1646"/>
      <c r="N158" s="1646"/>
      <c r="O158" s="1646"/>
      <c r="P158" s="3"/>
      <c r="Q158" s="3"/>
    </row>
    <row r="159" spans="1:17" s="1" customFormat="1">
      <c r="A159" s="127" t="s">
        <v>4119</v>
      </c>
      <c r="B159" s="109"/>
      <c r="C159" s="109"/>
      <c r="D159" s="109"/>
      <c r="E159" s="109"/>
      <c r="F159" s="109"/>
      <c r="G159" s="109"/>
      <c r="H159" s="109"/>
      <c r="I159" s="109"/>
      <c r="J159" s="109"/>
      <c r="K159" s="121"/>
      <c r="L159" s="121"/>
      <c r="M159" s="121"/>
      <c r="N159" s="121"/>
      <c r="O159" s="121"/>
      <c r="P159" s="3"/>
      <c r="Q159" s="3"/>
    </row>
    <row r="160" spans="1:17" outlineLevel="1">
      <c r="A160" s="120"/>
      <c r="B160" s="121"/>
      <c r="C160" s="121"/>
      <c r="D160" s="121"/>
      <c r="E160" s="121"/>
      <c r="F160" s="121"/>
      <c r="G160" s="121"/>
      <c r="H160" s="121"/>
      <c r="I160" s="121"/>
      <c r="J160" s="121"/>
      <c r="K160" s="121"/>
      <c r="L160" s="121"/>
      <c r="M160" s="121"/>
      <c r="N160" s="121"/>
      <c r="O160" s="121"/>
    </row>
    <row r="161" spans="1:17" ht="29.25" customHeight="1" outlineLevel="1">
      <c r="A161" s="105" t="s">
        <v>4066</v>
      </c>
      <c r="B161" s="106"/>
      <c r="C161" s="117"/>
      <c r="D161" s="110"/>
      <c r="E161" s="107" t="s">
        <v>4082</v>
      </c>
      <c r="F161" s="107"/>
      <c r="G161" s="107"/>
      <c r="H161" s="107"/>
      <c r="I161" s="107"/>
      <c r="J161" s="107"/>
      <c r="K161" s="108"/>
      <c r="L161" s="108"/>
      <c r="M161" s="108"/>
      <c r="N161" s="108"/>
      <c r="O161" s="109"/>
    </row>
    <row r="162" spans="1:17" s="78" customFormat="1" outlineLevel="1">
      <c r="A162" s="110"/>
      <c r="B162" s="110"/>
      <c r="C162" s="1636"/>
      <c r="D162" s="110" t="s">
        <v>4069</v>
      </c>
      <c r="E162" s="110"/>
      <c r="F162" s="110">
        <v>10</v>
      </c>
      <c r="G162" s="110">
        <v>20</v>
      </c>
      <c r="H162" s="110">
        <v>50</v>
      </c>
      <c r="I162" s="110">
        <v>100</v>
      </c>
      <c r="J162" s="110">
        <v>200</v>
      </c>
      <c r="K162" s="110">
        <v>500</v>
      </c>
      <c r="L162" s="111">
        <v>1000</v>
      </c>
      <c r="M162" s="111">
        <v>2000</v>
      </c>
      <c r="N162" s="111">
        <v>5000</v>
      </c>
      <c r="O162" s="111">
        <v>8000</v>
      </c>
      <c r="P162" s="3"/>
      <c r="Q162" s="3"/>
    </row>
    <row r="163" spans="1:17" s="78" customFormat="1" outlineLevel="1">
      <c r="A163" s="1636" t="s">
        <v>237</v>
      </c>
      <c r="B163" s="1637"/>
      <c r="C163" s="1636"/>
      <c r="D163" s="1636"/>
      <c r="E163" s="1636"/>
      <c r="F163" s="1636">
        <v>0.2</v>
      </c>
      <c r="G163" s="1636">
        <v>0.17499999999999999</v>
      </c>
      <c r="H163" s="1636">
        <v>0.13300000000000001</v>
      </c>
      <c r="I163" s="1636">
        <v>0.104</v>
      </c>
      <c r="J163" s="1636">
        <v>7.8E-2</v>
      </c>
      <c r="K163" s="1636">
        <v>5.8000000000000003E-2</v>
      </c>
      <c r="L163" s="1636">
        <v>4.8000000000000001E-2</v>
      </c>
      <c r="M163" s="1636">
        <v>3.5000000000000003E-2</v>
      </c>
      <c r="N163" s="1636">
        <v>2.5999999999999999E-2</v>
      </c>
      <c r="O163" s="112">
        <v>2.3E-2</v>
      </c>
      <c r="P163" s="3"/>
      <c r="Q163" s="3"/>
    </row>
    <row r="164" spans="1:17" s="78" customFormat="1" outlineLevel="1">
      <c r="A164" s="1636" t="s">
        <v>252</v>
      </c>
      <c r="B164" s="1637"/>
      <c r="C164" s="1636"/>
      <c r="D164" s="1636"/>
      <c r="E164" s="1636"/>
      <c r="F164" s="1636">
        <v>0.23100000000000001</v>
      </c>
      <c r="G164" s="1636">
        <v>0.2</v>
      </c>
      <c r="H164" s="1636">
        <v>0.151</v>
      </c>
      <c r="I164" s="1636">
        <v>0.11799999999999999</v>
      </c>
      <c r="J164" s="1636">
        <v>0.09</v>
      </c>
      <c r="K164" s="1636">
        <v>6.9000000000000006E-2</v>
      </c>
      <c r="L164" s="1636">
        <v>5.0999999999999997E-2</v>
      </c>
      <c r="M164" s="1636">
        <v>4.1000000000000002E-2</v>
      </c>
      <c r="N164" s="1636">
        <v>2.9000000000000001E-2</v>
      </c>
      <c r="O164" s="112">
        <v>2.5000000000000001E-2</v>
      </c>
      <c r="P164" s="3"/>
      <c r="Q164" s="3"/>
    </row>
    <row r="165" spans="1:17" s="78" customFormat="1" outlineLevel="1">
      <c r="A165" s="1636" t="s">
        <v>254</v>
      </c>
      <c r="B165" s="1637"/>
      <c r="C165" s="1636"/>
      <c r="D165" s="1636"/>
      <c r="E165" s="1636"/>
      <c r="F165" s="1636">
        <v>0.13300000000000001</v>
      </c>
      <c r="G165" s="1636">
        <v>0.114</v>
      </c>
      <c r="H165" s="1636">
        <v>8.5000000000000006E-2</v>
      </c>
      <c r="I165" s="1636">
        <v>6.8000000000000005E-2</v>
      </c>
      <c r="J165" s="1636">
        <v>5.0999999999999997E-2</v>
      </c>
      <c r="K165" s="1636">
        <v>3.9E-2</v>
      </c>
      <c r="L165" s="1636">
        <v>0.03</v>
      </c>
      <c r="M165" s="1636">
        <v>2.5000000000000001E-2</v>
      </c>
      <c r="N165" s="1636">
        <v>1.7999999999999999E-2</v>
      </c>
      <c r="O165" s="112">
        <v>1.4999999999999999E-2</v>
      </c>
      <c r="P165" s="3"/>
      <c r="Q165" s="3"/>
    </row>
    <row r="166" spans="1:17" s="78" customFormat="1" outlineLevel="1">
      <c r="A166" s="1636" t="s">
        <v>256</v>
      </c>
      <c r="B166" s="118"/>
      <c r="C166" s="1636"/>
      <c r="D166" s="1636"/>
      <c r="E166" s="1636"/>
      <c r="F166" s="1636">
        <v>0.14599999999999999</v>
      </c>
      <c r="G166" s="1636">
        <v>0.126</v>
      </c>
      <c r="H166" s="1636">
        <v>9.5000000000000001E-2</v>
      </c>
      <c r="I166" s="1636">
        <v>7.4999999999999997E-2</v>
      </c>
      <c r="J166" s="1636">
        <v>5.8000000000000003E-2</v>
      </c>
      <c r="K166" s="1636">
        <v>4.3999999999999997E-2</v>
      </c>
      <c r="L166" s="1636">
        <v>3.3000000000000002E-2</v>
      </c>
      <c r="M166" s="1636">
        <v>2.8000000000000001E-2</v>
      </c>
      <c r="N166" s="1636">
        <v>0.02</v>
      </c>
      <c r="O166" s="112">
        <v>1.7000000000000001E-2</v>
      </c>
      <c r="P166" s="3"/>
      <c r="Q166" s="3"/>
    </row>
    <row r="167" spans="1:17" s="78" customFormat="1" outlineLevel="1">
      <c r="A167" s="1636" t="s">
        <v>258</v>
      </c>
      <c r="B167" s="118"/>
      <c r="C167" s="110"/>
      <c r="D167" s="110"/>
      <c r="E167" s="1636"/>
      <c r="F167" s="1636">
        <v>0.153</v>
      </c>
      <c r="G167" s="1636">
        <v>0.13300000000000001</v>
      </c>
      <c r="H167" s="1636">
        <v>0.10299999999999999</v>
      </c>
      <c r="I167" s="1636">
        <v>7.8E-2</v>
      </c>
      <c r="J167" s="1636">
        <v>5.8999999999999997E-2</v>
      </c>
      <c r="K167" s="1636">
        <v>4.5999999999999999E-2</v>
      </c>
      <c r="L167" s="1636">
        <v>3.5999999999999997E-2</v>
      </c>
      <c r="M167" s="1636">
        <v>0.03</v>
      </c>
      <c r="N167" s="1636">
        <v>2.1000000000000001E-2</v>
      </c>
      <c r="O167" s="112">
        <v>1.7999999999999999E-2</v>
      </c>
      <c r="P167" s="3"/>
      <c r="Q167" s="3"/>
    </row>
    <row r="168" spans="1:17" s="78" customFormat="1" outlineLevel="1">
      <c r="A168" s="1636"/>
      <c r="B168" s="118"/>
      <c r="C168" s="1636"/>
      <c r="D168" s="1636"/>
      <c r="E168" s="1636"/>
      <c r="F168" s="1636"/>
      <c r="G168" s="1636"/>
      <c r="H168" s="1636"/>
      <c r="I168" s="1636"/>
      <c r="J168" s="1636"/>
      <c r="K168" s="1636"/>
      <c r="L168" s="1636"/>
      <c r="M168" s="1636"/>
      <c r="N168" s="1636"/>
      <c r="O168" s="1636"/>
      <c r="P168" s="3"/>
      <c r="Q168" s="3"/>
    </row>
    <row r="169" spans="1:17" s="78" customFormat="1" outlineLevel="1">
      <c r="A169" s="1646"/>
      <c r="B169" s="86"/>
      <c r="C169" s="1646"/>
      <c r="D169" s="1646"/>
      <c r="E169" s="1646"/>
      <c r="F169" s="1646"/>
      <c r="G169" s="1646"/>
      <c r="H169" s="1646"/>
      <c r="I169" s="1646"/>
      <c r="J169" s="1646"/>
      <c r="K169" s="1646"/>
      <c r="L169" s="1646"/>
      <c r="M169" s="1646"/>
      <c r="N169" s="1646"/>
      <c r="O169" s="1646"/>
      <c r="P169" s="3"/>
      <c r="Q169" s="3"/>
    </row>
    <row r="170" spans="1:17" s="1" customFormat="1">
      <c r="A170" s="76" t="s">
        <v>4120</v>
      </c>
      <c r="B170" s="75"/>
      <c r="C170" s="75"/>
      <c r="D170" s="75"/>
      <c r="E170" s="75"/>
      <c r="F170" s="75"/>
      <c r="G170" s="75"/>
      <c r="H170" s="75"/>
      <c r="I170" s="75"/>
      <c r="J170" s="75"/>
      <c r="K170" s="3"/>
      <c r="L170" s="3"/>
      <c r="M170" s="3"/>
      <c r="N170" s="3"/>
      <c r="O170" s="3"/>
      <c r="P170" s="3"/>
      <c r="Q170" s="3"/>
    </row>
    <row r="171" spans="1:17" outlineLevel="1">
      <c r="A171" s="2"/>
    </row>
    <row r="172" spans="1:17" ht="29.25" customHeight="1" outlineLevel="1">
      <c r="A172" s="105" t="s">
        <v>4066</v>
      </c>
      <c r="B172" s="106"/>
      <c r="C172" s="117"/>
      <c r="D172" s="110"/>
      <c r="E172" s="107" t="s">
        <v>4080</v>
      </c>
      <c r="F172" s="107"/>
      <c r="G172" s="107"/>
      <c r="H172" s="107"/>
      <c r="I172" s="107"/>
      <c r="J172" s="107"/>
      <c r="K172" s="108"/>
      <c r="L172" s="108"/>
      <c r="M172" s="108"/>
      <c r="N172" s="108"/>
      <c r="O172" s="109"/>
    </row>
    <row r="173" spans="1:17" s="78" customFormat="1" outlineLevel="1">
      <c r="A173" s="110"/>
      <c r="B173" s="110"/>
      <c r="C173" s="1636"/>
      <c r="D173" s="110" t="s">
        <v>4069</v>
      </c>
      <c r="E173" s="110"/>
      <c r="F173" s="110">
        <v>10</v>
      </c>
      <c r="G173" s="110">
        <v>20</v>
      </c>
      <c r="H173" s="110">
        <v>50</v>
      </c>
      <c r="I173" s="110">
        <v>100</v>
      </c>
      <c r="J173" s="110">
        <v>200</v>
      </c>
      <c r="K173" s="110">
        <v>500</v>
      </c>
      <c r="L173" s="111">
        <v>1000</v>
      </c>
      <c r="M173" s="111">
        <v>2000</v>
      </c>
      <c r="N173" s="111">
        <v>5000</v>
      </c>
      <c r="O173" s="111">
        <v>8000</v>
      </c>
      <c r="P173" s="3"/>
      <c r="Q173" s="3"/>
    </row>
    <row r="174" spans="1:17" s="78" customFormat="1" outlineLevel="1">
      <c r="A174" s="1636" t="s">
        <v>237</v>
      </c>
      <c r="B174" s="1637"/>
      <c r="C174" s="1636"/>
      <c r="D174" s="1636"/>
      <c r="E174" s="1636"/>
      <c r="F174" s="1636">
        <v>0.33700000000000002</v>
      </c>
      <c r="G174" s="1636">
        <v>0.27</v>
      </c>
      <c r="H174" s="1636">
        <v>0.152</v>
      </c>
      <c r="I174" s="1636">
        <v>9.9000000000000005E-2</v>
      </c>
      <c r="J174" s="1636">
        <v>5.8999999999999997E-2</v>
      </c>
      <c r="K174" s="1636">
        <v>4.2999999999999997E-2</v>
      </c>
      <c r="L174" s="1636">
        <v>0.03</v>
      </c>
      <c r="M174" s="1636">
        <v>2.5999999999999999E-2</v>
      </c>
      <c r="N174" s="1636">
        <v>2.1999999999999999E-2</v>
      </c>
      <c r="O174" s="112">
        <v>1.9E-2</v>
      </c>
      <c r="P174" s="3"/>
      <c r="Q174" s="3"/>
    </row>
    <row r="175" spans="1:17" s="78" customFormat="1" outlineLevel="1">
      <c r="A175" s="1636" t="s">
        <v>252</v>
      </c>
      <c r="B175" s="1637"/>
      <c r="C175" s="1636"/>
      <c r="D175" s="1636"/>
      <c r="E175" s="1636"/>
      <c r="F175" s="1636">
        <v>0.439</v>
      </c>
      <c r="G175" s="1636">
        <v>0.30299999999999999</v>
      </c>
      <c r="H175" s="1636">
        <v>0.16900000000000001</v>
      </c>
      <c r="I175" s="1636">
        <v>0.115</v>
      </c>
      <c r="J175" s="1636">
        <v>7.3999999999999996E-2</v>
      </c>
      <c r="K175" s="1636">
        <v>5.2999999999999999E-2</v>
      </c>
      <c r="L175" s="1636">
        <v>0.04</v>
      </c>
      <c r="M175" s="1636">
        <v>3.4000000000000002E-2</v>
      </c>
      <c r="N175" s="1636">
        <v>2.7E-2</v>
      </c>
      <c r="O175" s="112">
        <v>2.3E-2</v>
      </c>
      <c r="P175" s="3"/>
      <c r="Q175" s="3"/>
    </row>
    <row r="176" spans="1:17" s="78" customFormat="1" outlineLevel="1">
      <c r="A176" s="1636" t="s">
        <v>254</v>
      </c>
      <c r="B176" s="1637"/>
      <c r="C176" s="1636"/>
      <c r="D176" s="1636"/>
      <c r="E176" s="1636"/>
      <c r="F176" s="1636">
        <v>0.27</v>
      </c>
      <c r="G176" s="1636">
        <v>0.185</v>
      </c>
      <c r="H176" s="1636">
        <v>0.11799999999999999</v>
      </c>
      <c r="I176" s="1636">
        <v>7.0000000000000007E-2</v>
      </c>
      <c r="J176" s="1636">
        <v>4.4999999999999998E-2</v>
      </c>
      <c r="K176" s="1636">
        <v>3.5000000000000003E-2</v>
      </c>
      <c r="L176" s="1636">
        <v>2.1999999999999999E-2</v>
      </c>
      <c r="M176" s="1636">
        <v>1.9E-2</v>
      </c>
      <c r="N176" s="1636">
        <v>1.6E-2</v>
      </c>
      <c r="O176" s="112">
        <v>1.4E-2</v>
      </c>
      <c r="P176" s="3"/>
      <c r="Q176" s="3"/>
    </row>
    <row r="177" spans="1:17" s="78" customFormat="1" outlineLevel="1">
      <c r="A177" s="1636" t="s">
        <v>256</v>
      </c>
      <c r="B177" s="118"/>
      <c r="C177" s="1636"/>
      <c r="D177" s="1636"/>
      <c r="E177" s="1636"/>
      <c r="F177" s="1636">
        <v>0.28199999999999997</v>
      </c>
      <c r="G177" s="1636">
        <v>0.23599999999999999</v>
      </c>
      <c r="H177" s="1636">
        <v>0.13</v>
      </c>
      <c r="I177" s="1636">
        <v>7.3999999999999996E-2</v>
      </c>
      <c r="J177" s="1636">
        <v>4.7E-2</v>
      </c>
      <c r="K177" s="1636">
        <v>3.6999999999999998E-2</v>
      </c>
      <c r="L177" s="1636">
        <v>2.4E-2</v>
      </c>
      <c r="M177" s="1636">
        <v>2.1000000000000001E-2</v>
      </c>
      <c r="N177" s="1636">
        <v>1.7999999999999999E-2</v>
      </c>
      <c r="O177" s="112">
        <v>1.6E-2</v>
      </c>
      <c r="P177" s="3"/>
      <c r="Q177" s="3"/>
    </row>
    <row r="178" spans="1:17" s="78" customFormat="1" outlineLevel="1">
      <c r="A178" s="1636" t="s">
        <v>258</v>
      </c>
      <c r="B178" s="118"/>
      <c r="C178" s="110"/>
      <c r="D178" s="110"/>
      <c r="E178" s="1636"/>
      <c r="F178" s="1636">
        <v>0.30299999999999999</v>
      </c>
      <c r="G178" s="1636">
        <v>0.254</v>
      </c>
      <c r="H178" s="1636">
        <v>0.13500000000000001</v>
      </c>
      <c r="I178" s="1636">
        <v>8.3000000000000004E-2</v>
      </c>
      <c r="J178" s="1636">
        <v>4.9000000000000002E-2</v>
      </c>
      <c r="K178" s="1636">
        <v>0.04</v>
      </c>
      <c r="L178" s="1636">
        <v>2.5999999999999999E-2</v>
      </c>
      <c r="M178" s="1636">
        <v>2.1999999999999999E-2</v>
      </c>
      <c r="N178" s="1636">
        <v>1.9E-2</v>
      </c>
      <c r="O178" s="112">
        <v>1.7000000000000001E-2</v>
      </c>
      <c r="P178" s="3"/>
      <c r="Q178" s="3"/>
    </row>
    <row r="179" spans="1:17" s="78" customFormat="1" outlineLevel="1">
      <c r="A179" s="1636"/>
      <c r="B179" s="118"/>
      <c r="C179" s="1636"/>
      <c r="D179" s="1636"/>
      <c r="E179" s="1636"/>
      <c r="F179" s="1636"/>
      <c r="G179" s="1636"/>
      <c r="H179" s="1636"/>
      <c r="I179" s="1636"/>
      <c r="J179" s="1636"/>
      <c r="K179" s="1636"/>
      <c r="L179" s="1636"/>
      <c r="M179" s="1636"/>
      <c r="N179" s="1636"/>
      <c r="O179" s="1636"/>
      <c r="P179" s="3"/>
      <c r="Q179" s="3"/>
    </row>
    <row r="180" spans="1:17" s="78" customFormat="1" outlineLevel="1">
      <c r="A180" s="1646"/>
      <c r="B180" s="86"/>
      <c r="C180" s="1646"/>
      <c r="D180" s="1646"/>
      <c r="E180" s="1646"/>
      <c r="F180" s="1646"/>
      <c r="G180" s="1646"/>
      <c r="H180" s="1646"/>
      <c r="I180" s="1646"/>
      <c r="J180" s="1646"/>
      <c r="K180" s="1646"/>
      <c r="L180" s="1646"/>
      <c r="M180" s="1646"/>
      <c r="N180" s="1646"/>
      <c r="O180" s="1646"/>
      <c r="P180" s="3"/>
      <c r="Q180" s="3"/>
    </row>
    <row r="181" spans="1:17" s="1" customFormat="1">
      <c r="A181" s="127" t="s">
        <v>4121</v>
      </c>
      <c r="B181" s="109"/>
      <c r="C181" s="109"/>
      <c r="D181" s="109"/>
      <c r="E181" s="109"/>
      <c r="F181" s="109"/>
      <c r="G181" s="109"/>
      <c r="H181" s="109"/>
      <c r="I181" s="109"/>
      <c r="J181" s="109"/>
      <c r="K181" s="121"/>
      <c r="L181" s="121"/>
      <c r="M181" s="121"/>
      <c r="N181" s="121"/>
      <c r="O181" s="121"/>
      <c r="P181" s="3"/>
      <c r="Q181" s="3"/>
    </row>
    <row r="182" spans="1:17" outlineLevel="1">
      <c r="A182" s="120"/>
      <c r="B182" s="121"/>
      <c r="C182" s="121"/>
      <c r="D182" s="121"/>
      <c r="E182" s="121"/>
      <c r="F182" s="121"/>
      <c r="G182" s="121"/>
      <c r="H182" s="121"/>
      <c r="I182" s="121"/>
      <c r="J182" s="121"/>
      <c r="K182" s="121"/>
      <c r="L182" s="121"/>
      <c r="M182" s="121"/>
      <c r="N182" s="121"/>
      <c r="O182" s="121"/>
    </row>
    <row r="183" spans="1:17" ht="29.25" customHeight="1" outlineLevel="1">
      <c r="A183" s="105" t="s">
        <v>4066</v>
      </c>
      <c r="B183" s="106"/>
      <c r="C183" s="117"/>
      <c r="D183" s="110"/>
      <c r="E183" s="107" t="s">
        <v>4122</v>
      </c>
      <c r="F183" s="107"/>
      <c r="G183" s="107"/>
      <c r="H183" s="107"/>
      <c r="I183" s="107"/>
      <c r="J183" s="107"/>
      <c r="K183" s="108"/>
      <c r="L183" s="108"/>
      <c r="M183" s="108"/>
      <c r="N183" s="108"/>
      <c r="O183" s="109"/>
    </row>
    <row r="184" spans="1:17" s="78" customFormat="1" outlineLevel="1">
      <c r="A184" s="110"/>
      <c r="B184" s="110"/>
      <c r="C184" s="1636"/>
      <c r="D184" s="110" t="s">
        <v>4069</v>
      </c>
      <c r="E184" s="110"/>
      <c r="F184" s="110">
        <v>10</v>
      </c>
      <c r="G184" s="110">
        <v>20</v>
      </c>
      <c r="H184" s="110">
        <v>50</v>
      </c>
      <c r="I184" s="110">
        <v>100</v>
      </c>
      <c r="J184" s="110">
        <v>200</v>
      </c>
      <c r="K184" s="110">
        <v>500</v>
      </c>
      <c r="L184" s="111">
        <v>1000</v>
      </c>
      <c r="M184" s="111">
        <v>2000</v>
      </c>
      <c r="N184" s="111">
        <v>5000</v>
      </c>
      <c r="O184" s="111">
        <v>8000</v>
      </c>
      <c r="P184" s="3"/>
      <c r="Q184" s="3"/>
    </row>
    <row r="185" spans="1:17" s="78" customFormat="1" outlineLevel="1">
      <c r="A185" s="1636" t="s">
        <v>237</v>
      </c>
      <c r="B185" s="1637"/>
      <c r="C185" s="1636"/>
      <c r="D185" s="1636"/>
      <c r="E185" s="1636"/>
      <c r="F185" s="1636">
        <v>0.28699999999999998</v>
      </c>
      <c r="G185" s="1636">
        <v>0.27</v>
      </c>
      <c r="H185" s="1636">
        <v>0.14199999999999999</v>
      </c>
      <c r="I185" s="1636">
        <v>8.8999999999999996E-2</v>
      </c>
      <c r="J185" s="1636">
        <v>7.9000000000000001E-2</v>
      </c>
      <c r="K185" s="1636">
        <v>6.6000000000000003E-2</v>
      </c>
      <c r="L185" s="1636">
        <v>4.4999999999999998E-2</v>
      </c>
      <c r="M185" s="1636">
        <v>3.5000000000000003E-2</v>
      </c>
      <c r="N185" s="1636">
        <v>2.7E-2</v>
      </c>
      <c r="O185" s="112">
        <v>2.3E-2</v>
      </c>
      <c r="P185" s="3"/>
      <c r="Q185" s="3"/>
    </row>
    <row r="186" spans="1:17" s="78" customFormat="1" outlineLevel="1">
      <c r="A186" s="1636" t="s">
        <v>252</v>
      </c>
      <c r="B186" s="1637"/>
      <c r="C186" s="1636"/>
      <c r="D186" s="1636"/>
      <c r="E186" s="1636"/>
      <c r="F186" s="1636">
        <v>0.439</v>
      </c>
      <c r="G186" s="1636">
        <v>0.39500000000000002</v>
      </c>
      <c r="H186" s="1636">
        <v>0.224</v>
      </c>
      <c r="I186" s="1636">
        <v>0.14099999999999999</v>
      </c>
      <c r="J186" s="1636">
        <v>0.122</v>
      </c>
      <c r="K186" s="1636">
        <v>0.1</v>
      </c>
      <c r="L186" s="1636">
        <v>6.8000000000000005E-2</v>
      </c>
      <c r="M186" s="1636">
        <v>5.3999999999999999E-2</v>
      </c>
      <c r="N186" s="1636">
        <v>4.1000000000000002E-2</v>
      </c>
      <c r="O186" s="112">
        <v>3.5999999999999997E-2</v>
      </c>
      <c r="P186" s="3"/>
      <c r="Q186" s="3"/>
    </row>
    <row r="187" spans="1:17" s="78" customFormat="1" outlineLevel="1">
      <c r="A187" s="1636" t="s">
        <v>254</v>
      </c>
      <c r="B187" s="1637"/>
      <c r="C187" s="1636"/>
      <c r="D187" s="1636"/>
      <c r="E187" s="1636"/>
      <c r="F187" s="1636">
        <v>0.20399999999999999</v>
      </c>
      <c r="G187" s="1636">
        <v>0.17899999999999999</v>
      </c>
      <c r="H187" s="1636">
        <v>0.10299999999999999</v>
      </c>
      <c r="I187" s="1636">
        <v>6.6000000000000003E-2</v>
      </c>
      <c r="J187" s="1636">
        <v>5.8000000000000003E-2</v>
      </c>
      <c r="K187" s="1636">
        <v>4.5999999999999999E-2</v>
      </c>
      <c r="L187" s="1636">
        <v>3.2000000000000001E-2</v>
      </c>
      <c r="M187" s="1636">
        <v>2.5999999999999999E-2</v>
      </c>
      <c r="N187" s="1636">
        <v>2.1000000000000001E-2</v>
      </c>
      <c r="O187" s="112">
        <v>1.9E-2</v>
      </c>
      <c r="P187" s="3"/>
      <c r="Q187" s="3"/>
    </row>
    <row r="188" spans="1:17" s="78" customFormat="1" outlineLevel="1">
      <c r="A188" s="1636" t="s">
        <v>256</v>
      </c>
      <c r="B188" s="118"/>
      <c r="C188" s="1636"/>
      <c r="D188" s="1636"/>
      <c r="E188" s="1636"/>
      <c r="F188" s="1636">
        <v>0.219</v>
      </c>
      <c r="G188" s="1636">
        <v>0.191</v>
      </c>
      <c r="H188" s="1636">
        <v>0.11</v>
      </c>
      <c r="I188" s="1636">
        <v>7.0000000000000007E-2</v>
      </c>
      <c r="J188" s="1636">
        <v>6.0999999999999999E-2</v>
      </c>
      <c r="K188" s="1636">
        <v>4.9000000000000002E-2</v>
      </c>
      <c r="L188" s="1636">
        <v>0.04</v>
      </c>
      <c r="M188" s="1636">
        <v>0.03</v>
      </c>
      <c r="N188" s="1636">
        <v>2.4E-2</v>
      </c>
      <c r="O188" s="112">
        <v>0.02</v>
      </c>
      <c r="P188" s="3"/>
      <c r="Q188" s="3"/>
    </row>
    <row r="189" spans="1:17" s="78" customFormat="1" outlineLevel="1">
      <c r="A189" s="1636" t="s">
        <v>258</v>
      </c>
      <c r="B189" s="118"/>
      <c r="C189" s="110"/>
      <c r="D189" s="110"/>
      <c r="E189" s="1636"/>
      <c r="F189" s="1636">
        <v>0.23599999999999999</v>
      </c>
      <c r="G189" s="1636">
        <v>0.20300000000000001</v>
      </c>
      <c r="H189" s="1636">
        <v>0.122</v>
      </c>
      <c r="I189" s="1636">
        <v>7.9000000000000001E-2</v>
      </c>
      <c r="J189" s="1636">
        <v>6.8000000000000005E-2</v>
      </c>
      <c r="K189" s="1636">
        <v>5.6000000000000001E-2</v>
      </c>
      <c r="L189" s="1636">
        <v>4.3999999999999997E-2</v>
      </c>
      <c r="M189" s="1636">
        <v>3.4000000000000002E-2</v>
      </c>
      <c r="N189" s="1636">
        <v>2.5999999999999999E-2</v>
      </c>
      <c r="O189" s="112">
        <v>2.1999999999999999E-2</v>
      </c>
      <c r="P189" s="3"/>
      <c r="Q189" s="3"/>
    </row>
    <row r="190" spans="1:17" s="78" customFormat="1" outlineLevel="1">
      <c r="A190" s="1636"/>
      <c r="B190" s="118"/>
      <c r="C190" s="1636"/>
      <c r="D190" s="1636"/>
      <c r="E190" s="1636"/>
      <c r="F190" s="1636"/>
      <c r="G190" s="1636"/>
      <c r="H190" s="1636"/>
      <c r="I190" s="1636"/>
      <c r="J190" s="1636"/>
      <c r="K190" s="1636"/>
      <c r="L190" s="1636"/>
      <c r="M190" s="1636"/>
      <c r="N190" s="1636"/>
      <c r="O190" s="1636"/>
      <c r="P190" s="3"/>
      <c r="Q190" s="3"/>
    </row>
    <row r="191" spans="1:17" s="78" customFormat="1" outlineLevel="1">
      <c r="A191" s="1646"/>
      <c r="B191" s="86"/>
      <c r="C191" s="1646"/>
      <c r="D191" s="1646"/>
      <c r="E191" s="1646"/>
      <c r="F191" s="1646"/>
      <c r="G191" s="1646"/>
      <c r="H191" s="1646"/>
      <c r="I191" s="1646"/>
      <c r="J191" s="1646"/>
      <c r="K191" s="1646"/>
      <c r="L191" s="1646"/>
      <c r="M191" s="1646"/>
      <c r="N191" s="1646"/>
      <c r="O191" s="1646"/>
      <c r="P191" s="3"/>
      <c r="Q191" s="3"/>
    </row>
    <row r="192" spans="1:17" s="1" customFormat="1">
      <c r="A192" s="127" t="s">
        <v>4123</v>
      </c>
      <c r="B192" s="109"/>
      <c r="C192" s="109"/>
      <c r="D192" s="109"/>
      <c r="E192" s="109"/>
      <c r="F192" s="109"/>
      <c r="G192" s="109"/>
      <c r="H192" s="109"/>
      <c r="I192" s="109"/>
      <c r="J192" s="109"/>
      <c r="K192" s="121"/>
      <c r="L192" s="121"/>
      <c r="M192" s="121"/>
      <c r="N192" s="121"/>
      <c r="O192" s="121"/>
      <c r="P192" s="3"/>
      <c r="Q192" s="3"/>
    </row>
    <row r="193" spans="1:17" outlineLevel="1">
      <c r="A193" s="120"/>
      <c r="B193" s="121"/>
      <c r="C193" s="121"/>
      <c r="D193" s="121"/>
      <c r="E193" s="121"/>
      <c r="F193" s="121"/>
      <c r="G193" s="121"/>
      <c r="H193" s="121"/>
      <c r="I193" s="121"/>
      <c r="J193" s="121"/>
      <c r="K193" s="121"/>
      <c r="L193" s="121"/>
      <c r="M193" s="121"/>
      <c r="N193" s="121"/>
      <c r="O193" s="121"/>
    </row>
    <row r="194" spans="1:17" ht="29.25" customHeight="1" outlineLevel="1">
      <c r="A194" s="105" t="s">
        <v>4066</v>
      </c>
      <c r="B194" s="106"/>
      <c r="C194" s="117"/>
      <c r="D194" s="110"/>
      <c r="E194" s="107" t="s">
        <v>4082</v>
      </c>
      <c r="F194" s="107"/>
      <c r="G194" s="107"/>
      <c r="H194" s="107"/>
      <c r="I194" s="107"/>
      <c r="J194" s="107"/>
      <c r="K194" s="108"/>
      <c r="L194" s="108"/>
      <c r="M194" s="108"/>
      <c r="N194" s="108"/>
      <c r="O194" s="109"/>
    </row>
    <row r="195" spans="1:17" s="78" customFormat="1" outlineLevel="1">
      <c r="A195" s="110"/>
      <c r="B195" s="110"/>
      <c r="C195" s="1636"/>
      <c r="D195" s="110" t="s">
        <v>4069</v>
      </c>
      <c r="E195" s="110"/>
      <c r="F195" s="110">
        <v>10</v>
      </c>
      <c r="G195" s="110">
        <v>20</v>
      </c>
      <c r="H195" s="110">
        <v>50</v>
      </c>
      <c r="I195" s="110">
        <v>100</v>
      </c>
      <c r="J195" s="110">
        <v>200</v>
      </c>
      <c r="K195" s="110">
        <v>500</v>
      </c>
      <c r="L195" s="111">
        <v>1000</v>
      </c>
      <c r="M195" s="111">
        <v>2000</v>
      </c>
      <c r="N195" s="111">
        <v>5000</v>
      </c>
      <c r="O195" s="111">
        <v>8000</v>
      </c>
      <c r="P195" s="3"/>
      <c r="Q195" s="3"/>
    </row>
    <row r="196" spans="1:17" s="78" customFormat="1" outlineLevel="1">
      <c r="A196" s="1636" t="s">
        <v>237</v>
      </c>
      <c r="B196" s="1637"/>
      <c r="C196" s="1636"/>
      <c r="D196" s="1636"/>
      <c r="E196" s="1636"/>
      <c r="F196" s="1636">
        <v>2.6280000000000001</v>
      </c>
      <c r="G196" s="1636">
        <v>2.282</v>
      </c>
      <c r="H196" s="1636">
        <v>1.948</v>
      </c>
      <c r="I196" s="1636">
        <v>1.512</v>
      </c>
      <c r="J196" s="1636">
        <v>1.2669999999999999</v>
      </c>
      <c r="K196" s="1636">
        <v>0.97399999999999998</v>
      </c>
      <c r="L196" s="1636">
        <v>0.65300000000000002</v>
      </c>
      <c r="M196" s="1636">
        <v>0.58899999999999997</v>
      </c>
      <c r="N196" s="1636">
        <v>0.52900000000000003</v>
      </c>
      <c r="O196" s="112">
        <v>0.46</v>
      </c>
      <c r="P196" s="3"/>
      <c r="Q196" s="3"/>
    </row>
    <row r="197" spans="1:17" s="78" customFormat="1" outlineLevel="1">
      <c r="A197" s="1636" t="s">
        <v>252</v>
      </c>
      <c r="B197" s="1637"/>
      <c r="C197" s="1636"/>
      <c r="D197" s="1636"/>
      <c r="E197" s="1636"/>
      <c r="F197" s="1636">
        <v>2.806</v>
      </c>
      <c r="G197" s="1636">
        <v>2.5099999999999998</v>
      </c>
      <c r="H197" s="1636">
        <v>2.0470000000000002</v>
      </c>
      <c r="I197" s="1636">
        <v>1.7</v>
      </c>
      <c r="J197" s="1636">
        <v>1.3140000000000001</v>
      </c>
      <c r="K197" s="1636">
        <v>1.0660000000000001</v>
      </c>
      <c r="L197" s="1636">
        <v>0.67400000000000004</v>
      </c>
      <c r="M197" s="1636">
        <v>0.60699999999999998</v>
      </c>
      <c r="N197" s="1636">
        <v>0.54600000000000004</v>
      </c>
      <c r="O197" s="112">
        <v>0.47399999999999998</v>
      </c>
      <c r="P197" s="3"/>
      <c r="Q197" s="3"/>
    </row>
    <row r="198" spans="1:17" s="78" customFormat="1" outlineLevel="1">
      <c r="A198" s="1636" t="s">
        <v>254</v>
      </c>
      <c r="B198" s="1637"/>
      <c r="C198" s="1636"/>
      <c r="D198" s="1636"/>
      <c r="E198" s="1636"/>
      <c r="F198" s="1636">
        <v>2.5619999999999998</v>
      </c>
      <c r="G198" s="1636">
        <v>2.16</v>
      </c>
      <c r="H198" s="1636">
        <v>1.885</v>
      </c>
      <c r="I198" s="1636">
        <v>1.405</v>
      </c>
      <c r="J198" s="1636">
        <v>1.0429999999999999</v>
      </c>
      <c r="K198" s="1636">
        <v>0.82199999999999995</v>
      </c>
      <c r="L198" s="1636">
        <v>0.59899999999999998</v>
      </c>
      <c r="M198" s="1636">
        <v>0.53900000000000003</v>
      </c>
      <c r="N198" s="1636">
        <v>0.48499999999999999</v>
      </c>
      <c r="O198" s="112">
        <v>0.42199999999999999</v>
      </c>
      <c r="P198" s="3"/>
      <c r="Q198" s="3"/>
    </row>
    <row r="199" spans="1:17" s="78" customFormat="1" outlineLevel="1">
      <c r="A199" s="1636" t="s">
        <v>256</v>
      </c>
      <c r="B199" s="118"/>
      <c r="C199" s="1636"/>
      <c r="D199" s="1636"/>
      <c r="E199" s="1636"/>
      <c r="F199" s="1636">
        <v>2.0790000000000002</v>
      </c>
      <c r="G199" s="1636">
        <v>1.8340000000000001</v>
      </c>
      <c r="H199" s="1636">
        <v>1.66</v>
      </c>
      <c r="I199" s="1636">
        <v>1.266</v>
      </c>
      <c r="J199" s="1636">
        <v>0.97399999999999998</v>
      </c>
      <c r="K199" s="1636">
        <v>0.77900000000000003</v>
      </c>
      <c r="L199" s="1636">
        <v>0.51800000000000002</v>
      </c>
      <c r="M199" s="1636">
        <v>0.46600000000000003</v>
      </c>
      <c r="N199" s="1636">
        <v>0.41899999999999998</v>
      </c>
      <c r="O199" s="112">
        <v>0.36399999999999999</v>
      </c>
      <c r="P199" s="3"/>
      <c r="Q199" s="3"/>
    </row>
    <row r="200" spans="1:17" s="78" customFormat="1" outlineLevel="1">
      <c r="A200" s="1636" t="s">
        <v>258</v>
      </c>
      <c r="B200" s="118"/>
      <c r="C200" s="110"/>
      <c r="D200" s="110"/>
      <c r="E200" s="1636"/>
      <c r="F200" s="1636">
        <v>2.0529999999999999</v>
      </c>
      <c r="G200" s="1636">
        <v>1.8049999999999999</v>
      </c>
      <c r="H200" s="1636">
        <v>1.5880000000000001</v>
      </c>
      <c r="I200" s="1636">
        <v>1.198</v>
      </c>
      <c r="J200" s="1636">
        <v>0.93600000000000005</v>
      </c>
      <c r="K200" s="1636">
        <v>0.748</v>
      </c>
      <c r="L200" s="1636">
        <v>0.47799999999999998</v>
      </c>
      <c r="M200" s="1636">
        <v>0.43099999999999999</v>
      </c>
      <c r="N200" s="1636">
        <v>0.38800000000000001</v>
      </c>
      <c r="O200" s="112">
        <v>0.33700000000000002</v>
      </c>
      <c r="P200" s="3"/>
      <c r="Q200" s="3"/>
    </row>
    <row r="201" spans="1:17" s="78" customFormat="1" outlineLevel="1">
      <c r="A201" s="1636"/>
      <c r="B201" s="118"/>
      <c r="C201" s="1636"/>
      <c r="D201" s="1636"/>
      <c r="E201" s="1636"/>
      <c r="F201" s="1636"/>
      <c r="G201" s="1636"/>
      <c r="H201" s="1636"/>
      <c r="I201" s="1636"/>
      <c r="J201" s="1636"/>
      <c r="K201" s="1636"/>
      <c r="L201" s="1636"/>
      <c r="M201" s="1636"/>
      <c r="N201" s="1636"/>
      <c r="O201" s="1636"/>
      <c r="P201" s="3"/>
      <c r="Q201" s="3"/>
    </row>
    <row r="202" spans="1:17" s="78" customFormat="1" outlineLevel="1">
      <c r="A202" s="1646"/>
      <c r="B202" s="86"/>
      <c r="C202" s="1646"/>
      <c r="D202" s="1646"/>
      <c r="E202" s="1646"/>
      <c r="F202" s="1646"/>
      <c r="G202" s="1646"/>
      <c r="H202" s="1646"/>
      <c r="I202" s="1646"/>
      <c r="J202" s="1646"/>
      <c r="K202" s="1646"/>
      <c r="L202" s="1646"/>
      <c r="M202" s="1646"/>
      <c r="N202" s="1646"/>
      <c r="O202" s="1646"/>
      <c r="P202" s="3"/>
      <c r="Q202" s="3"/>
    </row>
    <row r="203" spans="1:17" s="1" customFormat="1">
      <c r="A203" s="127" t="s">
        <v>4124</v>
      </c>
      <c r="B203" s="109"/>
      <c r="C203" s="109"/>
      <c r="D203" s="109"/>
      <c r="E203" s="109"/>
      <c r="F203" s="109"/>
      <c r="G203" s="109"/>
      <c r="H203" s="109"/>
      <c r="I203" s="109"/>
      <c r="J203" s="109"/>
      <c r="K203" s="121"/>
      <c r="L203" s="121"/>
      <c r="M203" s="121"/>
      <c r="N203" s="121"/>
      <c r="O203" s="121"/>
      <c r="P203" s="3"/>
      <c r="Q203" s="3"/>
    </row>
    <row r="204" spans="1:17" outlineLevel="1">
      <c r="A204" s="120"/>
      <c r="B204" s="121"/>
      <c r="C204" s="121"/>
      <c r="D204" s="121"/>
      <c r="E204" s="121"/>
      <c r="F204" s="121"/>
      <c r="G204" s="121"/>
      <c r="H204" s="121"/>
      <c r="I204" s="121"/>
      <c r="J204" s="121"/>
      <c r="K204" s="121"/>
      <c r="L204" s="121"/>
      <c r="M204" s="121"/>
      <c r="N204" s="121"/>
      <c r="O204" s="121"/>
    </row>
    <row r="205" spans="1:17" ht="29.25" customHeight="1" outlineLevel="1">
      <c r="A205" s="105" t="s">
        <v>4066</v>
      </c>
      <c r="B205" s="106"/>
      <c r="C205" s="117"/>
      <c r="D205" s="110"/>
      <c r="E205" s="107" t="s">
        <v>4125</v>
      </c>
      <c r="F205" s="107"/>
      <c r="G205" s="107"/>
      <c r="H205" s="107"/>
      <c r="I205" s="107"/>
      <c r="J205" s="107"/>
      <c r="K205" s="108"/>
      <c r="L205" s="108"/>
      <c r="M205" s="108"/>
      <c r="N205" s="108"/>
      <c r="O205" s="109"/>
    </row>
    <row r="206" spans="1:17" s="78" customFormat="1" outlineLevel="1">
      <c r="A206" s="110"/>
      <c r="B206" s="110"/>
      <c r="C206" s="1636"/>
      <c r="D206" s="110" t="s">
        <v>4069</v>
      </c>
      <c r="E206" s="110"/>
      <c r="F206" s="110">
        <v>10</v>
      </c>
      <c r="G206" s="110">
        <v>20</v>
      </c>
      <c r="H206" s="110">
        <v>50</v>
      </c>
      <c r="I206" s="110">
        <v>100</v>
      </c>
      <c r="J206" s="110">
        <v>200</v>
      </c>
      <c r="K206" s="110">
        <v>500</v>
      </c>
      <c r="L206" s="111">
        <v>1000</v>
      </c>
      <c r="M206" s="111">
        <v>2000</v>
      </c>
      <c r="N206" s="111">
        <v>5000</v>
      </c>
      <c r="O206" s="111">
        <v>8000</v>
      </c>
      <c r="P206" s="3"/>
      <c r="Q206" s="3"/>
    </row>
    <row r="207" spans="1:17" s="78" customFormat="1" outlineLevel="1">
      <c r="A207" s="1636" t="s">
        <v>237</v>
      </c>
      <c r="B207" s="1637"/>
      <c r="C207" s="1636"/>
      <c r="D207" s="1636"/>
      <c r="E207" s="1636"/>
      <c r="F207" s="1636">
        <v>0.67500000000000004</v>
      </c>
      <c r="G207" s="1636">
        <v>0.57199999999999995</v>
      </c>
      <c r="H207" s="1636">
        <v>0.47699999999999998</v>
      </c>
      <c r="I207" s="1636">
        <v>0.315</v>
      </c>
      <c r="J207" s="1636">
        <v>0.25</v>
      </c>
      <c r="K207" s="1636">
        <v>0.214</v>
      </c>
      <c r="L207" s="1636">
        <v>0.14399999999999999</v>
      </c>
      <c r="M207" s="1636">
        <v>0.13</v>
      </c>
      <c r="N207" s="1636">
        <v>0.11700000000000001</v>
      </c>
      <c r="O207" s="1636">
        <v>0.10199999999999999</v>
      </c>
      <c r="P207" s="3"/>
      <c r="Q207" s="3"/>
    </row>
    <row r="208" spans="1:17" s="78" customFormat="1" outlineLevel="1">
      <c r="A208" s="1636" t="s">
        <v>252</v>
      </c>
      <c r="B208" s="1637"/>
      <c r="C208" s="1636"/>
      <c r="D208" s="1636"/>
      <c r="E208" s="1636"/>
      <c r="F208" s="1636">
        <v>0.91800000000000004</v>
      </c>
      <c r="G208" s="1636">
        <v>0.80400000000000005</v>
      </c>
      <c r="H208" s="1636">
        <v>0.76700000000000002</v>
      </c>
      <c r="I208" s="1636">
        <v>0.64900000000000002</v>
      </c>
      <c r="J208" s="1636">
        <v>0.40200000000000002</v>
      </c>
      <c r="K208" s="1636">
        <v>0.34599999999999997</v>
      </c>
      <c r="L208" s="1636">
        <v>0.29199999999999998</v>
      </c>
      <c r="M208" s="1636">
        <v>0.26200000000000001</v>
      </c>
      <c r="N208" s="1636">
        <v>0.23499999999999999</v>
      </c>
      <c r="O208" s="1636">
        <v>0.20399999999999999</v>
      </c>
      <c r="P208" s="3"/>
      <c r="Q208" s="3"/>
    </row>
    <row r="209" spans="1:18" s="78" customFormat="1" outlineLevel="1">
      <c r="A209" s="1636" t="s">
        <v>254</v>
      </c>
      <c r="B209" s="1637"/>
      <c r="C209" s="1636"/>
      <c r="D209" s="1636"/>
      <c r="E209" s="1636"/>
      <c r="F209" s="1636">
        <v>0.54200000000000004</v>
      </c>
      <c r="G209" s="1636">
        <v>0.46400000000000002</v>
      </c>
      <c r="H209" s="1636">
        <v>0.38900000000000001</v>
      </c>
      <c r="I209" s="1636">
        <v>0.25600000000000001</v>
      </c>
      <c r="J209" s="1636">
        <v>0.214</v>
      </c>
      <c r="K209" s="1636">
        <v>0.17799999999999999</v>
      </c>
      <c r="L209" s="1636">
        <v>0.12</v>
      </c>
      <c r="M209" s="1636">
        <v>0.108</v>
      </c>
      <c r="N209" s="1636">
        <v>9.7000000000000003E-2</v>
      </c>
      <c r="O209" s="1636">
        <v>8.4000000000000005E-2</v>
      </c>
      <c r="P209" s="3"/>
      <c r="Q209" s="3"/>
      <c r="R209" s="3"/>
    </row>
    <row r="210" spans="1:18" s="78" customFormat="1" outlineLevel="1">
      <c r="A210" s="1636" t="s">
        <v>256</v>
      </c>
      <c r="B210" s="118"/>
      <c r="C210" s="1636"/>
      <c r="D210" s="1636"/>
      <c r="E210" s="1636"/>
      <c r="F210" s="1636">
        <v>0.57399999999999995</v>
      </c>
      <c r="G210" s="1636">
        <v>0.46800000000000003</v>
      </c>
      <c r="H210" s="1636">
        <v>0.41599999999999998</v>
      </c>
      <c r="I210" s="1636">
        <v>0.27500000000000002</v>
      </c>
      <c r="J210" s="1636">
        <v>0.22600000000000001</v>
      </c>
      <c r="K210" s="1636">
        <v>0.19</v>
      </c>
      <c r="L210" s="1636">
        <v>0.13</v>
      </c>
      <c r="M210" s="1636">
        <v>0.11700000000000001</v>
      </c>
      <c r="N210" s="1636">
        <v>0.105</v>
      </c>
      <c r="O210" s="1636">
        <v>9.0999999999999998E-2</v>
      </c>
      <c r="P210" s="3"/>
      <c r="Q210" s="3"/>
      <c r="R210" s="3"/>
    </row>
    <row r="211" spans="1:18" s="78" customFormat="1" outlineLevel="1">
      <c r="A211" s="1636" t="s">
        <v>258</v>
      </c>
      <c r="B211" s="118"/>
      <c r="C211" s="110"/>
      <c r="D211" s="110"/>
      <c r="E211" s="1636"/>
      <c r="F211" s="1636">
        <v>0.64300000000000002</v>
      </c>
      <c r="G211" s="1636">
        <v>0.55200000000000005</v>
      </c>
      <c r="H211" s="1636">
        <v>0.46</v>
      </c>
      <c r="I211" s="1636">
        <v>0.307</v>
      </c>
      <c r="J211" s="1636">
        <v>0.246</v>
      </c>
      <c r="K211" s="1636">
        <v>0.214</v>
      </c>
      <c r="L211" s="1636">
        <v>0.14199999999999999</v>
      </c>
      <c r="M211" s="1636">
        <v>0.127</v>
      </c>
      <c r="N211" s="1636">
        <v>0.114</v>
      </c>
      <c r="O211" s="1636">
        <v>9.9000000000000005E-2</v>
      </c>
      <c r="P211" s="3"/>
      <c r="Q211" s="3"/>
      <c r="R211" s="3"/>
    </row>
    <row r="212" spans="1:18" s="78" customFormat="1" outlineLevel="1">
      <c r="A212" s="1636"/>
      <c r="B212" s="118"/>
      <c r="C212" s="1636"/>
      <c r="D212" s="1636"/>
      <c r="E212" s="1636"/>
      <c r="F212" s="1636"/>
      <c r="G212" s="1636"/>
      <c r="H212" s="1636"/>
      <c r="I212" s="1636"/>
      <c r="J212" s="1636"/>
      <c r="K212" s="1636"/>
      <c r="L212" s="1636"/>
      <c r="M212" s="1636"/>
      <c r="N212" s="1636"/>
      <c r="O212" s="1636"/>
      <c r="P212" s="3"/>
      <c r="Q212" s="3"/>
      <c r="R212" s="3"/>
    </row>
    <row r="213" spans="1:18" s="78" customFormat="1" outlineLevel="1">
      <c r="A213" s="1646"/>
      <c r="B213" s="86"/>
      <c r="C213" s="1646"/>
      <c r="D213" s="1646"/>
      <c r="E213" s="1646"/>
      <c r="F213" s="1646"/>
      <c r="G213" s="1646"/>
      <c r="H213" s="1646"/>
      <c r="I213" s="1646"/>
      <c r="J213" s="1646"/>
      <c r="K213" s="1646"/>
      <c r="L213" s="1646"/>
      <c r="M213" s="1646"/>
      <c r="N213" s="1646"/>
      <c r="O213" s="1646"/>
      <c r="P213" s="3"/>
      <c r="Q213" s="3"/>
      <c r="R213" s="3"/>
    </row>
    <row r="214" spans="1:18" s="1" customFormat="1">
      <c r="A214" s="76" t="s">
        <v>4126</v>
      </c>
      <c r="B214" s="75"/>
      <c r="C214" s="75"/>
      <c r="D214" s="75"/>
      <c r="E214" s="75"/>
      <c r="F214" s="75"/>
      <c r="G214" s="75"/>
      <c r="H214" s="75"/>
      <c r="I214" s="75"/>
      <c r="J214" s="75"/>
      <c r="K214" s="3"/>
      <c r="L214" s="3"/>
      <c r="M214" s="3"/>
      <c r="N214" s="3"/>
      <c r="O214" s="3"/>
      <c r="P214" s="3"/>
      <c r="Q214" s="3"/>
    </row>
    <row r="215" spans="1:18" outlineLevel="1">
      <c r="A215" s="2"/>
    </row>
    <row r="216" spans="1:18" ht="29.25" customHeight="1" outlineLevel="1">
      <c r="A216" s="148" t="s">
        <v>4066</v>
      </c>
      <c r="B216" s="149"/>
      <c r="C216" s="150"/>
      <c r="D216" s="151"/>
      <c r="E216" s="157" t="s">
        <v>4127</v>
      </c>
      <c r="F216" s="153"/>
      <c r="G216" s="153"/>
      <c r="H216" s="153"/>
      <c r="I216" s="153"/>
      <c r="J216" s="153"/>
      <c r="K216" s="154"/>
      <c r="L216" s="154"/>
      <c r="M216" s="154"/>
      <c r="N216" s="154"/>
      <c r="O216" s="155"/>
    </row>
    <row r="217" spans="1:18" s="78" customFormat="1" outlineLevel="1">
      <c r="A217" s="94"/>
      <c r="B217" s="94" t="s">
        <v>4069</v>
      </c>
      <c r="C217" s="4">
        <v>0.5</v>
      </c>
      <c r="D217" s="94">
        <v>1</v>
      </c>
      <c r="E217" s="94">
        <v>5</v>
      </c>
      <c r="F217" s="94">
        <v>15</v>
      </c>
      <c r="G217" s="94">
        <v>25</v>
      </c>
      <c r="H217" s="94">
        <v>50</v>
      </c>
      <c r="I217" s="94">
        <v>100</v>
      </c>
      <c r="J217" s="94">
        <v>200</v>
      </c>
      <c r="K217" s="94">
        <v>500</v>
      </c>
      <c r="L217" s="101">
        <v>1000</v>
      </c>
      <c r="M217" s="101">
        <v>2000</v>
      </c>
      <c r="N217" s="101">
        <v>5000</v>
      </c>
      <c r="O217" s="101">
        <v>10000</v>
      </c>
      <c r="P217" s="3">
        <v>10000000000000</v>
      </c>
      <c r="Q217" s="67">
        <f>P217*10^-9</f>
        <v>10000</v>
      </c>
      <c r="R217" s="3">
        <v>1E-3</v>
      </c>
    </row>
    <row r="218" spans="1:18" s="78" customFormat="1" outlineLevel="1">
      <c r="A218" s="69" t="s">
        <v>237</v>
      </c>
      <c r="B218" s="68"/>
      <c r="C218" s="69"/>
      <c r="D218" s="69">
        <v>2.5000000000000001E-2</v>
      </c>
      <c r="E218" s="69">
        <v>2.3E-2</v>
      </c>
      <c r="F218" s="69">
        <v>1.9E-2</v>
      </c>
      <c r="G218" s="69">
        <v>1.7000000000000001E-2</v>
      </c>
      <c r="H218" s="69">
        <v>1.4999999999999999E-2</v>
      </c>
      <c r="I218" s="69">
        <v>1.2500000000000001E-2</v>
      </c>
      <c r="J218" s="69">
        <v>0.01</v>
      </c>
      <c r="K218" s="69">
        <v>7.4999999999999997E-3</v>
      </c>
      <c r="L218" s="69">
        <v>4.7000000000000002E-3</v>
      </c>
      <c r="M218" s="69">
        <v>2.5000000000000001E-3</v>
      </c>
      <c r="N218" s="112">
        <v>2E-3</v>
      </c>
      <c r="O218" s="112">
        <v>1E-3</v>
      </c>
      <c r="P218" s="3">
        <v>5000000000000</v>
      </c>
      <c r="Q218" s="67">
        <f t="shared" ref="Q218:Q226" si="0">P218*10^-9</f>
        <v>5000</v>
      </c>
      <c r="R218" s="3">
        <v>2E-3</v>
      </c>
    </row>
    <row r="219" spans="1:18" s="78" customFormat="1" outlineLevel="1">
      <c r="A219" s="69" t="s">
        <v>252</v>
      </c>
      <c r="B219" s="68"/>
      <c r="C219" s="69"/>
      <c r="D219" s="69">
        <v>2.5000000000000001E-2</v>
      </c>
      <c r="E219" s="69">
        <v>2.3E-2</v>
      </c>
      <c r="F219" s="69">
        <v>1.9E-2</v>
      </c>
      <c r="G219" s="69">
        <v>1.7000000000000001E-2</v>
      </c>
      <c r="H219" s="69">
        <v>1.4999999999999999E-2</v>
      </c>
      <c r="I219" s="69">
        <v>1.2500000000000001E-2</v>
      </c>
      <c r="J219" s="69">
        <v>0.01</v>
      </c>
      <c r="K219" s="69">
        <v>7.4999999999999997E-3</v>
      </c>
      <c r="L219" s="69">
        <v>4.7000000000000002E-3</v>
      </c>
      <c r="M219" s="69">
        <v>2.5000000000000001E-3</v>
      </c>
      <c r="N219" s="112">
        <v>2E-3</v>
      </c>
      <c r="O219" s="112">
        <v>1E-3</v>
      </c>
      <c r="P219" s="3">
        <v>2000000000000</v>
      </c>
      <c r="Q219" s="67">
        <f t="shared" si="0"/>
        <v>2000.0000000000002</v>
      </c>
      <c r="R219" s="3">
        <v>2.5000000000000001E-3</v>
      </c>
    </row>
    <row r="220" spans="1:18" s="78" customFormat="1" outlineLevel="1">
      <c r="A220" s="69" t="s">
        <v>254</v>
      </c>
      <c r="B220" s="68"/>
      <c r="C220" s="69"/>
      <c r="D220" s="69">
        <v>2.5000000000000001E-2</v>
      </c>
      <c r="E220" s="69">
        <v>2.3E-2</v>
      </c>
      <c r="F220" s="69">
        <v>1.9E-2</v>
      </c>
      <c r="G220" s="69">
        <v>1.7000000000000001E-2</v>
      </c>
      <c r="H220" s="69">
        <v>1.4999999999999999E-2</v>
      </c>
      <c r="I220" s="69">
        <v>1.2500000000000001E-2</v>
      </c>
      <c r="J220" s="69">
        <v>0.01</v>
      </c>
      <c r="K220" s="69">
        <v>7.4999999999999997E-3</v>
      </c>
      <c r="L220" s="69">
        <v>4.7000000000000002E-3</v>
      </c>
      <c r="M220" s="69">
        <v>2.5000000000000001E-3</v>
      </c>
      <c r="N220" s="112">
        <v>2E-3</v>
      </c>
      <c r="O220" s="112">
        <v>1E-3</v>
      </c>
      <c r="P220" s="3">
        <v>1000000000000</v>
      </c>
      <c r="Q220" s="67">
        <f t="shared" si="0"/>
        <v>1000.0000000000001</v>
      </c>
      <c r="R220" s="3">
        <v>4.7000000000000002E-3</v>
      </c>
    </row>
    <row r="221" spans="1:18" s="78" customFormat="1" outlineLevel="1">
      <c r="A221" s="69" t="s">
        <v>256</v>
      </c>
      <c r="B221" s="84"/>
      <c r="C221" s="69"/>
      <c r="D221" s="69">
        <v>2.5000000000000001E-2</v>
      </c>
      <c r="E221" s="69">
        <v>2.3E-2</v>
      </c>
      <c r="F221" s="69">
        <v>1.9E-2</v>
      </c>
      <c r="G221" s="69">
        <v>1.7000000000000001E-2</v>
      </c>
      <c r="H221" s="69">
        <v>1.4999999999999999E-2</v>
      </c>
      <c r="I221" s="69">
        <v>1.2500000000000001E-2</v>
      </c>
      <c r="J221" s="69">
        <v>0.01</v>
      </c>
      <c r="K221" s="69">
        <v>7.4999999999999997E-3</v>
      </c>
      <c r="L221" s="69">
        <v>4.7000000000000002E-3</v>
      </c>
      <c r="M221" s="69">
        <v>2.5000000000000001E-3</v>
      </c>
      <c r="N221" s="112">
        <v>2E-3</v>
      </c>
      <c r="O221" s="112">
        <v>1E-3</v>
      </c>
      <c r="P221" s="3">
        <v>500000000000</v>
      </c>
      <c r="Q221" s="67">
        <f t="shared" si="0"/>
        <v>500.00000000000006</v>
      </c>
      <c r="R221" s="3">
        <v>7.4999999999999997E-3</v>
      </c>
    </row>
    <row r="222" spans="1:18" s="78" customFormat="1" outlineLevel="1">
      <c r="A222" s="69" t="s">
        <v>258</v>
      </c>
      <c r="B222" s="84"/>
      <c r="C222" s="94"/>
      <c r="D222" s="69">
        <v>2.5000000000000001E-2</v>
      </c>
      <c r="E222" s="69">
        <v>2.3E-2</v>
      </c>
      <c r="F222" s="69">
        <v>1.9E-2</v>
      </c>
      <c r="G222" s="69">
        <v>1.7000000000000001E-2</v>
      </c>
      <c r="H222" s="69">
        <v>1.4999999999999999E-2</v>
      </c>
      <c r="I222" s="69">
        <v>1.2500000000000001E-2</v>
      </c>
      <c r="J222" s="69">
        <v>0.01</v>
      </c>
      <c r="K222" s="69">
        <v>7.4999999999999997E-3</v>
      </c>
      <c r="L222" s="69">
        <v>4.7000000000000002E-3</v>
      </c>
      <c r="M222" s="69">
        <v>2.5000000000000001E-3</v>
      </c>
      <c r="N222" s="112">
        <v>2E-3</v>
      </c>
      <c r="O222" s="112">
        <v>1E-3</v>
      </c>
      <c r="P222" s="3">
        <v>200000000000</v>
      </c>
      <c r="Q222" s="67">
        <f t="shared" si="0"/>
        <v>200</v>
      </c>
      <c r="R222" s="3">
        <v>0.01</v>
      </c>
    </row>
    <row r="223" spans="1:18" s="78" customFormat="1" outlineLevel="1">
      <c r="A223" s="69"/>
      <c r="B223" s="84"/>
      <c r="C223" s="69"/>
      <c r="D223" s="69"/>
      <c r="E223" s="69"/>
      <c r="F223" s="69"/>
      <c r="G223" s="69"/>
      <c r="H223" s="69"/>
      <c r="I223" s="69"/>
      <c r="J223" s="69"/>
      <c r="K223" s="69"/>
      <c r="L223" s="69"/>
      <c r="M223" s="69"/>
      <c r="N223" s="69"/>
      <c r="O223" s="69"/>
      <c r="P223" s="3">
        <v>100000000000</v>
      </c>
      <c r="Q223" s="67">
        <f t="shared" si="0"/>
        <v>100</v>
      </c>
      <c r="R223" s="3">
        <v>1.2500000000000001E-2</v>
      </c>
    </row>
    <row r="224" spans="1:18" s="78" customFormat="1" outlineLevel="1">
      <c r="A224" s="1646"/>
      <c r="B224" s="86"/>
      <c r="C224" s="1646"/>
      <c r="D224" s="1646"/>
      <c r="E224" s="1646"/>
      <c r="F224" s="1646"/>
      <c r="G224" s="1646"/>
      <c r="H224" s="1646"/>
      <c r="I224" s="1646"/>
      <c r="J224" s="1646"/>
      <c r="K224" s="1646"/>
      <c r="L224" s="1646"/>
      <c r="M224" s="1646"/>
      <c r="N224" s="1646"/>
      <c r="O224" s="1646"/>
      <c r="P224" s="3">
        <v>50000000000</v>
      </c>
      <c r="Q224" s="67">
        <f t="shared" si="0"/>
        <v>50</v>
      </c>
      <c r="R224" s="3">
        <v>1.4999999999999999E-2</v>
      </c>
    </row>
    <row r="225" spans="1:18" s="1" customFormat="1">
      <c r="A225" s="76" t="s">
        <v>4128</v>
      </c>
      <c r="B225" s="75"/>
      <c r="C225" s="75"/>
      <c r="D225" s="75"/>
      <c r="E225" s="75"/>
      <c r="F225" s="75"/>
      <c r="G225" s="75"/>
      <c r="H225" s="75"/>
      <c r="I225" s="75"/>
      <c r="J225" s="75"/>
      <c r="K225" s="3"/>
      <c r="L225" s="3"/>
      <c r="M225" s="3"/>
      <c r="N225" s="3"/>
      <c r="O225" s="3"/>
      <c r="P225" s="3">
        <v>25000000000</v>
      </c>
      <c r="Q225" s="67">
        <f t="shared" si="0"/>
        <v>25</v>
      </c>
      <c r="R225" s="1">
        <v>1.7000000000000001E-2</v>
      </c>
    </row>
    <row r="226" spans="1:18" outlineLevel="1">
      <c r="A226" s="2"/>
      <c r="P226" s="3">
        <v>15000000000</v>
      </c>
      <c r="Q226" s="67">
        <f t="shared" si="0"/>
        <v>15.000000000000002</v>
      </c>
      <c r="R226" s="3">
        <v>1.9E-2</v>
      </c>
    </row>
    <row r="227" spans="1:18" ht="29.25" customHeight="1" outlineLevel="1">
      <c r="A227" s="148" t="s">
        <v>4066</v>
      </c>
      <c r="B227" s="149"/>
      <c r="C227" s="150"/>
      <c r="D227" s="151"/>
      <c r="E227" s="157" t="s">
        <v>4082</v>
      </c>
      <c r="F227" s="153"/>
      <c r="G227" s="153"/>
      <c r="H227" s="153"/>
      <c r="I227" s="153"/>
      <c r="J227" s="153"/>
      <c r="K227" s="154"/>
      <c r="L227" s="154"/>
      <c r="M227" s="154"/>
      <c r="N227" s="154"/>
      <c r="O227" s="155"/>
    </row>
    <row r="228" spans="1:18" s="78" customFormat="1" outlineLevel="1">
      <c r="A228" s="94"/>
      <c r="B228" s="94" t="s">
        <v>4069</v>
      </c>
      <c r="C228" s="4">
        <v>0.5</v>
      </c>
      <c r="D228" s="94">
        <v>1</v>
      </c>
      <c r="E228" s="94">
        <v>5</v>
      </c>
      <c r="F228" s="94">
        <v>15</v>
      </c>
      <c r="G228" s="94">
        <v>25</v>
      </c>
      <c r="H228" s="94">
        <v>50</v>
      </c>
      <c r="I228" s="94">
        <v>100</v>
      </c>
      <c r="J228" s="94">
        <v>200</v>
      </c>
      <c r="K228" s="94">
        <v>500</v>
      </c>
      <c r="L228" s="101">
        <v>1000</v>
      </c>
      <c r="M228" s="101">
        <v>2000</v>
      </c>
      <c r="N228" s="101">
        <v>5000</v>
      </c>
      <c r="O228" s="101">
        <v>8000</v>
      </c>
      <c r="P228" s="3"/>
      <c r="Q228" s="3"/>
      <c r="R228" s="3"/>
    </row>
    <row r="229" spans="1:18" s="78" customFormat="1" outlineLevel="1">
      <c r="A229" s="69" t="s">
        <v>237</v>
      </c>
      <c r="B229" s="68">
        <f t="shared" ref="B229:B234" si="1">F229</f>
        <v>0.16500000000000001</v>
      </c>
      <c r="C229" s="103">
        <f t="shared" ref="C229:C234" si="2">F229</f>
        <v>0.16500000000000001</v>
      </c>
      <c r="D229" s="69">
        <f t="shared" ref="D229:D234" si="3">F229</f>
        <v>0.16500000000000001</v>
      </c>
      <c r="E229" s="69">
        <f t="shared" ref="E229:E234" si="4">F229</f>
        <v>0.16500000000000001</v>
      </c>
      <c r="F229" s="69">
        <v>0.16500000000000001</v>
      </c>
      <c r="G229" s="69">
        <f t="shared" ref="G229:G234" si="5">F229-(F229-H229)/($H$228-$F$228)*($G$228-$F$228)</f>
        <v>0.1492857142857143</v>
      </c>
      <c r="H229" s="69">
        <v>0.11</v>
      </c>
      <c r="I229" s="69">
        <v>8.5000000000000006E-2</v>
      </c>
      <c r="J229" s="69">
        <v>6.5000000000000002E-2</v>
      </c>
      <c r="K229" s="69">
        <v>0.05</v>
      </c>
      <c r="L229" s="69">
        <v>4.1000000000000002E-2</v>
      </c>
      <c r="M229" s="69">
        <v>2.9000000000000001E-2</v>
      </c>
      <c r="N229" s="112">
        <v>2.1999999999999999E-2</v>
      </c>
      <c r="O229" s="112">
        <v>1.9E-2</v>
      </c>
      <c r="P229" s="3"/>
      <c r="Q229" s="3"/>
      <c r="R229" s="3"/>
    </row>
    <row r="230" spans="1:18" s="78" customFormat="1" outlineLevel="1">
      <c r="A230" s="69" t="s">
        <v>252</v>
      </c>
      <c r="B230" s="68">
        <f t="shared" si="1"/>
        <v>0.19</v>
      </c>
      <c r="C230" s="103">
        <f t="shared" si="2"/>
        <v>0.19</v>
      </c>
      <c r="D230" s="69">
        <f t="shared" si="3"/>
        <v>0.19</v>
      </c>
      <c r="E230" s="69">
        <f t="shared" si="4"/>
        <v>0.19</v>
      </c>
      <c r="F230" s="69">
        <v>0.19</v>
      </c>
      <c r="G230" s="69">
        <f t="shared" si="5"/>
        <v>0.17171428571428571</v>
      </c>
      <c r="H230" s="69">
        <v>0.126</v>
      </c>
      <c r="I230" s="69">
        <v>9.7000000000000003E-2</v>
      </c>
      <c r="J230" s="69">
        <v>7.4999999999999997E-2</v>
      </c>
      <c r="K230" s="69">
        <v>5.8000000000000003E-2</v>
      </c>
      <c r="L230" s="69">
        <v>4.3999999999999997E-2</v>
      </c>
      <c r="M230" s="69">
        <v>3.5000000000000003E-2</v>
      </c>
      <c r="N230" s="112">
        <v>2.5999999999999999E-2</v>
      </c>
      <c r="O230" s="112">
        <v>2.1999999999999999E-2</v>
      </c>
      <c r="P230" s="3"/>
      <c r="Q230" s="3"/>
      <c r="R230" s="3"/>
    </row>
    <row r="231" spans="1:18" s="78" customFormat="1" outlineLevel="1">
      <c r="A231" s="69" t="s">
        <v>254</v>
      </c>
      <c r="B231" s="68">
        <f t="shared" si="1"/>
        <v>0.109</v>
      </c>
      <c r="C231" s="103">
        <f t="shared" si="2"/>
        <v>0.109</v>
      </c>
      <c r="D231" s="69">
        <f t="shared" si="3"/>
        <v>0.109</v>
      </c>
      <c r="E231" s="69">
        <f t="shared" si="4"/>
        <v>0.109</v>
      </c>
      <c r="F231" s="69">
        <v>0.109</v>
      </c>
      <c r="G231" s="69">
        <f t="shared" si="5"/>
        <v>9.8428571428571421E-2</v>
      </c>
      <c r="H231" s="69">
        <v>7.1999999999999995E-2</v>
      </c>
      <c r="I231" s="69">
        <v>5.5E-2</v>
      </c>
      <c r="J231" s="69">
        <v>4.2999999999999997E-2</v>
      </c>
      <c r="K231" s="69">
        <v>3.3000000000000002E-2</v>
      </c>
      <c r="L231" s="69">
        <v>2.5000000000000001E-2</v>
      </c>
      <c r="M231" s="69">
        <v>2.1000000000000001E-2</v>
      </c>
      <c r="N231" s="112">
        <v>1.6E-2</v>
      </c>
      <c r="O231" s="112">
        <v>1.4E-2</v>
      </c>
      <c r="P231" s="3"/>
      <c r="Q231" s="3"/>
      <c r="R231" s="3"/>
    </row>
    <row r="232" spans="1:18" s="78" customFormat="1" outlineLevel="1">
      <c r="A232" s="156" t="s">
        <v>4129</v>
      </c>
      <c r="B232" s="68">
        <f t="shared" si="1"/>
        <v>0.121</v>
      </c>
      <c r="C232" s="103">
        <f t="shared" si="2"/>
        <v>0.121</v>
      </c>
      <c r="D232" s="69">
        <f t="shared" si="3"/>
        <v>0.121</v>
      </c>
      <c r="E232" s="69">
        <f t="shared" si="4"/>
        <v>0.121</v>
      </c>
      <c r="F232" s="69">
        <v>0.121</v>
      </c>
      <c r="G232" s="69">
        <f t="shared" si="5"/>
        <v>0.10928571428571428</v>
      </c>
      <c r="H232" s="69">
        <v>0.08</v>
      </c>
      <c r="I232" s="69">
        <v>6.0999999999999999E-2</v>
      </c>
      <c r="J232" s="69">
        <v>4.8000000000000001E-2</v>
      </c>
      <c r="K232" s="69">
        <v>3.6999999999999998E-2</v>
      </c>
      <c r="L232" s="69">
        <v>2.8000000000000001E-2</v>
      </c>
      <c r="M232" s="69">
        <v>2.3E-2</v>
      </c>
      <c r="N232" s="112">
        <v>1.7000000000000001E-2</v>
      </c>
      <c r="O232" s="112">
        <v>1.4999999999999999E-2</v>
      </c>
      <c r="P232" s="3"/>
      <c r="Q232" s="3"/>
      <c r="R232" s="3"/>
    </row>
    <row r="233" spans="1:18" s="160" customFormat="1" outlineLevel="1">
      <c r="A233" s="1647" t="s">
        <v>256</v>
      </c>
      <c r="B233" s="68">
        <f t="shared" si="1"/>
        <v>0</v>
      </c>
      <c r="C233" s="103">
        <f t="shared" si="2"/>
        <v>0</v>
      </c>
      <c r="D233" s="69">
        <f t="shared" si="3"/>
        <v>0</v>
      </c>
      <c r="E233" s="69">
        <f t="shared" si="4"/>
        <v>0</v>
      </c>
      <c r="F233" s="1647"/>
      <c r="G233" s="69">
        <f t="shared" si="5"/>
        <v>0</v>
      </c>
      <c r="H233" s="1647"/>
      <c r="I233" s="1647"/>
      <c r="J233" s="1647"/>
      <c r="K233" s="1647"/>
      <c r="L233" s="1647"/>
      <c r="M233" s="1647"/>
      <c r="N233" s="159"/>
      <c r="O233" s="159"/>
      <c r="P233" s="163"/>
      <c r="Q233" s="163"/>
      <c r="R233" s="163"/>
    </row>
    <row r="234" spans="1:18" s="78" customFormat="1" outlineLevel="1">
      <c r="A234" s="69" t="s">
        <v>258</v>
      </c>
      <c r="B234" s="68">
        <f t="shared" si="1"/>
        <v>0.126</v>
      </c>
      <c r="C234" s="103">
        <f t="shared" si="2"/>
        <v>0.126</v>
      </c>
      <c r="D234" s="69">
        <f t="shared" si="3"/>
        <v>0.126</v>
      </c>
      <c r="E234" s="69">
        <f t="shared" si="4"/>
        <v>0.126</v>
      </c>
      <c r="F234" s="69">
        <v>0.126</v>
      </c>
      <c r="G234" s="69">
        <f t="shared" si="5"/>
        <v>0.11428571428571428</v>
      </c>
      <c r="H234" s="69">
        <v>8.5000000000000006E-2</v>
      </c>
      <c r="I234" s="69">
        <v>6.5000000000000002E-2</v>
      </c>
      <c r="J234" s="69">
        <v>0.05</v>
      </c>
      <c r="K234" s="69">
        <v>3.9E-2</v>
      </c>
      <c r="L234" s="69">
        <v>0.03</v>
      </c>
      <c r="M234" s="69">
        <v>2.5999999999999999E-2</v>
      </c>
      <c r="N234" s="112">
        <v>1.9E-2</v>
      </c>
      <c r="O234" s="112">
        <v>1.7000000000000001E-2</v>
      </c>
      <c r="P234" s="3"/>
      <c r="Q234" s="3"/>
      <c r="R234" s="3"/>
    </row>
    <row r="235" spans="1:18" s="78" customFormat="1" outlineLevel="1">
      <c r="A235" s="69"/>
      <c r="B235" s="84"/>
      <c r="C235" s="69"/>
      <c r="D235" s="69"/>
      <c r="E235" s="69"/>
      <c r="F235" s="69"/>
      <c r="G235" s="69"/>
      <c r="H235" s="69"/>
      <c r="I235" s="69"/>
      <c r="J235" s="69"/>
      <c r="K235" s="69"/>
      <c r="L235" s="69"/>
      <c r="M235" s="69"/>
      <c r="N235" s="69"/>
      <c r="O235" s="69"/>
      <c r="P235" s="3"/>
      <c r="Q235" s="3"/>
      <c r="R235" s="3"/>
    </row>
    <row r="236" spans="1:18" s="78" customFormat="1" outlineLevel="1">
      <c r="A236" s="1646"/>
      <c r="B236" s="86"/>
      <c r="C236" s="1646"/>
      <c r="D236" s="1646"/>
      <c r="E236" s="1646"/>
      <c r="F236" s="1646"/>
      <c r="G236" s="1646"/>
      <c r="H236" s="1646"/>
      <c r="I236" s="1646"/>
      <c r="J236" s="1646"/>
      <c r="K236" s="1646"/>
      <c r="L236" s="1646"/>
      <c r="M236" s="1646"/>
      <c r="N236" s="1646"/>
      <c r="O236" s="1646"/>
      <c r="P236" s="3"/>
      <c r="Q236" s="3"/>
      <c r="R236" s="3"/>
    </row>
    <row r="237" spans="1:18" s="1" customFormat="1">
      <c r="A237" s="76" t="s">
        <v>4130</v>
      </c>
      <c r="B237" s="75"/>
      <c r="C237" s="75"/>
      <c r="D237" s="75"/>
      <c r="E237" s="75"/>
      <c r="F237" s="75"/>
      <c r="G237" s="75"/>
      <c r="H237" s="75"/>
      <c r="I237" s="75"/>
      <c r="J237" s="75"/>
      <c r="K237" s="3"/>
      <c r="L237" s="3"/>
      <c r="M237" s="3"/>
      <c r="N237" s="3"/>
      <c r="O237" s="3"/>
      <c r="P237" s="3"/>
      <c r="Q237" s="3"/>
    </row>
    <row r="238" spans="1:18" outlineLevel="1">
      <c r="A238" s="2"/>
    </row>
    <row r="239" spans="1:18" ht="29.25" customHeight="1" outlineLevel="1">
      <c r="A239" s="148" t="s">
        <v>4066</v>
      </c>
      <c r="B239" s="149"/>
      <c r="C239" s="150"/>
      <c r="D239" s="151"/>
      <c r="E239" s="152" t="s">
        <v>4082</v>
      </c>
      <c r="F239" s="153"/>
      <c r="G239" s="153"/>
      <c r="H239" s="153"/>
      <c r="I239" s="153"/>
      <c r="J239" s="153"/>
      <c r="K239" s="154"/>
      <c r="L239" s="154"/>
      <c r="M239" s="154"/>
      <c r="N239" s="154"/>
      <c r="O239" s="155"/>
    </row>
    <row r="240" spans="1:18" s="78" customFormat="1" outlineLevel="1">
      <c r="A240" s="94"/>
      <c r="B240" s="94" t="s">
        <v>4069</v>
      </c>
      <c r="C240" s="4">
        <v>0.5</v>
      </c>
      <c r="D240" s="94">
        <v>1</v>
      </c>
      <c r="E240" s="94">
        <v>5</v>
      </c>
      <c r="F240" s="94">
        <v>15</v>
      </c>
      <c r="G240" s="94">
        <v>25</v>
      </c>
      <c r="H240" s="94">
        <v>50</v>
      </c>
      <c r="I240" s="94">
        <v>100</v>
      </c>
      <c r="J240" s="94">
        <v>200</v>
      </c>
      <c r="K240" s="94">
        <v>500</v>
      </c>
      <c r="L240" s="101">
        <v>1000</v>
      </c>
      <c r="M240" s="101">
        <v>2000</v>
      </c>
      <c r="N240" s="101">
        <v>5000</v>
      </c>
      <c r="O240" s="101">
        <v>8000</v>
      </c>
      <c r="P240" s="3"/>
      <c r="Q240" s="3"/>
      <c r="R240" s="3"/>
    </row>
    <row r="241" spans="1:18" s="78" customFormat="1" outlineLevel="1">
      <c r="A241" s="69" t="s">
        <v>237</v>
      </c>
      <c r="B241" s="68">
        <f t="shared" ref="B241:B246" si="6">F241</f>
        <v>0.16</v>
      </c>
      <c r="C241" s="103">
        <f t="shared" ref="C241:C246" si="7">F241</f>
        <v>0.16</v>
      </c>
      <c r="D241" s="69">
        <f t="shared" ref="D241:D246" si="8">F241</f>
        <v>0.16</v>
      </c>
      <c r="E241" s="69">
        <f t="shared" ref="E241:E246" si="9">F241</f>
        <v>0.16</v>
      </c>
      <c r="F241" s="69">
        <v>0.16</v>
      </c>
      <c r="G241" s="69">
        <f t="shared" ref="G241:G246" si="10">F241-(F241-H241)/($H$228-$F$228)*($G$228-$F$228)</f>
        <v>0.14457142857142857</v>
      </c>
      <c r="H241" s="69">
        <v>0.106</v>
      </c>
      <c r="I241" s="69">
        <v>8.3000000000000004E-2</v>
      </c>
      <c r="J241" s="69">
        <v>6.2E-2</v>
      </c>
      <c r="K241" s="69">
        <v>4.5999999999999999E-2</v>
      </c>
      <c r="L241" s="69">
        <v>3.7999999999999999E-2</v>
      </c>
      <c r="M241" s="69">
        <v>2.8000000000000001E-2</v>
      </c>
      <c r="N241" s="112">
        <v>2.1000000000000001E-2</v>
      </c>
      <c r="O241" s="112">
        <v>1.7999999999999999E-2</v>
      </c>
      <c r="P241" s="3"/>
      <c r="Q241" s="3"/>
      <c r="R241" s="3"/>
    </row>
    <row r="242" spans="1:18" s="78" customFormat="1" outlineLevel="1">
      <c r="A242" s="69" t="s">
        <v>252</v>
      </c>
      <c r="B242" s="68">
        <f t="shared" si="6"/>
        <v>0.185</v>
      </c>
      <c r="C242" s="103">
        <f t="shared" si="7"/>
        <v>0.185</v>
      </c>
      <c r="D242" s="69">
        <f t="shared" si="8"/>
        <v>0.185</v>
      </c>
      <c r="E242" s="69">
        <f t="shared" si="9"/>
        <v>0.185</v>
      </c>
      <c r="F242" s="69">
        <v>0.185</v>
      </c>
      <c r="G242" s="69">
        <f t="shared" si="10"/>
        <v>0.1667142857142857</v>
      </c>
      <c r="H242" s="69">
        <v>0.121</v>
      </c>
      <c r="I242" s="69">
        <v>9.4E-2</v>
      </c>
      <c r="J242" s="69">
        <v>7.1999999999999995E-2</v>
      </c>
      <c r="K242" s="69">
        <v>5.5E-2</v>
      </c>
      <c r="L242" s="69">
        <v>4.1000000000000002E-2</v>
      </c>
      <c r="M242" s="69">
        <v>3.3000000000000002E-2</v>
      </c>
      <c r="N242" s="112">
        <v>2.3E-2</v>
      </c>
      <c r="O242" s="112">
        <v>0.02</v>
      </c>
      <c r="P242" s="3"/>
      <c r="Q242" s="3"/>
      <c r="R242" s="3"/>
    </row>
    <row r="243" spans="1:18" s="78" customFormat="1" outlineLevel="1">
      <c r="A243" s="69" t="s">
        <v>254</v>
      </c>
      <c r="B243" s="68">
        <f t="shared" si="6"/>
        <v>0.106</v>
      </c>
      <c r="C243" s="103">
        <f t="shared" si="7"/>
        <v>0.106</v>
      </c>
      <c r="D243" s="69">
        <f t="shared" si="8"/>
        <v>0.106</v>
      </c>
      <c r="E243" s="69">
        <f t="shared" si="9"/>
        <v>0.106</v>
      </c>
      <c r="F243" s="69">
        <v>0.106</v>
      </c>
      <c r="G243" s="69">
        <f t="shared" si="10"/>
        <v>9.514285714285714E-2</v>
      </c>
      <c r="H243" s="69">
        <v>6.8000000000000005E-2</v>
      </c>
      <c r="I243" s="69">
        <v>5.3999999999999999E-2</v>
      </c>
      <c r="J243" s="69">
        <v>4.1000000000000002E-2</v>
      </c>
      <c r="K243" s="69">
        <v>3.1E-2</v>
      </c>
      <c r="L243" s="69">
        <v>2.4E-2</v>
      </c>
      <c r="M243" s="69">
        <v>0.02</v>
      </c>
      <c r="N243" s="112">
        <v>1.4E-2</v>
      </c>
      <c r="O243" s="112">
        <v>1.2E-2</v>
      </c>
      <c r="P243" s="3"/>
      <c r="Q243" s="3"/>
      <c r="R243" s="3"/>
    </row>
    <row r="244" spans="1:18" s="78" customFormat="1" outlineLevel="1">
      <c r="A244" s="156" t="s">
        <v>4129</v>
      </c>
      <c r="B244" s="68">
        <f t="shared" si="6"/>
        <v>0.11700000000000001</v>
      </c>
      <c r="C244" s="103">
        <f t="shared" si="7"/>
        <v>0.11700000000000001</v>
      </c>
      <c r="D244" s="69">
        <f t="shared" si="8"/>
        <v>0.11700000000000001</v>
      </c>
      <c r="E244" s="69">
        <f t="shared" si="9"/>
        <v>0.11700000000000001</v>
      </c>
      <c r="F244" s="69">
        <v>0.11700000000000001</v>
      </c>
      <c r="G244" s="69">
        <f t="shared" si="10"/>
        <v>0.10528571428571429</v>
      </c>
      <c r="H244" s="69">
        <v>7.5999999999999998E-2</v>
      </c>
      <c r="I244" s="69">
        <v>0.06</v>
      </c>
      <c r="J244" s="69">
        <v>4.5999999999999999E-2</v>
      </c>
      <c r="K244" s="69">
        <v>3.5000000000000003E-2</v>
      </c>
      <c r="L244" s="69">
        <v>2.5999999999999999E-2</v>
      </c>
      <c r="M244" s="69">
        <v>2.1999999999999999E-2</v>
      </c>
      <c r="N244" s="112">
        <v>1.6E-2</v>
      </c>
      <c r="O244" s="112">
        <v>1.4E-2</v>
      </c>
      <c r="P244" s="3"/>
      <c r="Q244" s="3"/>
      <c r="R244" s="3"/>
    </row>
    <row r="245" spans="1:18" s="160" customFormat="1" outlineLevel="1">
      <c r="A245" s="1647" t="s">
        <v>256</v>
      </c>
      <c r="B245" s="68">
        <f t="shared" si="6"/>
        <v>0</v>
      </c>
      <c r="C245" s="103">
        <f t="shared" si="7"/>
        <v>0</v>
      </c>
      <c r="D245" s="69">
        <f t="shared" si="8"/>
        <v>0</v>
      </c>
      <c r="E245" s="69">
        <f t="shared" si="9"/>
        <v>0</v>
      </c>
      <c r="F245" s="1647"/>
      <c r="G245" s="69">
        <f t="shared" si="10"/>
        <v>0</v>
      </c>
      <c r="H245" s="1647"/>
      <c r="I245" s="1647"/>
      <c r="J245" s="1647"/>
      <c r="K245" s="1647"/>
      <c r="L245" s="1647"/>
      <c r="M245" s="1647"/>
      <c r="N245" s="159"/>
      <c r="O245" s="159"/>
      <c r="P245" s="163"/>
      <c r="Q245" s="163"/>
      <c r="R245" s="163"/>
    </row>
    <row r="246" spans="1:18" s="78" customFormat="1" outlineLevel="1">
      <c r="A246" s="69" t="s">
        <v>258</v>
      </c>
      <c r="B246" s="68">
        <f t="shared" si="6"/>
        <v>0.122</v>
      </c>
      <c r="C246" s="103">
        <f t="shared" si="7"/>
        <v>0.122</v>
      </c>
      <c r="D246" s="69">
        <f t="shared" si="8"/>
        <v>0.122</v>
      </c>
      <c r="E246" s="69">
        <f t="shared" si="9"/>
        <v>0.122</v>
      </c>
      <c r="F246" s="69">
        <v>0.122</v>
      </c>
      <c r="G246" s="69">
        <f t="shared" si="10"/>
        <v>0.11057142857142857</v>
      </c>
      <c r="H246" s="69">
        <v>8.2000000000000003E-2</v>
      </c>
      <c r="I246" s="69">
        <v>6.2E-2</v>
      </c>
      <c r="J246" s="69">
        <v>4.7E-2</v>
      </c>
      <c r="K246" s="69">
        <v>3.6999999999999998E-2</v>
      </c>
      <c r="L246" s="69">
        <v>2.9000000000000001E-2</v>
      </c>
      <c r="M246" s="69">
        <v>2.4E-2</v>
      </c>
      <c r="N246" s="112">
        <v>1.7000000000000001E-2</v>
      </c>
      <c r="O246" s="112">
        <v>1.4999999999999999E-2</v>
      </c>
      <c r="P246" s="3"/>
      <c r="Q246" s="3"/>
      <c r="R246" s="3"/>
    </row>
    <row r="247" spans="1:18" s="78" customFormat="1" outlineLevel="1">
      <c r="A247" s="69"/>
      <c r="B247" s="84"/>
      <c r="C247" s="69"/>
      <c r="D247" s="69"/>
      <c r="E247" s="69"/>
      <c r="F247" s="69"/>
      <c r="G247" s="69"/>
      <c r="H247" s="69"/>
      <c r="I247" s="69"/>
      <c r="J247" s="69"/>
      <c r="K247" s="69"/>
      <c r="L247" s="69"/>
      <c r="M247" s="69"/>
      <c r="N247" s="69"/>
      <c r="O247" s="69"/>
      <c r="P247" s="3"/>
      <c r="Q247" s="3"/>
      <c r="R247" s="3"/>
    </row>
    <row r="248" spans="1:18" s="164" customFormat="1">
      <c r="A248" s="161" t="s">
        <v>4131</v>
      </c>
      <c r="B248" s="162"/>
      <c r="C248" s="162"/>
      <c r="D248" s="162"/>
      <c r="E248" s="162"/>
      <c r="F248" s="162"/>
      <c r="G248" s="162"/>
      <c r="H248" s="162"/>
      <c r="I248" s="162"/>
      <c r="J248" s="162"/>
      <c r="K248" s="163"/>
      <c r="L248" s="163"/>
      <c r="M248" s="163"/>
      <c r="N248" s="163"/>
      <c r="O248" s="163"/>
      <c r="P248" s="163">
        <v>25000000000</v>
      </c>
      <c r="Q248" s="1648">
        <f>P248*10^-9</f>
        <v>25</v>
      </c>
      <c r="R248" s="164">
        <v>1.7000000000000001E-2</v>
      </c>
    </row>
    <row r="249" spans="1:18" s="163" customFormat="1" outlineLevel="1">
      <c r="A249" s="165"/>
      <c r="P249" s="163">
        <v>15000000000</v>
      </c>
      <c r="Q249" s="1648">
        <f>P249*10^-9</f>
        <v>15.000000000000002</v>
      </c>
      <c r="R249" s="163">
        <v>1.9E-2</v>
      </c>
    </row>
    <row r="250" spans="1:18" s="163" customFormat="1" ht="29.25" customHeight="1" outlineLevel="1">
      <c r="A250" s="166" t="s">
        <v>4066</v>
      </c>
      <c r="B250" s="167"/>
      <c r="C250" s="168"/>
      <c r="D250" s="169"/>
      <c r="E250" s="170" t="s">
        <v>4082</v>
      </c>
      <c r="F250" s="171"/>
      <c r="G250" s="171"/>
      <c r="H250" s="171"/>
      <c r="I250" s="171"/>
      <c r="J250" s="171"/>
      <c r="K250" s="172"/>
      <c r="L250" s="172"/>
      <c r="M250" s="172"/>
      <c r="N250" s="172"/>
      <c r="O250" s="173"/>
    </row>
    <row r="251" spans="1:18" s="160" customFormat="1" outlineLevel="1">
      <c r="A251" s="174"/>
      <c r="B251" s="174" t="s">
        <v>4069</v>
      </c>
      <c r="C251" s="175">
        <v>0.5</v>
      </c>
      <c r="D251" s="174">
        <v>1</v>
      </c>
      <c r="E251" s="174">
        <v>5</v>
      </c>
      <c r="F251" s="174">
        <v>15</v>
      </c>
      <c r="G251" s="174">
        <v>25</v>
      </c>
      <c r="H251" s="174">
        <v>50</v>
      </c>
      <c r="I251" s="174">
        <v>100</v>
      </c>
      <c r="J251" s="174">
        <v>200</v>
      </c>
      <c r="K251" s="174">
        <v>500</v>
      </c>
      <c r="L251" s="176">
        <v>1000</v>
      </c>
      <c r="M251" s="176">
        <v>2000</v>
      </c>
      <c r="N251" s="176">
        <v>5000</v>
      </c>
      <c r="O251" s="176">
        <v>8000</v>
      </c>
      <c r="P251" s="163"/>
      <c r="Q251" s="163"/>
      <c r="R251" s="163"/>
    </row>
    <row r="252" spans="1:18" s="160" customFormat="1" outlineLevel="1">
      <c r="A252" s="1647" t="s">
        <v>237</v>
      </c>
      <c r="B252" s="1649">
        <f t="shared" ref="B252:B257" si="11">F252</f>
        <v>4.9500000000000002E-2</v>
      </c>
      <c r="C252" s="159">
        <f t="shared" ref="C252:C257" si="12">F252</f>
        <v>4.9500000000000002E-2</v>
      </c>
      <c r="D252" s="1647">
        <f t="shared" ref="D252:D257" si="13">F252</f>
        <v>4.9500000000000002E-2</v>
      </c>
      <c r="E252" s="1647">
        <f t="shared" ref="E252:E257" si="14">F252</f>
        <v>4.9500000000000002E-2</v>
      </c>
      <c r="F252" s="1647">
        <v>4.9500000000000002E-2</v>
      </c>
      <c r="G252" s="1647">
        <f t="shared" ref="G252:G257" si="15">F252-(F252-H252)/($H$228-$F$228)*($G$228-$F$228)</f>
        <v>4.478571428571429E-2</v>
      </c>
      <c r="H252" s="1647">
        <v>3.3000000000000002E-2</v>
      </c>
      <c r="I252" s="1647">
        <v>2.5499999999999998E-2</v>
      </c>
      <c r="J252" s="1647">
        <v>1.95E-2</v>
      </c>
      <c r="K252" s="1647">
        <v>1.4999999999999999E-2</v>
      </c>
      <c r="L252" s="1647">
        <v>1.23E-2</v>
      </c>
      <c r="M252" s="1647">
        <v>8.6999999999999994E-3</v>
      </c>
      <c r="N252" s="159">
        <v>6.6E-3</v>
      </c>
      <c r="O252" s="159">
        <v>5.7000000000000002E-3</v>
      </c>
      <c r="P252" s="163"/>
      <c r="Q252" s="163"/>
      <c r="R252" s="163"/>
    </row>
    <row r="253" spans="1:18" s="160" customFormat="1" outlineLevel="1">
      <c r="A253" s="1647" t="s">
        <v>252</v>
      </c>
      <c r="B253" s="1649">
        <f t="shared" si="11"/>
        <v>5.7000000000000002E-2</v>
      </c>
      <c r="C253" s="159">
        <f t="shared" si="12"/>
        <v>5.7000000000000002E-2</v>
      </c>
      <c r="D253" s="1647">
        <f t="shared" si="13"/>
        <v>5.7000000000000002E-2</v>
      </c>
      <c r="E253" s="1647">
        <f t="shared" si="14"/>
        <v>5.7000000000000002E-2</v>
      </c>
      <c r="F253" s="1647">
        <v>5.7000000000000002E-2</v>
      </c>
      <c r="G253" s="1647">
        <f t="shared" si="15"/>
        <v>5.1514285714285714E-2</v>
      </c>
      <c r="H253" s="1647">
        <v>3.78E-2</v>
      </c>
      <c r="I253" s="1647">
        <v>2.9100000000000001E-2</v>
      </c>
      <c r="J253" s="1647">
        <v>2.2499999999999999E-2</v>
      </c>
      <c r="K253" s="1647">
        <v>1.7399999999999999E-2</v>
      </c>
      <c r="L253" s="1647">
        <v>1.32E-2</v>
      </c>
      <c r="M253" s="1647">
        <v>1.0500000000000001E-2</v>
      </c>
      <c r="N253" s="159">
        <v>7.7999999999999996E-3</v>
      </c>
      <c r="O253" s="159">
        <v>6.6E-3</v>
      </c>
      <c r="P253" s="163"/>
      <c r="Q253" s="163"/>
      <c r="R253" s="163"/>
    </row>
    <row r="254" spans="1:18" s="160" customFormat="1" outlineLevel="1">
      <c r="A254" s="1647" t="s">
        <v>254</v>
      </c>
      <c r="B254" s="1649">
        <f t="shared" si="11"/>
        <v>3.27E-2</v>
      </c>
      <c r="C254" s="159">
        <f t="shared" si="12"/>
        <v>3.27E-2</v>
      </c>
      <c r="D254" s="1647">
        <f t="shared" si="13"/>
        <v>3.27E-2</v>
      </c>
      <c r="E254" s="1647">
        <f t="shared" si="14"/>
        <v>3.27E-2</v>
      </c>
      <c r="F254" s="1647">
        <v>3.27E-2</v>
      </c>
      <c r="G254" s="1647">
        <f t="shared" si="15"/>
        <v>2.9528571428571428E-2</v>
      </c>
      <c r="H254" s="1647">
        <v>2.1600000000000001E-2</v>
      </c>
      <c r="I254" s="1647">
        <v>1.6500000000000001E-2</v>
      </c>
      <c r="J254" s="1647">
        <v>1.29E-2</v>
      </c>
      <c r="K254" s="1647">
        <v>9.9000000000000008E-3</v>
      </c>
      <c r="L254" s="1647">
        <v>7.4999999999999997E-3</v>
      </c>
      <c r="M254" s="1647">
        <v>6.3E-3</v>
      </c>
      <c r="N254" s="159">
        <v>4.7999999999999996E-3</v>
      </c>
      <c r="O254" s="159">
        <v>4.1999999999999997E-3</v>
      </c>
      <c r="P254" s="163"/>
      <c r="Q254" s="163"/>
      <c r="R254" s="163"/>
    </row>
    <row r="255" spans="1:18" s="160" customFormat="1" outlineLevel="1">
      <c r="A255" s="177" t="s">
        <v>4129</v>
      </c>
      <c r="B255" s="1649">
        <f t="shared" si="11"/>
        <v>3.6299999999999999E-2</v>
      </c>
      <c r="C255" s="159">
        <f t="shared" si="12"/>
        <v>3.6299999999999999E-2</v>
      </c>
      <c r="D255" s="1647">
        <f t="shared" si="13"/>
        <v>3.6299999999999999E-2</v>
      </c>
      <c r="E255" s="1647">
        <f t="shared" si="14"/>
        <v>3.6299999999999999E-2</v>
      </c>
      <c r="F255" s="1647">
        <v>3.6299999999999999E-2</v>
      </c>
      <c r="G255" s="1647">
        <f t="shared" si="15"/>
        <v>3.2785714285714286E-2</v>
      </c>
      <c r="H255" s="1647">
        <v>2.4E-2</v>
      </c>
      <c r="I255" s="1647">
        <v>1.83E-2</v>
      </c>
      <c r="J255" s="1647">
        <v>1.44E-2</v>
      </c>
      <c r="K255" s="1647">
        <v>1.11E-2</v>
      </c>
      <c r="L255" s="1647">
        <v>8.3999999999999995E-3</v>
      </c>
      <c r="M255" s="1647">
        <v>6.8999999999999999E-3</v>
      </c>
      <c r="N255" s="159">
        <v>5.1000000000000004E-3</v>
      </c>
      <c r="O255" s="159">
        <v>4.3E-3</v>
      </c>
      <c r="P255" s="163"/>
      <c r="Q255" s="163"/>
      <c r="R255" s="163"/>
    </row>
    <row r="256" spans="1:18" s="160" customFormat="1" outlineLevel="1">
      <c r="A256" s="1647" t="s">
        <v>256</v>
      </c>
      <c r="B256" s="1649">
        <f t="shared" si="11"/>
        <v>0</v>
      </c>
      <c r="C256" s="159">
        <f t="shared" si="12"/>
        <v>0</v>
      </c>
      <c r="D256" s="1647">
        <f t="shared" si="13"/>
        <v>0</v>
      </c>
      <c r="E256" s="1647">
        <f t="shared" si="14"/>
        <v>0</v>
      </c>
      <c r="F256" s="1647"/>
      <c r="G256" s="1647">
        <f t="shared" si="15"/>
        <v>0</v>
      </c>
      <c r="H256" s="1647"/>
      <c r="I256" s="1647"/>
      <c r="J256" s="1647"/>
      <c r="K256" s="1647"/>
      <c r="L256" s="1647"/>
      <c r="M256" s="1647"/>
      <c r="N256" s="159"/>
      <c r="O256" s="159"/>
      <c r="P256" s="163"/>
      <c r="Q256" s="163"/>
      <c r="R256" s="163"/>
    </row>
    <row r="257" spans="1:18" s="160" customFormat="1" outlineLevel="1">
      <c r="A257" s="1647" t="s">
        <v>258</v>
      </c>
      <c r="B257" s="1649">
        <f t="shared" si="11"/>
        <v>3.78E-2</v>
      </c>
      <c r="C257" s="159">
        <f t="shared" si="12"/>
        <v>3.78E-2</v>
      </c>
      <c r="D257" s="1647">
        <f t="shared" si="13"/>
        <v>3.78E-2</v>
      </c>
      <c r="E257" s="1647">
        <f t="shared" si="14"/>
        <v>3.78E-2</v>
      </c>
      <c r="F257" s="1647">
        <v>3.78E-2</v>
      </c>
      <c r="G257" s="1647">
        <f t="shared" si="15"/>
        <v>3.4285714285714287E-2</v>
      </c>
      <c r="H257" s="1647">
        <v>2.5499999999999998E-2</v>
      </c>
      <c r="I257" s="1647">
        <v>1.95E-2</v>
      </c>
      <c r="J257" s="1647">
        <v>1.4999999999999999E-2</v>
      </c>
      <c r="K257" s="1647">
        <v>1.17E-2</v>
      </c>
      <c r="L257" s="1647">
        <v>8.9999999999999993E-3</v>
      </c>
      <c r="M257" s="1647">
        <v>7.8E-2</v>
      </c>
      <c r="N257" s="159">
        <v>5.7000000000000002E-3</v>
      </c>
      <c r="O257" s="159">
        <v>5.1000000000000004E-3</v>
      </c>
      <c r="P257" s="163"/>
      <c r="Q257" s="163"/>
      <c r="R257" s="163"/>
    </row>
    <row r="258" spans="1:18" s="160" customFormat="1" outlineLevel="1">
      <c r="A258" s="1647"/>
      <c r="B258" s="158"/>
      <c r="C258" s="1647"/>
      <c r="D258" s="1647"/>
      <c r="E258" s="1647"/>
      <c r="F258" s="1647"/>
      <c r="G258" s="1647"/>
      <c r="H258" s="1647"/>
      <c r="I258" s="1647"/>
      <c r="J258" s="1647"/>
      <c r="K258" s="1647"/>
      <c r="L258" s="1647"/>
      <c r="M258" s="1647"/>
      <c r="N258" s="1647"/>
      <c r="O258" s="1647"/>
      <c r="P258" s="163"/>
      <c r="Q258" s="163"/>
      <c r="R258" s="163"/>
    </row>
    <row r="259" spans="1:18" s="160" customFormat="1" outlineLevel="1">
      <c r="A259" s="1650"/>
      <c r="B259" s="178"/>
      <c r="C259" s="1650"/>
      <c r="D259" s="1650"/>
      <c r="E259" s="1650"/>
      <c r="F259" s="1650"/>
      <c r="G259" s="1650"/>
      <c r="H259" s="1650"/>
      <c r="I259" s="1650"/>
      <c r="J259" s="1650"/>
      <c r="K259" s="1650"/>
      <c r="L259" s="1650"/>
      <c r="M259" s="1650"/>
      <c r="N259" s="1650"/>
      <c r="O259" s="1650"/>
      <c r="P259" s="163"/>
      <c r="Q259" s="163"/>
      <c r="R259" s="163"/>
    </row>
    <row r="260" spans="1:18" s="164" customFormat="1">
      <c r="A260" s="161" t="s">
        <v>4132</v>
      </c>
      <c r="B260" s="162"/>
      <c r="C260" s="162"/>
      <c r="D260" s="162"/>
      <c r="E260" s="162"/>
      <c r="F260" s="162"/>
      <c r="G260" s="162"/>
      <c r="H260" s="162"/>
      <c r="I260" s="162"/>
      <c r="J260" s="162"/>
      <c r="K260" s="163"/>
      <c r="L260" s="163"/>
      <c r="M260" s="163"/>
      <c r="N260" s="163"/>
      <c r="O260" s="163"/>
      <c r="P260" s="163"/>
      <c r="Q260" s="163"/>
    </row>
    <row r="261" spans="1:18" s="163" customFormat="1" outlineLevel="1">
      <c r="A261" s="165"/>
    </row>
    <row r="262" spans="1:18" s="163" customFormat="1" ht="29.25" customHeight="1" outlineLevel="1">
      <c r="A262" s="166" t="s">
        <v>4066</v>
      </c>
      <c r="B262" s="167"/>
      <c r="C262" s="168"/>
      <c r="D262" s="169"/>
      <c r="E262" s="170" t="s">
        <v>4082</v>
      </c>
      <c r="F262" s="171"/>
      <c r="G262" s="171"/>
      <c r="H262" s="171"/>
      <c r="I262" s="171"/>
      <c r="J262" s="171"/>
      <c r="K262" s="172"/>
      <c r="L262" s="172"/>
      <c r="M262" s="172"/>
      <c r="N262" s="172"/>
      <c r="O262" s="173"/>
    </row>
    <row r="263" spans="1:18" s="160" customFormat="1" outlineLevel="1">
      <c r="A263" s="174"/>
      <c r="B263" s="174" t="s">
        <v>4069</v>
      </c>
      <c r="C263" s="175">
        <v>0.5</v>
      </c>
      <c r="D263" s="174">
        <v>1</v>
      </c>
      <c r="E263" s="174">
        <v>5</v>
      </c>
      <c r="F263" s="174">
        <v>15</v>
      </c>
      <c r="G263" s="174">
        <v>25</v>
      </c>
      <c r="H263" s="174">
        <v>50</v>
      </c>
      <c r="I263" s="174">
        <v>100</v>
      </c>
      <c r="J263" s="174">
        <v>200</v>
      </c>
      <c r="K263" s="174">
        <v>500</v>
      </c>
      <c r="L263" s="176">
        <v>1000</v>
      </c>
      <c r="M263" s="176">
        <v>2000</v>
      </c>
      <c r="N263" s="176">
        <v>5000</v>
      </c>
      <c r="O263" s="176">
        <v>8000</v>
      </c>
      <c r="P263" s="163"/>
      <c r="Q263" s="163"/>
      <c r="R263" s="163"/>
    </row>
    <row r="264" spans="1:18" s="160" customFormat="1" outlineLevel="1">
      <c r="A264" s="1647" t="s">
        <v>237</v>
      </c>
      <c r="B264" s="1649">
        <f t="shared" ref="B264:B269" si="16">F264</f>
        <v>4.8000000000000001E-2</v>
      </c>
      <c r="C264" s="159">
        <f t="shared" ref="C264:C269" si="17">F264</f>
        <v>4.8000000000000001E-2</v>
      </c>
      <c r="D264" s="1647">
        <f t="shared" ref="D264:D269" si="18">F264</f>
        <v>4.8000000000000001E-2</v>
      </c>
      <c r="E264" s="1647">
        <f t="shared" ref="E264:E269" si="19">F264</f>
        <v>4.8000000000000001E-2</v>
      </c>
      <c r="F264" s="1647">
        <v>4.8000000000000001E-2</v>
      </c>
      <c r="G264" s="1647">
        <f t="shared" ref="G264:G269" si="20">F264-(F264-H264)/($H$228-$F$228)*($G$228-$F$228)</f>
        <v>4.3371428571428575E-2</v>
      </c>
      <c r="H264" s="1647">
        <v>3.1800000000000002E-2</v>
      </c>
      <c r="I264" s="1647">
        <v>2.4899999999999999E-2</v>
      </c>
      <c r="J264" s="1647">
        <v>1.8599999999999998E-2</v>
      </c>
      <c r="K264" s="1647">
        <v>1.38E-2</v>
      </c>
      <c r="L264" s="1647">
        <v>1.14E-2</v>
      </c>
      <c r="M264" s="1647">
        <v>8.3999999999999995E-3</v>
      </c>
      <c r="N264" s="159">
        <v>6.3E-3</v>
      </c>
      <c r="O264" s="159">
        <v>5.4000000000000003E-3</v>
      </c>
      <c r="P264" s="163"/>
      <c r="Q264" s="163"/>
      <c r="R264" s="163"/>
    </row>
    <row r="265" spans="1:18" s="160" customFormat="1" outlineLevel="1">
      <c r="A265" s="1647" t="s">
        <v>252</v>
      </c>
      <c r="B265" s="1649">
        <f t="shared" si="16"/>
        <v>5.5500000000000001E-2</v>
      </c>
      <c r="C265" s="159">
        <f t="shared" si="17"/>
        <v>5.5500000000000001E-2</v>
      </c>
      <c r="D265" s="1647">
        <f t="shared" si="18"/>
        <v>5.5500000000000001E-2</v>
      </c>
      <c r="E265" s="1647">
        <f t="shared" si="19"/>
        <v>5.5500000000000001E-2</v>
      </c>
      <c r="F265" s="1647">
        <v>5.5500000000000001E-2</v>
      </c>
      <c r="G265" s="1647">
        <f t="shared" si="20"/>
        <v>5.0014285714285713E-2</v>
      </c>
      <c r="H265" s="1647">
        <v>3.6299999999999999E-2</v>
      </c>
      <c r="I265" s="1647">
        <v>2.8199999999999999E-2</v>
      </c>
      <c r="J265" s="1647">
        <v>2.1600000000000001E-2</v>
      </c>
      <c r="K265" s="1647">
        <v>1.6500000000000001E-2</v>
      </c>
      <c r="L265" s="1647">
        <v>1.23E-2</v>
      </c>
      <c r="M265" s="1647">
        <v>9.9000000000000008E-3</v>
      </c>
      <c r="N265" s="159">
        <v>6.8999999999999999E-3</v>
      </c>
      <c r="O265" s="159">
        <v>6.0000000000000001E-3</v>
      </c>
      <c r="P265" s="163"/>
      <c r="Q265" s="163"/>
      <c r="R265" s="163"/>
    </row>
    <row r="266" spans="1:18" s="160" customFormat="1" outlineLevel="1">
      <c r="A266" s="1647" t="s">
        <v>254</v>
      </c>
      <c r="B266" s="1649">
        <f t="shared" si="16"/>
        <v>3.1800000000000002E-2</v>
      </c>
      <c r="C266" s="159">
        <f t="shared" si="17"/>
        <v>3.1800000000000002E-2</v>
      </c>
      <c r="D266" s="1647">
        <f t="shared" si="18"/>
        <v>3.1800000000000002E-2</v>
      </c>
      <c r="E266" s="1647">
        <f t="shared" si="19"/>
        <v>3.1800000000000002E-2</v>
      </c>
      <c r="F266" s="1647">
        <v>3.1800000000000002E-2</v>
      </c>
      <c r="G266" s="1647">
        <f t="shared" si="20"/>
        <v>2.8542857142857144E-2</v>
      </c>
      <c r="H266" s="1647">
        <v>2.0400000000000001E-2</v>
      </c>
      <c r="I266" s="1647">
        <v>1.6199999999999999E-2</v>
      </c>
      <c r="J266" s="1647">
        <v>1.23E-2</v>
      </c>
      <c r="K266" s="1647">
        <v>9.2999999999999992E-3</v>
      </c>
      <c r="L266" s="1647">
        <v>7.1999999999999998E-3</v>
      </c>
      <c r="M266" s="1647">
        <v>6.0000000000000001E-3</v>
      </c>
      <c r="N266" s="159">
        <v>4.1999999999999997E-3</v>
      </c>
      <c r="O266" s="159">
        <v>3.5999999999999999E-3</v>
      </c>
      <c r="P266" s="163"/>
      <c r="Q266" s="163"/>
      <c r="R266" s="163"/>
    </row>
    <row r="267" spans="1:18" s="160" customFormat="1" outlineLevel="1">
      <c r="A267" s="177" t="s">
        <v>4129</v>
      </c>
      <c r="B267" s="1649">
        <f t="shared" si="16"/>
        <v>3.5099999999999999E-2</v>
      </c>
      <c r="C267" s="159">
        <f t="shared" si="17"/>
        <v>3.5099999999999999E-2</v>
      </c>
      <c r="D267" s="1647">
        <f t="shared" si="18"/>
        <v>3.5099999999999999E-2</v>
      </c>
      <c r="E267" s="1647">
        <f t="shared" si="19"/>
        <v>3.5099999999999999E-2</v>
      </c>
      <c r="F267" s="1647">
        <v>3.5099999999999999E-2</v>
      </c>
      <c r="G267" s="1647">
        <f t="shared" si="20"/>
        <v>3.1585714285714286E-2</v>
      </c>
      <c r="H267" s="1647">
        <v>2.2800000000000001E-2</v>
      </c>
      <c r="I267" s="1647">
        <v>1.7999999999999999E-2</v>
      </c>
      <c r="J267" s="1647">
        <v>1.38E-2</v>
      </c>
      <c r="K267" s="1647">
        <v>1.0500000000000001E-2</v>
      </c>
      <c r="L267" s="1647">
        <v>7.7999999999999996E-3</v>
      </c>
      <c r="M267" s="1647">
        <v>6.6E-3</v>
      </c>
      <c r="N267" s="159">
        <v>4.7999999999999996E-3</v>
      </c>
      <c r="O267" s="159">
        <v>4.1999999999999997E-3</v>
      </c>
      <c r="P267" s="163"/>
      <c r="Q267" s="163"/>
      <c r="R267" s="163"/>
    </row>
    <row r="268" spans="1:18" s="160" customFormat="1" outlineLevel="1">
      <c r="A268" s="1647" t="s">
        <v>256</v>
      </c>
      <c r="B268" s="1649">
        <f t="shared" si="16"/>
        <v>0</v>
      </c>
      <c r="C268" s="159">
        <f t="shared" si="17"/>
        <v>0</v>
      </c>
      <c r="D268" s="1647">
        <f t="shared" si="18"/>
        <v>0</v>
      </c>
      <c r="E268" s="1647">
        <f t="shared" si="19"/>
        <v>0</v>
      </c>
      <c r="F268" s="1647"/>
      <c r="G268" s="1647">
        <f t="shared" si="20"/>
        <v>0</v>
      </c>
      <c r="H268" s="1647"/>
      <c r="I268" s="1647"/>
      <c r="J268" s="1647"/>
      <c r="K268" s="1647"/>
      <c r="L268" s="1647"/>
      <c r="M268" s="1647"/>
      <c r="N268" s="159"/>
      <c r="O268" s="159"/>
      <c r="P268" s="163"/>
      <c r="Q268" s="163"/>
      <c r="R268" s="163"/>
    </row>
    <row r="269" spans="1:18" s="160" customFormat="1" outlineLevel="1">
      <c r="A269" s="1647" t="s">
        <v>258</v>
      </c>
      <c r="B269" s="1649">
        <f t="shared" si="16"/>
        <v>3.6600000000000001E-2</v>
      </c>
      <c r="C269" s="159">
        <f t="shared" si="17"/>
        <v>3.6600000000000001E-2</v>
      </c>
      <c r="D269" s="1647">
        <f t="shared" si="18"/>
        <v>3.6600000000000001E-2</v>
      </c>
      <c r="E269" s="1647">
        <f t="shared" si="19"/>
        <v>3.6600000000000001E-2</v>
      </c>
      <c r="F269" s="1647">
        <v>3.6600000000000001E-2</v>
      </c>
      <c r="G269" s="1647">
        <f t="shared" si="20"/>
        <v>3.3171428571428574E-2</v>
      </c>
      <c r="H269" s="1647">
        <v>2.46E-2</v>
      </c>
      <c r="I269" s="1647">
        <v>1.8599999999999998E-2</v>
      </c>
      <c r="J269" s="1647">
        <v>1.41E-2</v>
      </c>
      <c r="K269" s="1647">
        <v>1.11E-2</v>
      </c>
      <c r="L269" s="1647">
        <v>8.6999999999999994E-3</v>
      </c>
      <c r="M269" s="1647">
        <v>7.1999999999999998E-3</v>
      </c>
      <c r="N269" s="159">
        <v>5.1000000000000004E-3</v>
      </c>
      <c r="O269" s="159">
        <v>4.3E-3</v>
      </c>
      <c r="P269" s="163"/>
      <c r="Q269" s="163"/>
      <c r="R269" s="163"/>
    </row>
    <row r="270" spans="1:18" s="160" customFormat="1" outlineLevel="1">
      <c r="A270" s="1647"/>
      <c r="B270" s="158"/>
      <c r="C270" s="1647"/>
      <c r="D270" s="1647"/>
      <c r="E270" s="1647"/>
      <c r="F270" s="1647"/>
      <c r="G270" s="1647"/>
      <c r="H270" s="1647"/>
      <c r="I270" s="1647"/>
      <c r="J270" s="1647"/>
      <c r="K270" s="1647"/>
      <c r="L270" s="1647"/>
      <c r="M270" s="1647"/>
      <c r="N270" s="1647"/>
      <c r="O270" s="1647"/>
      <c r="P270" s="163"/>
      <c r="Q270" s="163"/>
      <c r="R270" s="163"/>
    </row>
    <row r="271" spans="1:18" s="78" customFormat="1" outlineLevel="1">
      <c r="A271" s="1646"/>
      <c r="B271" s="86"/>
      <c r="C271" s="1646"/>
      <c r="D271" s="1646"/>
      <c r="E271" s="1646"/>
      <c r="F271" s="1646"/>
      <c r="G271" s="1646"/>
      <c r="H271" s="1646"/>
      <c r="I271" s="1646"/>
      <c r="J271" s="1646"/>
      <c r="K271" s="1646"/>
      <c r="L271" s="1646"/>
      <c r="M271" s="1646"/>
      <c r="N271" s="1646"/>
      <c r="O271" s="1646"/>
      <c r="P271" s="3"/>
      <c r="Q271" s="3"/>
      <c r="R271" s="3"/>
    </row>
    <row r="272" spans="1:18" s="1" customFormat="1">
      <c r="A272" s="76" t="s">
        <v>4133</v>
      </c>
      <c r="B272" s="75"/>
      <c r="C272" s="75"/>
      <c r="D272" s="75"/>
      <c r="E272" s="75"/>
      <c r="F272" s="75"/>
      <c r="G272" s="75"/>
      <c r="H272" s="75"/>
      <c r="I272" s="75"/>
      <c r="J272" s="75"/>
      <c r="K272" s="3"/>
      <c r="L272" s="3"/>
      <c r="M272" s="3"/>
      <c r="N272" s="3"/>
      <c r="O272" s="3"/>
      <c r="P272" s="3">
        <v>25000000000</v>
      </c>
      <c r="Q272" s="67">
        <f>P272*10^-9</f>
        <v>25</v>
      </c>
      <c r="R272" s="1">
        <v>1.7000000000000001E-2</v>
      </c>
    </row>
    <row r="273" spans="1:18" outlineLevel="1">
      <c r="A273" s="2"/>
      <c r="P273" s="3">
        <v>15000000000</v>
      </c>
      <c r="Q273" s="67">
        <f>P273*10^-9</f>
        <v>15.000000000000002</v>
      </c>
      <c r="R273" s="3">
        <v>1.9E-2</v>
      </c>
    </row>
    <row r="274" spans="1:18" ht="29.25" customHeight="1" outlineLevel="1">
      <c r="A274" s="148" t="s">
        <v>4066</v>
      </c>
      <c r="B274" s="149"/>
      <c r="C274" s="150"/>
      <c r="D274" s="151"/>
      <c r="E274" s="157" t="s">
        <v>4082</v>
      </c>
      <c r="F274" s="153"/>
      <c r="G274" s="153"/>
      <c r="H274" s="153"/>
      <c r="I274" s="153"/>
      <c r="J274" s="153"/>
      <c r="K274" s="154"/>
      <c r="L274" s="154"/>
      <c r="M274" s="154"/>
      <c r="N274" s="154"/>
      <c r="O274" s="155"/>
    </row>
    <row r="275" spans="1:18" s="78" customFormat="1" outlineLevel="1">
      <c r="A275" s="94"/>
      <c r="B275" s="94" t="s">
        <v>4069</v>
      </c>
      <c r="C275" s="4">
        <v>0.5</v>
      </c>
      <c r="D275" s="94">
        <v>1</v>
      </c>
      <c r="E275" s="94">
        <v>5</v>
      </c>
      <c r="F275" s="94">
        <v>15</v>
      </c>
      <c r="G275" s="94">
        <v>25</v>
      </c>
      <c r="H275" s="94">
        <v>50</v>
      </c>
      <c r="I275" s="94">
        <v>100</v>
      </c>
      <c r="J275" s="94">
        <v>200</v>
      </c>
      <c r="K275" s="94">
        <v>500</v>
      </c>
      <c r="L275" s="101">
        <v>1000</v>
      </c>
      <c r="M275" s="101">
        <v>2000</v>
      </c>
      <c r="N275" s="101">
        <v>5000</v>
      </c>
      <c r="O275" s="101">
        <v>8000</v>
      </c>
      <c r="P275" s="3"/>
      <c r="Q275" s="3"/>
      <c r="R275" s="3"/>
    </row>
    <row r="276" spans="1:18" s="78" customFormat="1" outlineLevel="1">
      <c r="A276" s="69" t="s">
        <v>237</v>
      </c>
      <c r="B276" s="68">
        <f t="shared" ref="B276:B281" si="21">F276</f>
        <v>9.9000000000000005E-2</v>
      </c>
      <c r="C276" s="103">
        <f t="shared" ref="C276:C281" si="22">F276</f>
        <v>9.9000000000000005E-2</v>
      </c>
      <c r="D276" s="69">
        <f t="shared" ref="D276:D281" si="23">F276</f>
        <v>9.9000000000000005E-2</v>
      </c>
      <c r="E276" s="69">
        <f t="shared" ref="E276:E281" si="24">F276</f>
        <v>9.9000000000000005E-2</v>
      </c>
      <c r="F276" s="69">
        <v>9.9000000000000005E-2</v>
      </c>
      <c r="G276" s="69">
        <f t="shared" ref="G276:G281" si="25">F276-(F276-H276)/($H$228-$F$228)*($G$228-$F$228)</f>
        <v>8.957142857142858E-2</v>
      </c>
      <c r="H276" s="69">
        <v>6.6000000000000003E-2</v>
      </c>
      <c r="I276" s="69">
        <v>5.0999999999999997E-2</v>
      </c>
      <c r="J276" s="69">
        <v>3.9E-2</v>
      </c>
      <c r="K276" s="69">
        <v>0.03</v>
      </c>
      <c r="L276" s="69">
        <v>2.4E-2</v>
      </c>
      <c r="M276" s="69">
        <v>1.7000000000000001E-2</v>
      </c>
      <c r="N276" s="112">
        <v>1.2999999999999999E-2</v>
      </c>
      <c r="O276" s="112">
        <v>1.2E-2</v>
      </c>
      <c r="P276" s="3"/>
      <c r="Q276" s="3"/>
      <c r="R276" s="3"/>
    </row>
    <row r="277" spans="1:18" s="78" customFormat="1" outlineLevel="1">
      <c r="A277" s="69" t="s">
        <v>252</v>
      </c>
      <c r="B277" s="68">
        <f t="shared" si="21"/>
        <v>0.114</v>
      </c>
      <c r="C277" s="103">
        <f t="shared" si="22"/>
        <v>0.114</v>
      </c>
      <c r="D277" s="69">
        <f t="shared" si="23"/>
        <v>0.114</v>
      </c>
      <c r="E277" s="69">
        <f t="shared" si="24"/>
        <v>0.114</v>
      </c>
      <c r="F277" s="69">
        <v>0.114</v>
      </c>
      <c r="G277" s="69">
        <f t="shared" si="25"/>
        <v>0.10314285714285715</v>
      </c>
      <c r="H277" s="69">
        <v>7.5999999999999998E-2</v>
      </c>
      <c r="I277" s="69">
        <v>5.8000000000000003E-2</v>
      </c>
      <c r="J277" s="69">
        <v>4.4999999999999998E-2</v>
      </c>
      <c r="K277" s="69">
        <v>3.5000000000000003E-2</v>
      </c>
      <c r="L277" s="69">
        <v>2.5999999999999999E-2</v>
      </c>
      <c r="M277" s="69">
        <v>2.1000000000000001E-2</v>
      </c>
      <c r="N277" s="112">
        <v>1.6E-2</v>
      </c>
      <c r="O277" s="112">
        <v>1.2999999999999999E-2</v>
      </c>
      <c r="P277" s="3"/>
      <c r="Q277" s="3"/>
      <c r="R277" s="3"/>
    </row>
    <row r="278" spans="1:18" s="78" customFormat="1" outlineLevel="1">
      <c r="A278" s="69" t="s">
        <v>254</v>
      </c>
      <c r="B278" s="68">
        <f t="shared" si="21"/>
        <v>6.5000000000000002E-2</v>
      </c>
      <c r="C278" s="103">
        <f t="shared" si="22"/>
        <v>6.5000000000000002E-2</v>
      </c>
      <c r="D278" s="69">
        <f t="shared" si="23"/>
        <v>6.5000000000000002E-2</v>
      </c>
      <c r="E278" s="69">
        <f t="shared" si="24"/>
        <v>6.5000000000000002E-2</v>
      </c>
      <c r="F278" s="69">
        <v>6.5000000000000002E-2</v>
      </c>
      <c r="G278" s="69">
        <f t="shared" si="25"/>
        <v>5.8714285714285712E-2</v>
      </c>
      <c r="H278" s="69">
        <v>4.2999999999999997E-2</v>
      </c>
      <c r="I278" s="69">
        <v>3.3000000000000002E-2</v>
      </c>
      <c r="J278" s="69">
        <v>2.5999999999999999E-2</v>
      </c>
      <c r="K278" s="69">
        <v>0.02</v>
      </c>
      <c r="L278" s="69">
        <v>1.4999999999999999E-2</v>
      </c>
      <c r="M278" s="69">
        <v>1.2E-2</v>
      </c>
      <c r="N278" s="112">
        <v>0.01</v>
      </c>
      <c r="O278" s="112">
        <v>8.0000000000000002E-3</v>
      </c>
      <c r="P278" s="3"/>
      <c r="Q278" s="3"/>
      <c r="R278" s="3"/>
    </row>
    <row r="279" spans="1:18" s="78" customFormat="1" outlineLevel="1">
      <c r="A279" s="156" t="s">
        <v>4129</v>
      </c>
      <c r="B279" s="68">
        <f t="shared" si="21"/>
        <v>7.1999999999999995E-2</v>
      </c>
      <c r="C279" s="103">
        <f t="shared" si="22"/>
        <v>7.1999999999999995E-2</v>
      </c>
      <c r="D279" s="69">
        <f t="shared" si="23"/>
        <v>7.1999999999999995E-2</v>
      </c>
      <c r="E279" s="69">
        <f t="shared" si="24"/>
        <v>7.1999999999999995E-2</v>
      </c>
      <c r="F279" s="69">
        <v>7.1999999999999995E-2</v>
      </c>
      <c r="G279" s="69">
        <f t="shared" si="25"/>
        <v>6.5142857142857141E-2</v>
      </c>
      <c r="H279" s="69">
        <v>4.8000000000000001E-2</v>
      </c>
      <c r="I279" s="69">
        <v>3.5999999999999997E-2</v>
      </c>
      <c r="J279" s="69">
        <v>2.9000000000000001E-2</v>
      </c>
      <c r="K279" s="69">
        <v>2.1999999999999999E-2</v>
      </c>
      <c r="L279" s="69">
        <v>1.7000000000000001E-2</v>
      </c>
      <c r="M279" s="69">
        <v>1.4E-2</v>
      </c>
      <c r="N279" s="112">
        <v>0.01</v>
      </c>
      <c r="O279" s="112">
        <v>8.9999999999999993E-3</v>
      </c>
      <c r="P279" s="3"/>
      <c r="Q279" s="3"/>
      <c r="R279" s="3"/>
    </row>
    <row r="280" spans="1:18" s="160" customFormat="1" outlineLevel="1">
      <c r="A280" s="1647" t="s">
        <v>256</v>
      </c>
      <c r="B280" s="68">
        <f t="shared" si="21"/>
        <v>0</v>
      </c>
      <c r="C280" s="103">
        <f t="shared" si="22"/>
        <v>0</v>
      </c>
      <c r="D280" s="69">
        <f t="shared" si="23"/>
        <v>0</v>
      </c>
      <c r="E280" s="69">
        <f t="shared" si="24"/>
        <v>0</v>
      </c>
      <c r="F280" s="1647"/>
      <c r="G280" s="69">
        <f t="shared" si="25"/>
        <v>0</v>
      </c>
      <c r="H280" s="1647"/>
      <c r="I280" s="1647"/>
      <c r="J280" s="1647"/>
      <c r="K280" s="1647"/>
      <c r="L280" s="1647"/>
      <c r="M280" s="1647"/>
      <c r="N280" s="159"/>
      <c r="O280" s="159"/>
      <c r="P280" s="163"/>
      <c r="Q280" s="163"/>
      <c r="R280" s="163"/>
    </row>
    <row r="281" spans="1:18" s="78" customFormat="1" outlineLevel="1">
      <c r="A281" s="69" t="s">
        <v>258</v>
      </c>
      <c r="B281" s="68">
        <f t="shared" si="21"/>
        <v>7.5999999999999998E-2</v>
      </c>
      <c r="C281" s="103">
        <f t="shared" si="22"/>
        <v>7.5999999999999998E-2</v>
      </c>
      <c r="D281" s="69">
        <f t="shared" si="23"/>
        <v>7.5999999999999998E-2</v>
      </c>
      <c r="E281" s="69">
        <f t="shared" si="24"/>
        <v>7.5999999999999998E-2</v>
      </c>
      <c r="F281" s="69">
        <v>7.5999999999999998E-2</v>
      </c>
      <c r="G281" s="69">
        <f t="shared" si="25"/>
        <v>6.8857142857142853E-2</v>
      </c>
      <c r="H281" s="69">
        <v>5.0999999999999997E-2</v>
      </c>
      <c r="I281" s="69">
        <v>3.9E-2</v>
      </c>
      <c r="J281" s="69">
        <v>0.03</v>
      </c>
      <c r="K281" s="69">
        <v>2.4E-2</v>
      </c>
      <c r="L281" s="69">
        <v>1.7999999999999999E-2</v>
      </c>
      <c r="M281" s="69">
        <v>1.6E-2</v>
      </c>
      <c r="N281" s="112">
        <v>1.2E-2</v>
      </c>
      <c r="O281" s="112">
        <v>0.01</v>
      </c>
      <c r="P281" s="3"/>
      <c r="Q281" s="3"/>
      <c r="R281" s="3"/>
    </row>
    <row r="282" spans="1:18" s="78" customFormat="1" outlineLevel="1">
      <c r="A282" s="69"/>
      <c r="B282" s="84"/>
      <c r="C282" s="69"/>
      <c r="D282" s="69"/>
      <c r="E282" s="69"/>
      <c r="F282" s="69"/>
      <c r="G282" s="69"/>
      <c r="H282" s="69"/>
      <c r="I282" s="69"/>
      <c r="J282" s="69"/>
      <c r="K282" s="69"/>
      <c r="L282" s="69"/>
      <c r="M282" s="69"/>
      <c r="N282" s="69"/>
      <c r="O282" s="69"/>
      <c r="P282" s="3"/>
      <c r="Q282" s="3"/>
      <c r="R282" s="3"/>
    </row>
    <row r="283" spans="1:18" s="78" customFormat="1" outlineLevel="1">
      <c r="A283" s="1646"/>
      <c r="B283" s="86"/>
      <c r="C283" s="1646"/>
      <c r="D283" s="1646"/>
      <c r="E283" s="1646"/>
      <c r="F283" s="1646"/>
      <c r="G283" s="1646"/>
      <c r="H283" s="1646"/>
      <c r="I283" s="1646"/>
      <c r="J283" s="1646"/>
      <c r="K283" s="1646"/>
      <c r="L283" s="1646"/>
      <c r="M283" s="1646"/>
      <c r="N283" s="1646"/>
      <c r="O283" s="1646"/>
      <c r="P283" s="3"/>
      <c r="Q283" s="3"/>
      <c r="R283" s="3"/>
    </row>
    <row r="284" spans="1:18" s="1" customFormat="1">
      <c r="A284" s="76" t="s">
        <v>4134</v>
      </c>
      <c r="B284" s="75"/>
      <c r="C284" s="75"/>
      <c r="D284" s="75"/>
      <c r="E284" s="75"/>
      <c r="F284" s="75"/>
      <c r="G284" s="75"/>
      <c r="H284" s="75"/>
      <c r="I284" s="75"/>
      <c r="J284" s="75"/>
      <c r="K284" s="3"/>
      <c r="L284" s="3"/>
      <c r="M284" s="3"/>
      <c r="N284" s="3"/>
      <c r="O284" s="3"/>
      <c r="P284" s="3"/>
      <c r="Q284" s="3"/>
    </row>
    <row r="285" spans="1:18" outlineLevel="1">
      <c r="A285" s="2"/>
    </row>
    <row r="286" spans="1:18" ht="29.25" customHeight="1" outlineLevel="1">
      <c r="A286" s="4" t="s">
        <v>4066</v>
      </c>
      <c r="B286" s="92"/>
      <c r="C286" s="93"/>
      <c r="D286" s="94"/>
      <c r="E286" s="95" t="s">
        <v>4135</v>
      </c>
      <c r="F286" s="95"/>
      <c r="G286" s="95"/>
      <c r="H286" s="95"/>
      <c r="I286" s="95"/>
      <c r="J286" s="95"/>
      <c r="K286" s="96"/>
      <c r="L286" s="96"/>
      <c r="M286" s="96"/>
      <c r="N286" s="96"/>
      <c r="O286" s="97"/>
    </row>
    <row r="287" spans="1:18" s="78" customFormat="1" outlineLevel="1">
      <c r="A287" s="94"/>
      <c r="B287" s="94" t="s">
        <v>4069</v>
      </c>
      <c r="C287" s="4">
        <v>0</v>
      </c>
      <c r="D287" s="94">
        <v>5</v>
      </c>
      <c r="E287" s="94">
        <v>10</v>
      </c>
      <c r="F287" s="94">
        <v>50</v>
      </c>
      <c r="G287" s="94">
        <v>100</v>
      </c>
      <c r="H287" s="94">
        <v>500</v>
      </c>
      <c r="I287" s="94">
        <v>1000</v>
      </c>
      <c r="J287" s="94">
        <v>10000</v>
      </c>
      <c r="K287" s="94">
        <v>20000</v>
      </c>
      <c r="L287" s="101">
        <v>100000</v>
      </c>
      <c r="M287" s="101"/>
      <c r="N287" s="101"/>
      <c r="O287" s="101"/>
      <c r="P287" s="3"/>
      <c r="Q287" s="3"/>
      <c r="R287" s="3"/>
    </row>
    <row r="288" spans="1:18" s="78" customFormat="1" outlineLevel="1">
      <c r="A288" s="69" t="s">
        <v>237</v>
      </c>
      <c r="B288" s="68"/>
      <c r="C288" s="69">
        <v>0.95</v>
      </c>
      <c r="D288" s="69">
        <f>C288</f>
        <v>0.95</v>
      </c>
      <c r="E288" s="69">
        <v>0.65</v>
      </c>
      <c r="F288" s="69">
        <v>0.47499999999999998</v>
      </c>
      <c r="G288" s="69">
        <v>0.375</v>
      </c>
      <c r="H288" s="69">
        <v>0.22500000000000001</v>
      </c>
      <c r="I288" s="69">
        <v>0.15</v>
      </c>
      <c r="J288" s="69">
        <v>0.08</v>
      </c>
      <c r="K288" s="69">
        <f>J288</f>
        <v>0.08</v>
      </c>
      <c r="L288" s="69">
        <f>K288</f>
        <v>0.08</v>
      </c>
      <c r="M288" s="69"/>
      <c r="N288" s="69"/>
      <c r="O288" s="69"/>
      <c r="P288" s="3"/>
      <c r="Q288" s="3"/>
      <c r="R288" s="3"/>
    </row>
    <row r="289" spans="1:17" s="78" customFormat="1" outlineLevel="1">
      <c r="A289" s="69" t="s">
        <v>252</v>
      </c>
      <c r="B289" s="68"/>
      <c r="C289" s="69">
        <f t="shared" ref="C289:L292" si="26">C288</f>
        <v>0.95</v>
      </c>
      <c r="D289" s="69">
        <f t="shared" si="26"/>
        <v>0.95</v>
      </c>
      <c r="E289" s="69">
        <f t="shared" si="26"/>
        <v>0.65</v>
      </c>
      <c r="F289" s="69">
        <f t="shared" si="26"/>
        <v>0.47499999999999998</v>
      </c>
      <c r="G289" s="69">
        <f t="shared" si="26"/>
        <v>0.375</v>
      </c>
      <c r="H289" s="69">
        <f t="shared" si="26"/>
        <v>0.22500000000000001</v>
      </c>
      <c r="I289" s="69">
        <f t="shared" si="26"/>
        <v>0.15</v>
      </c>
      <c r="J289" s="69">
        <f t="shared" si="26"/>
        <v>0.08</v>
      </c>
      <c r="K289" s="69">
        <f t="shared" si="26"/>
        <v>0.08</v>
      </c>
      <c r="L289" s="69">
        <f t="shared" si="26"/>
        <v>0.08</v>
      </c>
      <c r="M289" s="69"/>
      <c r="N289" s="69"/>
      <c r="O289" s="69"/>
      <c r="P289" s="3"/>
      <c r="Q289" s="3"/>
    </row>
    <row r="290" spans="1:17" s="78" customFormat="1" outlineLevel="1">
      <c r="A290" s="69" t="s">
        <v>254</v>
      </c>
      <c r="B290" s="68"/>
      <c r="C290" s="69">
        <f t="shared" si="26"/>
        <v>0.95</v>
      </c>
      <c r="D290" s="69">
        <f t="shared" si="26"/>
        <v>0.95</v>
      </c>
      <c r="E290" s="69">
        <f t="shared" si="26"/>
        <v>0.65</v>
      </c>
      <c r="F290" s="69">
        <f t="shared" si="26"/>
        <v>0.47499999999999998</v>
      </c>
      <c r="G290" s="69">
        <f t="shared" si="26"/>
        <v>0.375</v>
      </c>
      <c r="H290" s="69">
        <f t="shared" si="26"/>
        <v>0.22500000000000001</v>
      </c>
      <c r="I290" s="69">
        <f t="shared" si="26"/>
        <v>0.15</v>
      </c>
      <c r="J290" s="69">
        <f t="shared" si="26"/>
        <v>0.08</v>
      </c>
      <c r="K290" s="69">
        <f t="shared" si="26"/>
        <v>0.08</v>
      </c>
      <c r="L290" s="69">
        <f t="shared" si="26"/>
        <v>0.08</v>
      </c>
      <c r="M290" s="69"/>
      <c r="N290" s="69"/>
      <c r="O290" s="69"/>
      <c r="P290" s="3"/>
      <c r="Q290" s="3"/>
    </row>
    <row r="291" spans="1:17" s="78" customFormat="1" outlineLevel="1">
      <c r="A291" s="69" t="s">
        <v>256</v>
      </c>
      <c r="B291" s="84"/>
      <c r="C291" s="69">
        <f t="shared" si="26"/>
        <v>0.95</v>
      </c>
      <c r="D291" s="69">
        <f t="shared" si="26"/>
        <v>0.95</v>
      </c>
      <c r="E291" s="69">
        <f t="shared" si="26"/>
        <v>0.65</v>
      </c>
      <c r="F291" s="69">
        <f t="shared" si="26"/>
        <v>0.47499999999999998</v>
      </c>
      <c r="G291" s="69">
        <f t="shared" si="26"/>
        <v>0.375</v>
      </c>
      <c r="H291" s="69">
        <f t="shared" si="26"/>
        <v>0.22500000000000001</v>
      </c>
      <c r="I291" s="69">
        <f t="shared" si="26"/>
        <v>0.15</v>
      </c>
      <c r="J291" s="69">
        <f t="shared" si="26"/>
        <v>0.08</v>
      </c>
      <c r="K291" s="69">
        <f t="shared" si="26"/>
        <v>0.08</v>
      </c>
      <c r="L291" s="69">
        <f t="shared" si="26"/>
        <v>0.08</v>
      </c>
      <c r="M291" s="69"/>
      <c r="N291" s="69"/>
      <c r="O291" s="69"/>
      <c r="P291" s="3"/>
      <c r="Q291" s="3"/>
    </row>
    <row r="292" spans="1:17" s="78" customFormat="1" outlineLevel="1">
      <c r="A292" s="69" t="s">
        <v>258</v>
      </c>
      <c r="B292" s="84"/>
      <c r="C292" s="69">
        <f t="shared" si="26"/>
        <v>0.95</v>
      </c>
      <c r="D292" s="69">
        <f t="shared" si="26"/>
        <v>0.95</v>
      </c>
      <c r="E292" s="69">
        <f t="shared" si="26"/>
        <v>0.65</v>
      </c>
      <c r="F292" s="69">
        <f t="shared" si="26"/>
        <v>0.47499999999999998</v>
      </c>
      <c r="G292" s="69">
        <f t="shared" si="26"/>
        <v>0.375</v>
      </c>
      <c r="H292" s="69">
        <f t="shared" si="26"/>
        <v>0.22500000000000001</v>
      </c>
      <c r="I292" s="69">
        <f t="shared" si="26"/>
        <v>0.15</v>
      </c>
      <c r="J292" s="69">
        <f t="shared" si="26"/>
        <v>0.08</v>
      </c>
      <c r="K292" s="69">
        <f t="shared" si="26"/>
        <v>0.08</v>
      </c>
      <c r="L292" s="69">
        <f t="shared" si="26"/>
        <v>0.08</v>
      </c>
      <c r="M292" s="69"/>
      <c r="N292" s="69"/>
      <c r="O292" s="69"/>
      <c r="P292" s="3"/>
      <c r="Q292" s="3"/>
    </row>
    <row r="293" spans="1:17" s="78" customFormat="1" outlineLevel="1">
      <c r="A293" s="69"/>
      <c r="B293" s="84"/>
      <c r="C293" s="69"/>
      <c r="D293" s="69"/>
      <c r="E293" s="69"/>
      <c r="F293" s="69"/>
      <c r="G293" s="69"/>
      <c r="H293" s="69"/>
      <c r="I293" s="69"/>
      <c r="J293" s="69"/>
      <c r="K293" s="69"/>
      <c r="L293" s="69"/>
      <c r="M293" s="69"/>
      <c r="N293" s="69"/>
      <c r="O293" s="69"/>
      <c r="P293" s="3"/>
      <c r="Q293" s="3"/>
    </row>
    <row r="294" spans="1:17" s="78" customFormat="1" outlineLevel="1">
      <c r="A294" s="1646"/>
      <c r="B294" s="86"/>
      <c r="C294" s="1646"/>
      <c r="D294" s="1646"/>
      <c r="E294" s="1646"/>
      <c r="F294" s="1646"/>
      <c r="G294" s="1646"/>
      <c r="H294" s="1646"/>
      <c r="I294" s="1646"/>
      <c r="J294" s="1646"/>
      <c r="K294" s="1646"/>
      <c r="L294" s="1646"/>
      <c r="M294" s="1646"/>
      <c r="N294" s="1646"/>
      <c r="O294" s="1646"/>
      <c r="P294" s="3"/>
      <c r="Q294" s="3"/>
    </row>
    <row r="295" spans="1:17" s="1" customFormat="1">
      <c r="A295" s="128" t="s">
        <v>4136</v>
      </c>
      <c r="B295" s="97"/>
      <c r="C295" s="97"/>
      <c r="D295" s="97"/>
      <c r="E295" s="97"/>
      <c r="F295" s="97"/>
      <c r="G295" s="97"/>
      <c r="H295" s="97"/>
      <c r="I295" s="97"/>
      <c r="J295" s="97"/>
      <c r="K295" s="5"/>
      <c r="L295" s="5"/>
      <c r="M295" s="5"/>
      <c r="N295" s="5"/>
      <c r="O295" s="5"/>
      <c r="P295" s="3"/>
      <c r="Q295" s="3"/>
    </row>
    <row r="296" spans="1:17" outlineLevel="1">
      <c r="A296" s="116"/>
      <c r="B296" s="5"/>
      <c r="C296" s="5"/>
      <c r="D296" s="5"/>
      <c r="E296" s="5"/>
      <c r="F296" s="5"/>
      <c r="G296" s="5"/>
      <c r="H296" s="5"/>
      <c r="I296" s="5"/>
      <c r="J296" s="5"/>
      <c r="K296" s="5"/>
      <c r="L296" s="5"/>
      <c r="M296" s="5"/>
      <c r="N296" s="5"/>
      <c r="O296" s="5"/>
    </row>
    <row r="297" spans="1:17" ht="29.25" customHeight="1" outlineLevel="1">
      <c r="A297" s="4" t="s">
        <v>4066</v>
      </c>
      <c r="B297" s="92"/>
      <c r="C297" s="93"/>
      <c r="D297" s="94"/>
      <c r="E297" s="95" t="s">
        <v>4135</v>
      </c>
      <c r="F297" s="95"/>
      <c r="G297" s="95"/>
      <c r="H297" s="95"/>
      <c r="I297" s="95"/>
      <c r="J297" s="95"/>
      <c r="K297" s="96"/>
      <c r="L297" s="96"/>
      <c r="M297" s="96"/>
      <c r="N297" s="96"/>
      <c r="O297" s="97"/>
    </row>
    <row r="298" spans="1:17" s="78" customFormat="1" outlineLevel="1">
      <c r="A298" s="94"/>
      <c r="B298" s="94" t="s">
        <v>4069</v>
      </c>
      <c r="C298" s="4">
        <v>0</v>
      </c>
      <c r="D298" s="94">
        <v>5</v>
      </c>
      <c r="E298" s="94">
        <v>10</v>
      </c>
      <c r="F298" s="94">
        <v>50</v>
      </c>
      <c r="G298" s="94">
        <v>100</v>
      </c>
      <c r="H298" s="94">
        <v>500</v>
      </c>
      <c r="I298" s="94">
        <v>1000</v>
      </c>
      <c r="J298" s="94">
        <v>10000</v>
      </c>
      <c r="K298" s="94">
        <v>20000</v>
      </c>
      <c r="L298" s="101">
        <v>100000</v>
      </c>
      <c r="M298" s="101"/>
      <c r="N298" s="101"/>
      <c r="O298" s="101"/>
      <c r="P298" s="3"/>
      <c r="Q298" s="3"/>
    </row>
    <row r="299" spans="1:17" s="78" customFormat="1" outlineLevel="1">
      <c r="A299" s="69" t="s">
        <v>237</v>
      </c>
      <c r="B299" s="68"/>
      <c r="C299" s="103">
        <v>1.6</v>
      </c>
      <c r="D299" s="69">
        <f>C299</f>
        <v>1.6</v>
      </c>
      <c r="E299" s="69">
        <v>1.075</v>
      </c>
      <c r="F299" s="69">
        <v>0.75</v>
      </c>
      <c r="G299" s="69">
        <v>0.57499999999999996</v>
      </c>
      <c r="H299" s="69">
        <v>0.32300000000000001</v>
      </c>
      <c r="I299" s="69">
        <v>0.215</v>
      </c>
      <c r="J299" s="69">
        <v>0.115</v>
      </c>
      <c r="K299" s="69">
        <f>J299</f>
        <v>0.115</v>
      </c>
      <c r="L299" s="69">
        <f>K299</f>
        <v>0.115</v>
      </c>
      <c r="M299" s="69"/>
      <c r="N299" s="69"/>
      <c r="O299" s="69"/>
      <c r="P299" s="3"/>
      <c r="Q299" s="3"/>
    </row>
    <row r="300" spans="1:17" s="78" customFormat="1" outlineLevel="1">
      <c r="A300" s="69" t="s">
        <v>252</v>
      </c>
      <c r="B300" s="68"/>
      <c r="C300" s="69">
        <f t="shared" ref="C300:L303" si="27">C299</f>
        <v>1.6</v>
      </c>
      <c r="D300" s="69">
        <f t="shared" si="27"/>
        <v>1.6</v>
      </c>
      <c r="E300" s="69">
        <f t="shared" si="27"/>
        <v>1.075</v>
      </c>
      <c r="F300" s="69">
        <f t="shared" si="27"/>
        <v>0.75</v>
      </c>
      <c r="G300" s="69">
        <f t="shared" si="27"/>
        <v>0.57499999999999996</v>
      </c>
      <c r="H300" s="69">
        <f t="shared" si="27"/>
        <v>0.32300000000000001</v>
      </c>
      <c r="I300" s="69">
        <f t="shared" si="27"/>
        <v>0.215</v>
      </c>
      <c r="J300" s="69">
        <f t="shared" si="27"/>
        <v>0.115</v>
      </c>
      <c r="K300" s="69">
        <f t="shared" si="27"/>
        <v>0.115</v>
      </c>
      <c r="L300" s="69">
        <f t="shared" si="27"/>
        <v>0.115</v>
      </c>
      <c r="M300" s="69"/>
      <c r="N300" s="69"/>
      <c r="O300" s="69"/>
      <c r="P300" s="3"/>
      <c r="Q300" s="3"/>
    </row>
    <row r="301" spans="1:17" s="78" customFormat="1" outlineLevel="1">
      <c r="A301" s="69" t="s">
        <v>254</v>
      </c>
      <c r="B301" s="68"/>
      <c r="C301" s="69">
        <f t="shared" si="27"/>
        <v>1.6</v>
      </c>
      <c r="D301" s="69">
        <f t="shared" si="27"/>
        <v>1.6</v>
      </c>
      <c r="E301" s="69">
        <f t="shared" si="27"/>
        <v>1.075</v>
      </c>
      <c r="F301" s="69">
        <f t="shared" si="27"/>
        <v>0.75</v>
      </c>
      <c r="G301" s="69">
        <f t="shared" si="27"/>
        <v>0.57499999999999996</v>
      </c>
      <c r="H301" s="69">
        <f t="shared" si="27"/>
        <v>0.32300000000000001</v>
      </c>
      <c r="I301" s="69">
        <f t="shared" si="27"/>
        <v>0.215</v>
      </c>
      <c r="J301" s="69">
        <f t="shared" si="27"/>
        <v>0.115</v>
      </c>
      <c r="K301" s="69">
        <f t="shared" si="27"/>
        <v>0.115</v>
      </c>
      <c r="L301" s="69">
        <f t="shared" si="27"/>
        <v>0.115</v>
      </c>
      <c r="M301" s="69"/>
      <c r="N301" s="69"/>
      <c r="O301" s="69"/>
      <c r="P301" s="3"/>
      <c r="Q301" s="3"/>
    </row>
    <row r="302" spans="1:17" s="78" customFormat="1" outlineLevel="1">
      <c r="A302" s="69" t="s">
        <v>256</v>
      </c>
      <c r="B302" s="84"/>
      <c r="C302" s="69">
        <f t="shared" si="27"/>
        <v>1.6</v>
      </c>
      <c r="D302" s="69">
        <f t="shared" si="27"/>
        <v>1.6</v>
      </c>
      <c r="E302" s="69">
        <f t="shared" si="27"/>
        <v>1.075</v>
      </c>
      <c r="F302" s="69">
        <f t="shared" si="27"/>
        <v>0.75</v>
      </c>
      <c r="G302" s="69">
        <f t="shared" si="27"/>
        <v>0.57499999999999996</v>
      </c>
      <c r="H302" s="69">
        <f t="shared" si="27"/>
        <v>0.32300000000000001</v>
      </c>
      <c r="I302" s="69">
        <f t="shared" si="27"/>
        <v>0.215</v>
      </c>
      <c r="J302" s="69">
        <f t="shared" si="27"/>
        <v>0.115</v>
      </c>
      <c r="K302" s="69">
        <f t="shared" si="27"/>
        <v>0.115</v>
      </c>
      <c r="L302" s="69">
        <f t="shared" si="27"/>
        <v>0.115</v>
      </c>
      <c r="M302" s="69"/>
      <c r="N302" s="69"/>
      <c r="O302" s="69"/>
      <c r="P302" s="3"/>
      <c r="Q302" s="3"/>
    </row>
    <row r="303" spans="1:17" s="78" customFormat="1" outlineLevel="1">
      <c r="A303" s="69" t="s">
        <v>258</v>
      </c>
      <c r="B303" s="84"/>
      <c r="C303" s="69">
        <f t="shared" si="27"/>
        <v>1.6</v>
      </c>
      <c r="D303" s="69">
        <f t="shared" si="27"/>
        <v>1.6</v>
      </c>
      <c r="E303" s="69">
        <f t="shared" si="27"/>
        <v>1.075</v>
      </c>
      <c r="F303" s="69">
        <f t="shared" si="27"/>
        <v>0.75</v>
      </c>
      <c r="G303" s="69">
        <f t="shared" si="27"/>
        <v>0.57499999999999996</v>
      </c>
      <c r="H303" s="69">
        <f t="shared" si="27"/>
        <v>0.32300000000000001</v>
      </c>
      <c r="I303" s="69">
        <f t="shared" si="27"/>
        <v>0.215</v>
      </c>
      <c r="J303" s="69">
        <f t="shared" si="27"/>
        <v>0.115</v>
      </c>
      <c r="K303" s="69">
        <f t="shared" si="27"/>
        <v>0.115</v>
      </c>
      <c r="L303" s="69">
        <f t="shared" si="27"/>
        <v>0.115</v>
      </c>
      <c r="M303" s="69"/>
      <c r="N303" s="69"/>
      <c r="O303" s="69"/>
      <c r="P303" s="3"/>
      <c r="Q303" s="3"/>
    </row>
    <row r="304" spans="1:17" s="78" customFormat="1" outlineLevel="1">
      <c r="A304" s="69"/>
      <c r="B304" s="84"/>
      <c r="C304" s="69"/>
      <c r="D304" s="69"/>
      <c r="E304" s="69"/>
      <c r="F304" s="69"/>
      <c r="G304" s="69"/>
      <c r="H304" s="69"/>
      <c r="I304" s="69"/>
      <c r="J304" s="69"/>
      <c r="K304" s="69"/>
      <c r="L304" s="69"/>
      <c r="M304" s="69"/>
      <c r="N304" s="69"/>
      <c r="O304" s="69"/>
      <c r="P304" s="3"/>
      <c r="Q304" s="3"/>
    </row>
    <row r="306" spans="1:17" s="1" customFormat="1">
      <c r="A306" s="88" t="s">
        <v>4137</v>
      </c>
      <c r="B306" s="75"/>
      <c r="C306" s="75"/>
      <c r="D306" s="75"/>
      <c r="E306" s="75"/>
      <c r="F306" s="75"/>
      <c r="G306" s="75"/>
      <c r="H306" s="75"/>
      <c r="I306" s="75"/>
      <c r="J306" s="75"/>
      <c r="K306" s="3"/>
      <c r="L306" s="3"/>
      <c r="M306" s="3"/>
      <c r="N306" s="3"/>
      <c r="O306" s="3"/>
      <c r="P306" s="3"/>
      <c r="Q306" s="3"/>
    </row>
    <row r="307" spans="1:17" outlineLevel="1">
      <c r="A307" s="2"/>
    </row>
    <row r="308" spans="1:17" ht="29.25" customHeight="1" outlineLevel="1" thickBot="1">
      <c r="A308" s="4" t="s">
        <v>4066</v>
      </c>
      <c r="B308" s="71"/>
      <c r="C308" s="85"/>
      <c r="D308" s="79"/>
      <c r="E308" s="72" t="s">
        <v>4138</v>
      </c>
      <c r="F308" s="73"/>
      <c r="G308" s="73"/>
      <c r="H308" s="73"/>
      <c r="I308" s="73"/>
      <c r="J308" s="73"/>
      <c r="K308" s="82"/>
      <c r="L308" s="82"/>
      <c r="M308" s="82"/>
      <c r="N308" s="82"/>
      <c r="O308" s="83"/>
    </row>
    <row r="309" spans="1:17" s="78" customFormat="1" ht="15" outlineLevel="1" thickBot="1">
      <c r="A309" s="77"/>
      <c r="B309" s="77"/>
      <c r="C309" s="87"/>
      <c r="D309" s="79"/>
      <c r="E309" s="79"/>
      <c r="F309" s="110">
        <v>15</v>
      </c>
      <c r="G309" s="110">
        <v>20</v>
      </c>
      <c r="H309" s="110">
        <v>50</v>
      </c>
      <c r="I309" s="110">
        <v>100</v>
      </c>
      <c r="J309" s="110">
        <v>200</v>
      </c>
      <c r="K309" s="110">
        <v>500</v>
      </c>
      <c r="L309" s="111">
        <v>1000</v>
      </c>
      <c r="M309" s="111">
        <v>2000</v>
      </c>
      <c r="N309" s="111">
        <v>5000</v>
      </c>
      <c r="O309" s="111">
        <v>10000</v>
      </c>
      <c r="P309" s="115">
        <v>20000</v>
      </c>
      <c r="Q309" s="3"/>
    </row>
    <row r="310" spans="1:17" s="78" customFormat="1" ht="15" outlineLevel="1" thickBot="1">
      <c r="A310" s="1634" t="s">
        <v>237</v>
      </c>
      <c r="B310" s="68"/>
      <c r="C310" s="1634"/>
      <c r="D310" s="1634"/>
      <c r="E310" s="1634"/>
      <c r="F310" s="1636">
        <v>9.8000000000000004E-2</v>
      </c>
      <c r="G310" s="1636">
        <v>8.1000000000000003E-2</v>
      </c>
      <c r="H310" s="1636">
        <v>6.6000000000000003E-2</v>
      </c>
      <c r="I310" s="1636">
        <v>4.7E-2</v>
      </c>
      <c r="J310" s="1636">
        <v>3.5000000000000003E-2</v>
      </c>
      <c r="K310" s="1636">
        <v>2.3E-2</v>
      </c>
      <c r="L310" s="1636">
        <v>0.02</v>
      </c>
      <c r="M310" s="1636">
        <v>1.7000000000000001E-2</v>
      </c>
      <c r="N310" s="1636">
        <v>1.4E-2</v>
      </c>
      <c r="O310" s="1636">
        <v>0.01</v>
      </c>
      <c r="P310" s="112">
        <v>0.08</v>
      </c>
      <c r="Q310" s="3"/>
    </row>
    <row r="311" spans="1:17" s="78" customFormat="1" ht="15" outlineLevel="1" thickBot="1">
      <c r="A311" s="1634" t="s">
        <v>252</v>
      </c>
      <c r="B311" s="68"/>
      <c r="C311" s="1634"/>
      <c r="D311" s="1634"/>
      <c r="E311" s="1634"/>
      <c r="F311" s="1636">
        <v>0.14000000000000001</v>
      </c>
      <c r="G311" s="1636">
        <v>0.11899999999999999</v>
      </c>
      <c r="H311" s="1636">
        <v>9.5000000000000001E-2</v>
      </c>
      <c r="I311" s="1636">
        <v>7.0000000000000007E-2</v>
      </c>
      <c r="J311" s="1636">
        <v>5.5E-2</v>
      </c>
      <c r="K311" s="1636">
        <v>4.1000000000000002E-2</v>
      </c>
      <c r="L311" s="1636">
        <v>3.5999999999999997E-2</v>
      </c>
      <c r="M311" s="1636">
        <v>2.9000000000000001E-2</v>
      </c>
      <c r="N311" s="1636">
        <v>2.5000000000000001E-2</v>
      </c>
      <c r="O311" s="1636">
        <v>1.4999999999999999E-2</v>
      </c>
      <c r="P311" s="112">
        <v>0.01</v>
      </c>
      <c r="Q311" s="3"/>
    </row>
    <row r="312" spans="1:17" s="78" customFormat="1" ht="15" outlineLevel="1" thickBot="1">
      <c r="A312" s="1634" t="s">
        <v>254</v>
      </c>
      <c r="B312" s="68"/>
      <c r="C312" s="1634"/>
      <c r="D312" s="1634"/>
      <c r="E312" s="1634"/>
      <c r="F312" s="1636">
        <v>7.3999999999999996E-2</v>
      </c>
      <c r="G312" s="1636">
        <v>6.7000000000000004E-2</v>
      </c>
      <c r="H312" s="1636">
        <v>5.3999999999999999E-2</v>
      </c>
      <c r="I312" s="1636">
        <v>4.2000000000000003E-2</v>
      </c>
      <c r="J312" s="1636">
        <v>2.9000000000000001E-2</v>
      </c>
      <c r="K312" s="1636">
        <v>1.7999999999999999E-2</v>
      </c>
      <c r="L312" s="1636">
        <v>1.6E-2</v>
      </c>
      <c r="M312" s="1636">
        <v>1.2999999999999999E-2</v>
      </c>
      <c r="N312" s="1636">
        <v>1.0999999999999999E-2</v>
      </c>
      <c r="O312" s="1636">
        <v>7.0000000000000001E-3</v>
      </c>
      <c r="P312" s="112">
        <v>5.0000000000000001E-3</v>
      </c>
      <c r="Q312" s="3"/>
    </row>
    <row r="313" spans="1:17" s="78" customFormat="1" ht="15" outlineLevel="1" thickBot="1">
      <c r="A313" s="1634" t="s">
        <v>256</v>
      </c>
      <c r="B313" s="84"/>
      <c r="C313" s="1634"/>
      <c r="D313" s="1634"/>
      <c r="E313" s="1634"/>
      <c r="F313" s="1636">
        <v>8.7999999999999995E-2</v>
      </c>
      <c r="G313" s="1636">
        <v>0.08</v>
      </c>
      <c r="H313" s="1636">
        <v>6.4000000000000001E-2</v>
      </c>
      <c r="I313" s="1636">
        <v>4.4999999999999998E-2</v>
      </c>
      <c r="J313" s="1636">
        <v>3.4000000000000002E-2</v>
      </c>
      <c r="K313" s="1636">
        <v>2.1999999999999999E-2</v>
      </c>
      <c r="L313" s="1636">
        <v>1.9E-2</v>
      </c>
      <c r="M313" s="1636">
        <v>1.6E-2</v>
      </c>
      <c r="N313" s="1636">
        <v>1.2999999999999999E-2</v>
      </c>
      <c r="O313" s="1636">
        <v>8.9999999999999993E-3</v>
      </c>
      <c r="P313" s="112">
        <v>7.0000000000000001E-3</v>
      </c>
      <c r="Q313" s="3"/>
    </row>
    <row r="314" spans="1:17" s="78" customFormat="1" ht="15" outlineLevel="1" thickBot="1">
      <c r="A314" s="1634" t="s">
        <v>258</v>
      </c>
      <c r="B314" s="84"/>
      <c r="C314" s="79"/>
      <c r="D314" s="1634"/>
      <c r="E314" s="1634"/>
      <c r="F314" s="1636">
        <v>7.6999999999999999E-2</v>
      </c>
      <c r="G314" s="1636">
        <v>7.0000000000000007E-2</v>
      </c>
      <c r="H314" s="1636">
        <v>5.6000000000000001E-2</v>
      </c>
      <c r="I314" s="1636">
        <v>4.3999999999999997E-2</v>
      </c>
      <c r="J314" s="1636">
        <v>0.03</v>
      </c>
      <c r="K314" s="1636">
        <v>1.9E-2</v>
      </c>
      <c r="L314" s="1636">
        <v>1.7000000000000001E-2</v>
      </c>
      <c r="M314" s="1636">
        <v>1.4E-2</v>
      </c>
      <c r="N314" s="1636">
        <v>1.2E-2</v>
      </c>
      <c r="O314" s="1636">
        <v>8.0000000000000002E-3</v>
      </c>
      <c r="P314" s="112">
        <v>6.0000000000000001E-3</v>
      </c>
      <c r="Q314" s="3"/>
    </row>
    <row r="315" spans="1:17" s="78" customFormat="1" ht="15" outlineLevel="1" thickBot="1">
      <c r="A315" s="1634"/>
      <c r="B315" s="84"/>
      <c r="C315" s="1634"/>
      <c r="D315" s="1634"/>
      <c r="E315" s="1634"/>
      <c r="F315" s="1635"/>
      <c r="G315" s="1635"/>
      <c r="H315" s="1635"/>
      <c r="I315" s="1635"/>
      <c r="J315" s="1635"/>
      <c r="K315" s="1635"/>
      <c r="L315" s="1635"/>
      <c r="M315" s="1635"/>
      <c r="N315" s="1635"/>
      <c r="O315" s="1635"/>
      <c r="P315" s="3"/>
      <c r="Q315" s="3"/>
    </row>
    <row r="317" spans="1:17" ht="15.75">
      <c r="A317" s="180" t="s">
        <v>4139</v>
      </c>
      <c r="B317" s="75"/>
      <c r="C317" s="75"/>
      <c r="D317" s="75"/>
      <c r="E317" s="75"/>
      <c r="F317" s="75"/>
      <c r="G317" s="75"/>
      <c r="H317" s="75"/>
      <c r="I317" s="75"/>
      <c r="J317" s="75"/>
      <c r="K317" s="75"/>
      <c r="L317" s="75"/>
      <c r="M317" s="75"/>
      <c r="N317" s="75"/>
      <c r="O317" s="75"/>
      <c r="P317" s="75"/>
    </row>
    <row r="318" spans="1:17" s="1" customFormat="1" ht="18.75">
      <c r="A318" s="181" t="s">
        <v>4140</v>
      </c>
      <c r="B318" s="75"/>
      <c r="C318" s="75"/>
      <c r="D318" s="75"/>
      <c r="E318" s="75"/>
      <c r="F318" s="75"/>
      <c r="G318" s="75"/>
      <c r="H318" s="75"/>
      <c r="I318" s="75"/>
      <c r="J318" s="75"/>
      <c r="K318" s="75"/>
      <c r="L318" s="75"/>
      <c r="M318" s="75"/>
      <c r="N318" s="75"/>
      <c r="O318" s="75"/>
      <c r="P318" s="75"/>
      <c r="Q318" s="3"/>
    </row>
    <row r="319" spans="1:17" ht="18.75" outlineLevel="1">
      <c r="A319" s="179"/>
    </row>
    <row r="320" spans="1:17" ht="29.25" customHeight="1" outlineLevel="1" thickBot="1">
      <c r="A320" s="4" t="s">
        <v>4066</v>
      </c>
      <c r="B320" s="71"/>
      <c r="C320" s="85"/>
      <c r="D320" s="79"/>
      <c r="E320" s="95" t="s">
        <v>4135</v>
      </c>
      <c r="F320" s="73"/>
      <c r="G320" s="73"/>
      <c r="H320" s="73"/>
      <c r="I320" s="73"/>
      <c r="J320" s="73"/>
      <c r="K320" s="82"/>
      <c r="L320" s="82"/>
      <c r="M320" s="82"/>
      <c r="N320" s="82"/>
      <c r="O320" s="83"/>
    </row>
    <row r="321" spans="1:16" s="78" customFormat="1" ht="15" outlineLevel="1" thickBot="1">
      <c r="A321" s="77"/>
      <c r="B321" s="77"/>
      <c r="C321" s="87"/>
      <c r="D321" s="79"/>
      <c r="E321" s="79"/>
      <c r="F321" s="110">
        <v>15</v>
      </c>
      <c r="G321" s="110">
        <v>20</v>
      </c>
      <c r="H321" s="110">
        <v>50</v>
      </c>
      <c r="I321" s="110">
        <v>100</v>
      </c>
      <c r="J321" s="110">
        <v>200</v>
      </c>
      <c r="K321" s="110">
        <v>500</v>
      </c>
      <c r="L321" s="111">
        <v>1000</v>
      </c>
      <c r="M321" s="111">
        <v>2000</v>
      </c>
      <c r="N321" s="111">
        <v>5000</v>
      </c>
      <c r="O321" s="111">
        <v>10000</v>
      </c>
      <c r="P321" s="115">
        <v>20000</v>
      </c>
    </row>
    <row r="322" spans="1:16" s="78" customFormat="1" ht="15" outlineLevel="1" thickBot="1">
      <c r="A322" s="1634" t="s">
        <v>258</v>
      </c>
      <c r="B322" s="84"/>
      <c r="C322" s="79"/>
      <c r="D322" s="1634"/>
      <c r="E322" s="1634"/>
      <c r="F322" s="1636">
        <v>8.77E-2</v>
      </c>
      <c r="G322" s="1647">
        <f>F322-(F322-H322)/($H$321-$F$321)*($G$321-$F$321)</f>
        <v>8.0705714285714283E-2</v>
      </c>
      <c r="H322" s="1636">
        <v>3.8739999999999997E-2</v>
      </c>
      <c r="I322" s="1636">
        <v>2.6839999999999999E-2</v>
      </c>
      <c r="J322" s="1647">
        <f>I322-(I322-K322)/($H$321-$F$321)*($G$321-$F$321)</f>
        <v>2.3985714285714284E-2</v>
      </c>
      <c r="K322" s="1636">
        <v>6.8599999999999998E-3</v>
      </c>
      <c r="L322" s="1636">
        <v>4.2700000000000004E-3</v>
      </c>
      <c r="M322" s="1647">
        <f>L322-(L322-N322)/($H$321-$F$321)*($G$321-$F$321)</f>
        <v>3.8071428571428575E-3</v>
      </c>
      <c r="N322" s="1636">
        <v>1.0300000000000001E-3</v>
      </c>
      <c r="O322" s="1636">
        <v>5.5000000000000003E-4</v>
      </c>
      <c r="P322" s="112">
        <f>O322</f>
        <v>5.5000000000000003E-4</v>
      </c>
    </row>
    <row r="323" spans="1:16" s="78" customFormat="1" ht="15" outlineLevel="1" thickBot="1">
      <c r="A323" s="1634" t="s">
        <v>237</v>
      </c>
      <c r="B323" s="68"/>
      <c r="C323" s="1634"/>
      <c r="D323" s="1634"/>
      <c r="E323" s="1634"/>
      <c r="F323" s="1636">
        <v>0.12278</v>
      </c>
      <c r="G323" s="1647">
        <f t="shared" ref="G323:G329" si="28">F323-(F323-H323)/($H$321-$F$321)*($G$321-$F$321)</f>
        <v>0.11298857142857142</v>
      </c>
      <c r="H323" s="1636">
        <v>5.4239999999999997E-2</v>
      </c>
      <c r="I323" s="1636">
        <v>3.7569999999999999E-2</v>
      </c>
      <c r="J323" s="1647">
        <f t="shared" ref="J323:J329" si="29">I323-(I323-K323)/($H$321-$F$321)*($G$321-$F$321)</f>
        <v>3.3574285714285709E-2</v>
      </c>
      <c r="K323" s="1636">
        <v>9.5999999999999992E-3</v>
      </c>
      <c r="L323" s="1636">
        <v>5.9800000000000001E-3</v>
      </c>
      <c r="M323" s="1647">
        <f t="shared" ref="M323:M329" si="30">L323-(L323-N323)/($H$321-$F$321)*($G$321-$F$321)</f>
        <v>5.3314285714285712E-3</v>
      </c>
      <c r="N323" s="1636">
        <v>1.4400000000000001E-3</v>
      </c>
      <c r="O323" s="1636">
        <v>7.6999999999999996E-4</v>
      </c>
      <c r="P323" s="112">
        <f>O323</f>
        <v>7.6999999999999996E-4</v>
      </c>
    </row>
    <row r="324" spans="1:16" s="78" customFormat="1" ht="15" outlineLevel="1" thickBot="1">
      <c r="A324" s="1634" t="s">
        <v>254</v>
      </c>
      <c r="B324" s="68"/>
      <c r="C324" s="1634"/>
      <c r="D324" s="1634"/>
      <c r="E324" s="1634"/>
      <c r="F324" s="1636">
        <v>9.647E-2</v>
      </c>
      <c r="G324" s="1647">
        <f t="shared" si="28"/>
        <v>8.877714285714286E-2</v>
      </c>
      <c r="H324" s="1636">
        <v>4.2619999999999998E-2</v>
      </c>
      <c r="I324" s="1636">
        <v>2.9520000000000001E-2</v>
      </c>
      <c r="J324" s="1647">
        <f t="shared" si="29"/>
        <v>2.6381428571428573E-2</v>
      </c>
      <c r="K324" s="1636">
        <v>7.5500000000000003E-3</v>
      </c>
      <c r="L324" s="1636">
        <v>4.7000000000000002E-3</v>
      </c>
      <c r="M324" s="1647">
        <f t="shared" si="30"/>
        <v>4.1900000000000001E-3</v>
      </c>
      <c r="N324" s="1636">
        <v>1.1299999999999999E-3</v>
      </c>
      <c r="O324" s="1636">
        <v>6.0999999999999997E-4</v>
      </c>
      <c r="P324" s="112">
        <f t="shared" ref="P324:P329" si="31">O324</f>
        <v>6.0999999999999997E-4</v>
      </c>
    </row>
    <row r="325" spans="1:16" s="78" customFormat="1" ht="15" outlineLevel="1" thickBot="1">
      <c r="A325" s="182" t="s">
        <v>4141</v>
      </c>
      <c r="B325" s="68"/>
      <c r="C325" s="1634"/>
      <c r="D325" s="1634"/>
      <c r="E325" s="1634"/>
      <c r="F325" s="1636">
        <v>0.17541000000000001</v>
      </c>
      <c r="G325" s="1647">
        <f t="shared" si="28"/>
        <v>0.16142142857142858</v>
      </c>
      <c r="H325" s="1636">
        <v>7.7490000000000003E-2</v>
      </c>
      <c r="I325" s="1636">
        <v>5.3670000000000002E-2</v>
      </c>
      <c r="J325" s="1647">
        <f t="shared" si="29"/>
        <v>4.7962857142857147E-2</v>
      </c>
      <c r="K325" s="1636">
        <v>1.372E-2</v>
      </c>
      <c r="L325" s="1636">
        <v>8.5400000000000007E-3</v>
      </c>
      <c r="M325" s="1647">
        <f t="shared" si="30"/>
        <v>7.6142857142857149E-3</v>
      </c>
      <c r="N325" s="1636">
        <v>2.0600000000000002E-3</v>
      </c>
      <c r="O325" s="1636">
        <v>1.1000000000000001E-3</v>
      </c>
      <c r="P325" s="112">
        <f t="shared" si="31"/>
        <v>1.1000000000000001E-3</v>
      </c>
    </row>
    <row r="326" spans="1:16" s="78" customFormat="1" ht="15" outlineLevel="1" thickBot="1">
      <c r="A326" s="1634" t="s">
        <v>252</v>
      </c>
      <c r="B326" s="68"/>
      <c r="C326" s="1634"/>
      <c r="D326" s="1634"/>
      <c r="E326" s="1634"/>
      <c r="F326" s="1636">
        <v>0.11401</v>
      </c>
      <c r="G326" s="1647">
        <f t="shared" si="28"/>
        <v>0.10491857142857143</v>
      </c>
      <c r="H326" s="1636">
        <v>5.0369999999999998E-2</v>
      </c>
      <c r="I326" s="1636">
        <v>3.4889999999999997E-2</v>
      </c>
      <c r="J326" s="1647">
        <f t="shared" si="29"/>
        <v>3.1179999999999999E-2</v>
      </c>
      <c r="K326" s="1636">
        <v>8.9200000000000008E-3</v>
      </c>
      <c r="L326" s="1636">
        <v>5.5500000000000002E-3</v>
      </c>
      <c r="M326" s="1647">
        <f t="shared" si="30"/>
        <v>4.9485714285714289E-3</v>
      </c>
      <c r="N326" s="1636">
        <v>1.34E-3</v>
      </c>
      <c r="O326" s="1636">
        <v>7.2000000000000005E-4</v>
      </c>
      <c r="P326" s="112">
        <f t="shared" si="31"/>
        <v>7.2000000000000005E-4</v>
      </c>
    </row>
    <row r="327" spans="1:16" s="78" customFormat="1" ht="15" outlineLevel="1" thickBot="1">
      <c r="A327" s="182" t="s">
        <v>4142</v>
      </c>
      <c r="B327" s="68"/>
      <c r="C327" s="1634"/>
      <c r="D327" s="1634"/>
      <c r="E327" s="1634"/>
      <c r="F327" s="1636">
        <v>0.15787000000000001</v>
      </c>
      <c r="G327" s="1647">
        <f t="shared" si="28"/>
        <v>0.14528000000000002</v>
      </c>
      <c r="H327" s="1636">
        <v>6.9739999999999996E-2</v>
      </c>
      <c r="I327" s="1636">
        <v>4.8309999999999999E-2</v>
      </c>
      <c r="J327" s="1647">
        <f t="shared" si="29"/>
        <v>4.3172857142857138E-2</v>
      </c>
      <c r="K327" s="1636">
        <v>1.235E-2</v>
      </c>
      <c r="L327" s="1636">
        <v>7.6899999999999998E-3</v>
      </c>
      <c r="M327" s="1647">
        <f t="shared" si="30"/>
        <v>6.8557142857142853E-3</v>
      </c>
      <c r="N327" s="1636">
        <v>1.8500000000000001E-3</v>
      </c>
      <c r="O327" s="1636">
        <v>9.8999999999999999E-4</v>
      </c>
      <c r="P327" s="112">
        <f t="shared" si="31"/>
        <v>9.8999999999999999E-4</v>
      </c>
    </row>
    <row r="328" spans="1:16" s="78" customFormat="1" ht="15" outlineLevel="1" thickBot="1">
      <c r="A328" s="182" t="s">
        <v>4143</v>
      </c>
      <c r="B328" s="68"/>
      <c r="C328" s="1634"/>
      <c r="D328" s="1634"/>
      <c r="E328" s="1634"/>
      <c r="F328" s="1636">
        <v>0.10524</v>
      </c>
      <c r="G328" s="1647">
        <f t="shared" si="28"/>
        <v>9.6847142857142854E-2</v>
      </c>
      <c r="H328" s="1636">
        <v>4.6489999999999997E-2</v>
      </c>
      <c r="I328" s="1636">
        <v>3.2199999999999999E-2</v>
      </c>
      <c r="J328" s="1647">
        <f t="shared" si="29"/>
        <v>2.8775714285714286E-2</v>
      </c>
      <c r="K328" s="1636">
        <v>8.2299999999999995E-3</v>
      </c>
      <c r="L328" s="1636">
        <v>5.1200000000000004E-3</v>
      </c>
      <c r="M328" s="1647">
        <f t="shared" si="30"/>
        <v>4.5642857142857143E-3</v>
      </c>
      <c r="N328" s="1636">
        <v>1.23E-3</v>
      </c>
      <c r="O328" s="1636">
        <v>6.6E-4</v>
      </c>
      <c r="P328" s="112">
        <f t="shared" si="31"/>
        <v>6.6E-4</v>
      </c>
    </row>
    <row r="329" spans="1:16" s="78" customFormat="1" ht="15" outlineLevel="1" thickBot="1">
      <c r="A329" s="1634" t="s">
        <v>256</v>
      </c>
      <c r="B329" s="84"/>
      <c r="C329" s="1634"/>
      <c r="D329" s="1634"/>
      <c r="E329" s="1634"/>
      <c r="F329" s="1636">
        <f>F328</f>
        <v>0.10524</v>
      </c>
      <c r="G329" s="1647">
        <f t="shared" si="28"/>
        <v>9.6847142857142854E-2</v>
      </c>
      <c r="H329" s="1636">
        <f>H328</f>
        <v>4.6489999999999997E-2</v>
      </c>
      <c r="I329" s="1636">
        <f>I328</f>
        <v>3.2199999999999999E-2</v>
      </c>
      <c r="J329" s="1647">
        <f t="shared" si="29"/>
        <v>2.8775714285714286E-2</v>
      </c>
      <c r="K329" s="1636">
        <f>K328</f>
        <v>8.2299999999999995E-3</v>
      </c>
      <c r="L329" s="1636">
        <f>L328</f>
        <v>5.1200000000000004E-3</v>
      </c>
      <c r="M329" s="1647">
        <f t="shared" si="30"/>
        <v>4.5642857142857143E-3</v>
      </c>
      <c r="N329" s="1636">
        <f>N328</f>
        <v>1.23E-3</v>
      </c>
      <c r="O329" s="1636">
        <f>O328</f>
        <v>6.6E-4</v>
      </c>
      <c r="P329" s="112">
        <f t="shared" si="31"/>
        <v>6.6E-4</v>
      </c>
    </row>
    <row r="330" spans="1:16" s="78" customFormat="1" ht="15" outlineLevel="1" thickBot="1">
      <c r="A330" s="1634"/>
      <c r="B330" s="84"/>
      <c r="C330" s="1634"/>
      <c r="D330" s="1634"/>
      <c r="E330" s="1634"/>
      <c r="F330" s="1635"/>
      <c r="G330" s="1635"/>
      <c r="H330" s="1635"/>
      <c r="I330" s="1635"/>
      <c r="J330" s="1635"/>
      <c r="K330" s="1635"/>
      <c r="L330" s="1635"/>
      <c r="M330" s="1635"/>
      <c r="N330" s="1635"/>
      <c r="O330" s="1635"/>
      <c r="P330" s="3"/>
    </row>
  </sheetData>
  <customSheetViews>
    <customSheetView guid="{C8104123-1D0A-4627-A11A-7A20656D499A}" hiddenRows="1" showRuler="0">
      <selection activeCell="C136" sqref="C136"/>
      <pageMargins left="0" right="0" top="0" bottom="0" header="0" footer="0"/>
      <pageSetup orientation="portrait" horizontalDpi="300" verticalDpi="300" r:id="rId1"/>
      <headerFooter alignWithMargins="0"/>
    </customSheetView>
  </customSheetViews>
  <phoneticPr fontId="9" type="noConversion"/>
  <pageMargins left="0.75" right="0.75" top="1" bottom="1" header="0.5" footer="0.5"/>
  <pageSetup orientation="portrait" horizontalDpi="300" verticalDpi="300" r:id="rId2"/>
  <headerFooter alignWithMargins="0"/>
  <legacyDrawing r:id="rId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5"/>
  <dimension ref="A1:J230"/>
  <sheetViews>
    <sheetView showZeros="0" defaultGridColor="0" topLeftCell="A35" colorId="11" workbookViewId="0">
      <selection activeCell="F16" sqref="F16"/>
    </sheetView>
  </sheetViews>
  <sheetFormatPr defaultColWidth="9.140625" defaultRowHeight="14.25"/>
  <cols>
    <col min="1" max="1" width="7.85546875" style="9" customWidth="1"/>
    <col min="2" max="2" width="10.85546875" style="9" customWidth="1"/>
    <col min="3" max="3" width="55.42578125" style="9" customWidth="1"/>
    <col min="4" max="4" width="19.85546875" style="9" customWidth="1"/>
    <col min="5" max="5" width="17.42578125" style="9" customWidth="1"/>
    <col min="6" max="6" width="12.140625" style="9" customWidth="1"/>
    <col min="7" max="7" width="10.5703125" style="9" customWidth="1"/>
    <col min="8" max="8" width="14" style="9" customWidth="1"/>
    <col min="9" max="9" width="9.140625" style="9"/>
    <col min="10" max="10" width="12.85546875" style="9" bestFit="1" customWidth="1"/>
    <col min="11" max="16384" width="9.140625" style="9"/>
  </cols>
  <sheetData>
    <row r="1" spans="1:8">
      <c r="A1" s="7" t="s">
        <v>4144</v>
      </c>
      <c r="B1" s="8"/>
      <c r="C1" s="8"/>
      <c r="D1" s="8"/>
      <c r="E1" s="8"/>
      <c r="F1" s="8"/>
      <c r="G1" s="8"/>
      <c r="H1" s="8"/>
    </row>
    <row r="2" spans="1:8">
      <c r="A2" s="7" t="s">
        <v>4145</v>
      </c>
      <c r="B2" s="8"/>
      <c r="C2" s="8"/>
      <c r="D2" s="8"/>
      <c r="E2" s="8"/>
      <c r="F2" s="8"/>
      <c r="G2" s="8"/>
      <c r="H2" s="8"/>
    </row>
    <row r="3" spans="1:8">
      <c r="A3" s="7" t="s">
        <v>4146</v>
      </c>
      <c r="B3" s="8"/>
      <c r="C3" s="8"/>
      <c r="D3" s="8"/>
      <c r="E3" s="8"/>
      <c r="F3" s="8"/>
      <c r="G3" s="8"/>
      <c r="H3" s="8"/>
    </row>
    <row r="4" spans="1:8" ht="15" thickBot="1">
      <c r="A4" s="10"/>
    </row>
    <row r="5" spans="1:8" ht="15" thickBot="1">
      <c r="A5" s="11"/>
      <c r="B5" s="12"/>
      <c r="C5" s="13"/>
      <c r="D5" s="52" t="s">
        <v>4078</v>
      </c>
      <c r="E5" s="53"/>
      <c r="F5" s="53"/>
      <c r="G5" s="53"/>
      <c r="H5" s="54"/>
    </row>
    <row r="6" spans="1:8" ht="28.5">
      <c r="A6" s="14" t="s">
        <v>4147</v>
      </c>
      <c r="B6" s="15" t="s">
        <v>4148</v>
      </c>
      <c r="C6" s="16"/>
      <c r="D6" s="16" t="s">
        <v>4149</v>
      </c>
      <c r="E6" s="11" t="s">
        <v>4150</v>
      </c>
      <c r="F6" s="11" t="s">
        <v>4151</v>
      </c>
      <c r="G6" s="11" t="s">
        <v>4152</v>
      </c>
      <c r="H6" s="11" t="s">
        <v>4153</v>
      </c>
    </row>
    <row r="7" spans="1:8" ht="15" thickBot="1">
      <c r="A7" s="17"/>
      <c r="B7" s="18"/>
      <c r="C7" s="19"/>
      <c r="D7" s="55" t="s">
        <v>4154</v>
      </c>
      <c r="E7" s="20"/>
      <c r="F7" s="20"/>
      <c r="G7" s="20"/>
      <c r="H7" s="20"/>
    </row>
    <row r="8" spans="1:8" ht="57.75" thickBot="1">
      <c r="A8" s="20" t="s">
        <v>500</v>
      </c>
      <c r="B8" s="21" t="s">
        <v>4155</v>
      </c>
      <c r="C8" s="22"/>
      <c r="D8" s="22"/>
      <c r="E8" s="22"/>
      <c r="F8" s="22"/>
      <c r="G8" s="22"/>
      <c r="H8" s="56"/>
    </row>
    <row r="9" spans="1:8">
      <c r="A9" s="23" t="s">
        <v>4156</v>
      </c>
      <c r="B9" s="24" t="s">
        <v>4157</v>
      </c>
      <c r="C9" s="25"/>
      <c r="D9" s="57" t="s">
        <v>4158</v>
      </c>
      <c r="E9" s="57" t="s">
        <v>4159</v>
      </c>
      <c r="F9" s="57" t="s">
        <v>4159</v>
      </c>
      <c r="G9" s="57" t="s">
        <v>4159</v>
      </c>
      <c r="H9" s="57" t="s">
        <v>4159</v>
      </c>
    </row>
    <row r="10" spans="1:8">
      <c r="A10" s="26"/>
      <c r="B10" s="27"/>
      <c r="C10" s="25" t="s">
        <v>4160</v>
      </c>
      <c r="D10" s="57" t="s">
        <v>4161</v>
      </c>
      <c r="E10" s="57" t="s">
        <v>4162</v>
      </c>
      <c r="F10" s="57" t="s">
        <v>4163</v>
      </c>
      <c r="G10" s="57" t="s">
        <v>4164</v>
      </c>
      <c r="H10" s="57" t="s">
        <v>4165</v>
      </c>
    </row>
    <row r="11" spans="1:8">
      <c r="A11" s="26"/>
      <c r="B11" s="27"/>
      <c r="C11" s="25"/>
      <c r="D11" s="57"/>
      <c r="E11" s="57"/>
      <c r="F11" s="57"/>
      <c r="G11" s="57"/>
      <c r="H11" s="57"/>
    </row>
    <row r="12" spans="1:8">
      <c r="A12" s="26"/>
      <c r="B12" s="27"/>
      <c r="C12" s="25"/>
      <c r="D12" s="57" t="s">
        <v>4166</v>
      </c>
      <c r="E12" s="57" t="s">
        <v>4166</v>
      </c>
      <c r="F12" s="57" t="s">
        <v>4166</v>
      </c>
      <c r="G12" s="57" t="s">
        <v>4166</v>
      </c>
      <c r="H12" s="57" t="s">
        <v>4166</v>
      </c>
    </row>
    <row r="13" spans="1:8">
      <c r="A13" s="26"/>
      <c r="B13" s="27"/>
      <c r="C13" s="25"/>
      <c r="D13" s="57"/>
      <c r="E13" s="57"/>
      <c r="F13" s="57"/>
      <c r="G13" s="57"/>
      <c r="H13" s="57"/>
    </row>
    <row r="14" spans="1:8" ht="28.5">
      <c r="A14" s="26"/>
      <c r="B14" s="27"/>
      <c r="C14" s="25"/>
      <c r="D14" s="57" t="s">
        <v>4167</v>
      </c>
      <c r="E14" s="57" t="s">
        <v>4168</v>
      </c>
      <c r="F14" s="57" t="s">
        <v>4169</v>
      </c>
      <c r="G14" s="57" t="s">
        <v>4169</v>
      </c>
      <c r="H14" s="57" t="s">
        <v>4170</v>
      </c>
    </row>
    <row r="15" spans="1:8" ht="15" thickBot="1">
      <c r="A15" s="26"/>
      <c r="B15" s="27"/>
      <c r="C15" s="28"/>
      <c r="D15" s="57" t="s">
        <v>4171</v>
      </c>
      <c r="E15" s="57" t="s">
        <v>4172</v>
      </c>
      <c r="F15" s="57" t="s">
        <v>4173</v>
      </c>
      <c r="G15" s="57" t="s">
        <v>4174</v>
      </c>
      <c r="H15" s="58"/>
    </row>
    <row r="16" spans="1:8" ht="15" thickBot="1">
      <c r="A16" s="29"/>
      <c r="B16" s="30"/>
      <c r="C16" s="28" t="s">
        <v>4175</v>
      </c>
      <c r="D16" s="28"/>
      <c r="E16" s="59" t="s">
        <v>4176</v>
      </c>
      <c r="F16" s="59" t="s">
        <v>4177</v>
      </c>
      <c r="G16" s="59" t="s">
        <v>4178</v>
      </c>
      <c r="H16" s="60"/>
    </row>
    <row r="17" spans="1:10" ht="28.5">
      <c r="A17" s="31"/>
      <c r="B17" s="24" t="s">
        <v>4179</v>
      </c>
      <c r="C17" s="32" t="s">
        <v>4180</v>
      </c>
      <c r="D17" s="57" t="s">
        <v>4159</v>
      </c>
      <c r="E17" s="57"/>
      <c r="F17" s="57" t="s">
        <v>4159</v>
      </c>
      <c r="G17" s="57" t="s">
        <v>4159</v>
      </c>
      <c r="H17" s="57"/>
    </row>
    <row r="18" spans="1:10" ht="42.75">
      <c r="A18" s="31"/>
      <c r="B18" s="27"/>
      <c r="C18" s="32" t="s">
        <v>4181</v>
      </c>
      <c r="D18" s="57" t="s">
        <v>4182</v>
      </c>
      <c r="E18" s="57" t="s">
        <v>4159</v>
      </c>
      <c r="F18" s="57" t="s">
        <v>4183</v>
      </c>
      <c r="G18" s="57" t="s">
        <v>4184</v>
      </c>
      <c r="H18" s="57" t="s">
        <v>4159</v>
      </c>
    </row>
    <row r="19" spans="1:10">
      <c r="A19" s="31"/>
      <c r="B19" s="27"/>
      <c r="C19" s="25"/>
      <c r="D19" s="57"/>
      <c r="E19" s="57" t="s">
        <v>4185</v>
      </c>
      <c r="F19" s="57"/>
      <c r="G19" s="57"/>
      <c r="H19" s="57" t="s">
        <v>4165</v>
      </c>
    </row>
    <row r="20" spans="1:10">
      <c r="A20" s="31"/>
      <c r="B20" s="27"/>
      <c r="C20" s="25"/>
      <c r="D20" s="57" t="s">
        <v>4166</v>
      </c>
      <c r="E20" s="57"/>
      <c r="F20" s="57" t="s">
        <v>4166</v>
      </c>
      <c r="G20" s="57" t="s">
        <v>4166</v>
      </c>
      <c r="H20" s="57"/>
    </row>
    <row r="21" spans="1:10">
      <c r="A21" s="31"/>
      <c r="B21" s="27"/>
      <c r="C21" s="25"/>
      <c r="D21" s="57"/>
      <c r="E21" s="57" t="s">
        <v>4166</v>
      </c>
      <c r="F21" s="57"/>
      <c r="G21" s="57"/>
      <c r="H21" s="57" t="s">
        <v>4166</v>
      </c>
    </row>
    <row r="22" spans="1:10" ht="28.5">
      <c r="A22" s="31"/>
      <c r="B22" s="27"/>
      <c r="C22" s="25"/>
      <c r="D22" s="57" t="s">
        <v>4186</v>
      </c>
      <c r="E22" s="57"/>
      <c r="F22" s="57" t="s">
        <v>4187</v>
      </c>
      <c r="G22" s="57" t="s">
        <v>4188</v>
      </c>
      <c r="H22" s="57"/>
    </row>
    <row r="23" spans="1:10">
      <c r="A23" s="31"/>
      <c r="B23" s="27"/>
      <c r="C23" s="25"/>
      <c r="D23" s="57"/>
      <c r="E23" s="57" t="s">
        <v>4189</v>
      </c>
      <c r="F23" s="57"/>
      <c r="G23" s="57"/>
      <c r="H23" s="57" t="s">
        <v>4190</v>
      </c>
      <c r="J23" s="89">
        <f>40*100*500</f>
        <v>2000000</v>
      </c>
    </row>
    <row r="24" spans="1:10">
      <c r="A24" s="31"/>
      <c r="B24" s="27"/>
      <c r="C24" s="25"/>
      <c r="D24" s="57" t="s">
        <v>4191</v>
      </c>
      <c r="E24" s="57"/>
      <c r="F24" s="57" t="s">
        <v>4191</v>
      </c>
      <c r="G24" s="57" t="s">
        <v>4191</v>
      </c>
      <c r="H24" s="57"/>
    </row>
    <row r="25" spans="1:10">
      <c r="A25" s="31"/>
      <c r="B25" s="27"/>
      <c r="C25" s="25"/>
      <c r="D25" s="57"/>
      <c r="E25" s="57" t="s">
        <v>4191</v>
      </c>
      <c r="F25" s="57"/>
      <c r="G25" s="57"/>
      <c r="H25" s="57" t="s">
        <v>4191</v>
      </c>
    </row>
    <row r="26" spans="1:10">
      <c r="A26" s="31" t="s">
        <v>4192</v>
      </c>
      <c r="B26" s="27"/>
      <c r="C26" s="25"/>
      <c r="D26" s="57"/>
      <c r="E26" s="57"/>
      <c r="F26" s="57" t="s">
        <v>4168</v>
      </c>
      <c r="G26" s="57" t="s">
        <v>4169</v>
      </c>
      <c r="H26" s="57"/>
    </row>
    <row r="27" spans="1:10" ht="28.5">
      <c r="A27" s="33"/>
      <c r="B27" s="27"/>
      <c r="C27" s="25"/>
      <c r="D27" s="57" t="s">
        <v>4193</v>
      </c>
      <c r="E27" s="57" t="s">
        <v>4168</v>
      </c>
      <c r="F27" s="57" t="s">
        <v>4194</v>
      </c>
      <c r="G27" s="57" t="s">
        <v>4195</v>
      </c>
      <c r="H27" s="57" t="s">
        <v>4196</v>
      </c>
    </row>
    <row r="28" spans="1:10" ht="15" thickBot="1">
      <c r="A28" s="33"/>
      <c r="B28" s="27"/>
      <c r="C28" s="28"/>
      <c r="D28" s="57"/>
      <c r="E28" s="57" t="s">
        <v>4197</v>
      </c>
      <c r="F28" s="57" t="s">
        <v>4177</v>
      </c>
      <c r="G28" s="57" t="s">
        <v>4178</v>
      </c>
      <c r="H28" s="57"/>
    </row>
    <row r="29" spans="1:10">
      <c r="A29" s="33"/>
      <c r="B29" s="27"/>
      <c r="C29" s="32" t="s">
        <v>4198</v>
      </c>
      <c r="D29" s="25"/>
      <c r="E29" s="57" t="s">
        <v>4176</v>
      </c>
      <c r="F29" s="57"/>
      <c r="G29" s="57"/>
      <c r="H29" s="25"/>
    </row>
    <row r="30" spans="1:10" ht="57.75" thickBot="1">
      <c r="A30" s="33"/>
      <c r="B30" s="27"/>
      <c r="C30" s="34" t="s">
        <v>4199</v>
      </c>
      <c r="D30" s="25"/>
      <c r="E30" s="57"/>
      <c r="F30" s="25"/>
      <c r="G30" s="25"/>
      <c r="H30" s="25"/>
    </row>
    <row r="31" spans="1:10">
      <c r="A31" s="33"/>
      <c r="B31" s="27"/>
      <c r="C31" s="32" t="s">
        <v>4200</v>
      </c>
      <c r="D31" s="25"/>
      <c r="E31" s="25"/>
      <c r="F31" s="25"/>
      <c r="G31" s="25"/>
      <c r="H31" s="25"/>
    </row>
    <row r="32" spans="1:10" ht="57">
      <c r="A32" s="33"/>
      <c r="B32" s="27"/>
      <c r="C32" s="32" t="s">
        <v>4201</v>
      </c>
      <c r="D32" s="25"/>
      <c r="E32" s="25"/>
      <c r="F32" s="25"/>
      <c r="G32" s="25"/>
      <c r="H32" s="25"/>
    </row>
    <row r="33" spans="1:8" ht="15" thickBot="1">
      <c r="A33" s="17"/>
      <c r="B33" s="30"/>
      <c r="C33" s="34"/>
      <c r="D33" s="28"/>
      <c r="E33" s="28"/>
      <c r="F33" s="28"/>
      <c r="G33" s="28"/>
      <c r="H33" s="28"/>
    </row>
    <row r="34" spans="1:8" ht="28.5">
      <c r="A34" s="31"/>
      <c r="B34" s="35" t="s">
        <v>4179</v>
      </c>
      <c r="C34" s="36" t="s">
        <v>4202</v>
      </c>
      <c r="D34" s="57" t="s">
        <v>4159</v>
      </c>
      <c r="E34" s="57" t="s">
        <v>4159</v>
      </c>
      <c r="F34" s="57" t="s">
        <v>4159</v>
      </c>
      <c r="G34" s="57" t="s">
        <v>4159</v>
      </c>
      <c r="H34" s="57" t="s">
        <v>4159</v>
      </c>
    </row>
    <row r="35" spans="1:8">
      <c r="A35" s="31"/>
      <c r="B35" s="37"/>
      <c r="C35" s="38"/>
      <c r="D35" s="57" t="s">
        <v>4182</v>
      </c>
      <c r="E35" s="57" t="s">
        <v>4185</v>
      </c>
      <c r="F35" s="57" t="s">
        <v>4183</v>
      </c>
      <c r="G35" s="57" t="s">
        <v>4184</v>
      </c>
      <c r="H35" s="57" t="s">
        <v>4165</v>
      </c>
    </row>
    <row r="36" spans="1:8">
      <c r="A36" s="31"/>
      <c r="B36" s="37"/>
      <c r="C36" s="38"/>
      <c r="D36" s="57"/>
      <c r="E36" s="57"/>
      <c r="F36" s="57"/>
      <c r="G36" s="57"/>
      <c r="H36" s="57"/>
    </row>
    <row r="37" spans="1:8">
      <c r="A37" s="31"/>
      <c r="B37" s="37"/>
      <c r="C37" s="38"/>
      <c r="D37" s="57" t="s">
        <v>4166</v>
      </c>
      <c r="E37" s="57" t="s">
        <v>4166</v>
      </c>
      <c r="F37" s="57" t="s">
        <v>4166</v>
      </c>
      <c r="G37" s="57" t="s">
        <v>4166</v>
      </c>
      <c r="H37" s="57" t="s">
        <v>4166</v>
      </c>
    </row>
    <row r="38" spans="1:8">
      <c r="A38" s="31"/>
      <c r="B38" s="37"/>
      <c r="C38" s="38"/>
      <c r="D38" s="57"/>
      <c r="E38" s="57"/>
      <c r="F38" s="57"/>
      <c r="G38" s="57"/>
      <c r="H38" s="57"/>
    </row>
    <row r="39" spans="1:8" ht="28.5">
      <c r="A39" s="31"/>
      <c r="B39" s="37"/>
      <c r="C39" s="38"/>
      <c r="D39" s="57" t="s">
        <v>4186</v>
      </c>
      <c r="E39" s="57" t="s">
        <v>4189</v>
      </c>
      <c r="F39" s="57" t="s">
        <v>4187</v>
      </c>
      <c r="G39" s="57" t="s">
        <v>4188</v>
      </c>
      <c r="H39" s="57" t="s">
        <v>4190</v>
      </c>
    </row>
    <row r="40" spans="1:8">
      <c r="A40" s="31"/>
      <c r="B40" s="37"/>
      <c r="C40" s="38"/>
      <c r="D40" s="57"/>
      <c r="E40" s="57"/>
      <c r="F40" s="57"/>
      <c r="G40" s="57"/>
      <c r="H40" s="57"/>
    </row>
    <row r="41" spans="1:8">
      <c r="A41" s="31"/>
      <c r="B41" s="37"/>
      <c r="C41" s="38"/>
      <c r="D41" s="57" t="s">
        <v>4191</v>
      </c>
      <c r="E41" s="57" t="s">
        <v>4191</v>
      </c>
      <c r="F41" s="57" t="s">
        <v>4191</v>
      </c>
      <c r="G41" s="57" t="s">
        <v>4191</v>
      </c>
      <c r="H41" s="57" t="s">
        <v>4191</v>
      </c>
    </row>
    <row r="42" spans="1:8">
      <c r="A42" s="31"/>
      <c r="B42" s="37"/>
      <c r="C42" s="38"/>
      <c r="D42" s="57"/>
      <c r="E42" s="57"/>
      <c r="F42" s="57"/>
      <c r="G42" s="57"/>
      <c r="H42" s="57"/>
    </row>
    <row r="43" spans="1:8" ht="29.25" thickBot="1">
      <c r="A43" s="31"/>
      <c r="B43" s="37"/>
      <c r="C43" s="39"/>
      <c r="D43" s="57" t="s">
        <v>4203</v>
      </c>
      <c r="E43" s="57" t="s">
        <v>4168</v>
      </c>
      <c r="F43" s="57" t="s">
        <v>4168</v>
      </c>
      <c r="G43" s="57" t="s">
        <v>4169</v>
      </c>
      <c r="H43" s="57" t="s">
        <v>4196</v>
      </c>
    </row>
    <row r="44" spans="1:8">
      <c r="A44" s="31"/>
      <c r="B44" s="37"/>
      <c r="C44" s="36" t="s">
        <v>4204</v>
      </c>
      <c r="D44" s="25"/>
      <c r="E44" s="57" t="s">
        <v>4197</v>
      </c>
      <c r="F44" s="57" t="s">
        <v>4194</v>
      </c>
      <c r="G44" s="57" t="s">
        <v>4195</v>
      </c>
      <c r="H44" s="25"/>
    </row>
    <row r="45" spans="1:8" ht="15" thickBot="1">
      <c r="A45" s="31"/>
      <c r="B45" s="37"/>
      <c r="C45" s="39"/>
      <c r="D45" s="25"/>
      <c r="E45" s="57" t="s">
        <v>4176</v>
      </c>
      <c r="F45" s="57" t="s">
        <v>4177</v>
      </c>
      <c r="G45" s="57" t="s">
        <v>4178</v>
      </c>
      <c r="H45" s="25"/>
    </row>
    <row r="46" spans="1:8">
      <c r="A46" s="31"/>
      <c r="B46" s="37"/>
      <c r="C46" s="36" t="s">
        <v>4205</v>
      </c>
      <c r="D46" s="25"/>
      <c r="E46" s="25"/>
      <c r="F46" s="25"/>
      <c r="G46" s="25"/>
      <c r="H46" s="25"/>
    </row>
    <row r="47" spans="1:8" ht="15" thickBot="1">
      <c r="A47" s="31"/>
      <c r="B47" s="37"/>
      <c r="C47" s="39"/>
      <c r="D47" s="25"/>
      <c r="E47" s="25"/>
      <c r="F47" s="25"/>
      <c r="G47" s="25"/>
      <c r="H47" s="25"/>
    </row>
    <row r="48" spans="1:8">
      <c r="A48" s="31"/>
      <c r="B48" s="37"/>
      <c r="C48" s="36" t="s">
        <v>4206</v>
      </c>
      <c r="D48" s="25"/>
      <c r="E48" s="25"/>
      <c r="F48" s="25"/>
      <c r="G48" s="25"/>
      <c r="H48" s="25"/>
    </row>
    <row r="49" spans="1:8" ht="15" thickBot="1">
      <c r="A49" s="31"/>
      <c r="B49" s="37"/>
      <c r="C49" s="39"/>
      <c r="D49" s="25"/>
      <c r="E49" s="25"/>
      <c r="F49" s="25"/>
      <c r="G49" s="25"/>
      <c r="H49" s="25"/>
    </row>
    <row r="50" spans="1:8" ht="28.5">
      <c r="A50" s="31" t="s">
        <v>4192</v>
      </c>
      <c r="B50" s="37"/>
      <c r="C50" s="36" t="s">
        <v>4207</v>
      </c>
      <c r="D50" s="25"/>
      <c r="E50" s="25"/>
      <c r="F50" s="25"/>
      <c r="G50" s="25"/>
      <c r="H50" s="25"/>
    </row>
    <row r="51" spans="1:8" ht="15" thickBot="1">
      <c r="A51" s="31"/>
      <c r="B51" s="37"/>
      <c r="C51" s="39"/>
      <c r="D51" s="28"/>
      <c r="E51" s="28"/>
      <c r="F51" s="28"/>
      <c r="G51" s="28"/>
      <c r="H51" s="28"/>
    </row>
    <row r="52" spans="1:8">
      <c r="A52" s="33"/>
      <c r="B52" s="37"/>
      <c r="C52" s="36" t="s">
        <v>4208</v>
      </c>
      <c r="D52" s="57" t="s">
        <v>4159</v>
      </c>
      <c r="E52" s="57" t="s">
        <v>4159</v>
      </c>
      <c r="F52" s="57" t="s">
        <v>4159</v>
      </c>
      <c r="G52" s="57" t="s">
        <v>4159</v>
      </c>
      <c r="H52" s="57" t="s">
        <v>4159</v>
      </c>
    </row>
    <row r="53" spans="1:8" ht="29.25" thickBot="1">
      <c r="A53" s="33"/>
      <c r="B53" s="37"/>
      <c r="C53" s="39"/>
      <c r="D53" s="59" t="s">
        <v>4209</v>
      </c>
      <c r="E53" s="59" t="s">
        <v>4210</v>
      </c>
      <c r="F53" s="59" t="s">
        <v>4211</v>
      </c>
      <c r="G53" s="59" t="s">
        <v>4212</v>
      </c>
      <c r="H53" s="59" t="s">
        <v>4213</v>
      </c>
    </row>
    <row r="54" spans="1:8" ht="71.25">
      <c r="A54" s="33"/>
      <c r="B54" s="37"/>
      <c r="C54" s="36" t="s">
        <v>4214</v>
      </c>
      <c r="D54" s="61" t="s">
        <v>4215</v>
      </c>
      <c r="E54" s="61" t="s">
        <v>4216</v>
      </c>
      <c r="F54" s="61" t="s">
        <v>4217</v>
      </c>
      <c r="G54" s="61" t="s">
        <v>4218</v>
      </c>
      <c r="H54" s="61" t="s">
        <v>4219</v>
      </c>
    </row>
    <row r="55" spans="1:8" ht="15" thickBot="1">
      <c r="A55" s="33"/>
      <c r="B55" s="37"/>
      <c r="C55" s="39"/>
      <c r="D55" s="47"/>
      <c r="E55" s="47"/>
      <c r="F55" s="47"/>
      <c r="G55" s="47"/>
      <c r="H55" s="47"/>
    </row>
    <row r="56" spans="1:8" ht="28.5">
      <c r="A56" s="33"/>
      <c r="B56" s="37"/>
      <c r="C56" s="40" t="s">
        <v>4220</v>
      </c>
      <c r="D56" s="62" t="s">
        <v>4221</v>
      </c>
      <c r="E56" s="62" t="s">
        <v>4222</v>
      </c>
      <c r="F56" s="62" t="s">
        <v>4223</v>
      </c>
      <c r="G56" s="62" t="s">
        <v>4224</v>
      </c>
      <c r="H56" s="23" t="s">
        <v>4225</v>
      </c>
    </row>
    <row r="57" spans="1:8">
      <c r="A57" s="33"/>
      <c r="B57" s="37"/>
      <c r="C57" s="41"/>
      <c r="D57" s="62" t="s">
        <v>4166</v>
      </c>
      <c r="E57" s="62" t="s">
        <v>4166</v>
      </c>
      <c r="F57" s="62" t="s">
        <v>4226</v>
      </c>
      <c r="G57" s="62" t="s">
        <v>4191</v>
      </c>
      <c r="H57" s="26"/>
    </row>
    <row r="58" spans="1:8" ht="28.5">
      <c r="A58" s="33"/>
      <c r="B58" s="37"/>
      <c r="C58" s="41"/>
      <c r="D58" s="62" t="s">
        <v>4227</v>
      </c>
      <c r="E58" s="62" t="s">
        <v>4228</v>
      </c>
      <c r="F58" s="62" t="s">
        <v>4229</v>
      </c>
      <c r="G58" s="62" t="s">
        <v>4226</v>
      </c>
      <c r="H58" s="26"/>
    </row>
    <row r="59" spans="1:8" ht="29.25" thickBot="1">
      <c r="A59" s="33"/>
      <c r="B59" s="37"/>
      <c r="C59" s="42"/>
      <c r="D59" s="19"/>
      <c r="E59" s="63" t="s">
        <v>4230</v>
      </c>
      <c r="F59" s="19"/>
      <c r="G59" s="63" t="s">
        <v>4231</v>
      </c>
      <c r="H59" s="29"/>
    </row>
    <row r="60" spans="1:8" ht="57">
      <c r="A60" s="33"/>
      <c r="B60" s="37"/>
      <c r="C60" s="40" t="s">
        <v>4232</v>
      </c>
      <c r="D60" s="23" t="s">
        <v>4233</v>
      </c>
      <c r="E60" s="61" t="s">
        <v>4234</v>
      </c>
      <c r="F60" s="61" t="s">
        <v>4235</v>
      </c>
      <c r="G60" s="61" t="s">
        <v>4236</v>
      </c>
      <c r="H60" s="61" t="s">
        <v>4237</v>
      </c>
    </row>
    <row r="61" spans="1:8">
      <c r="A61" s="33"/>
      <c r="B61" s="37"/>
      <c r="C61" s="41"/>
      <c r="D61" s="26"/>
      <c r="E61" s="31"/>
      <c r="F61" s="31"/>
      <c r="G61" s="31"/>
      <c r="H61" s="31"/>
    </row>
    <row r="62" spans="1:8" ht="15" thickBot="1">
      <c r="A62" s="17"/>
      <c r="B62" s="43"/>
      <c r="C62" s="42"/>
      <c r="D62" s="29"/>
      <c r="E62" s="47"/>
      <c r="F62" s="47"/>
      <c r="G62" s="47"/>
      <c r="H62" s="47"/>
    </row>
    <row r="63" spans="1:8" ht="57.75" thickBot="1">
      <c r="A63" s="44" t="s">
        <v>504</v>
      </c>
      <c r="B63" s="21" t="s">
        <v>4238</v>
      </c>
      <c r="C63" s="22"/>
      <c r="D63" s="22"/>
      <c r="E63" s="22"/>
      <c r="F63" s="22"/>
      <c r="G63" s="22"/>
      <c r="H63" s="56"/>
    </row>
    <row r="64" spans="1:8" ht="43.5" thickBot="1">
      <c r="A64" s="23" t="s">
        <v>4239</v>
      </c>
      <c r="B64" s="35" t="s">
        <v>4240</v>
      </c>
      <c r="C64" s="28" t="s">
        <v>4241</v>
      </c>
      <c r="D64" s="59" t="s">
        <v>4225</v>
      </c>
      <c r="E64" s="59" t="s">
        <v>4242</v>
      </c>
      <c r="F64" s="59" t="s">
        <v>4243</v>
      </c>
      <c r="G64" s="59" t="s">
        <v>4244</v>
      </c>
      <c r="H64" s="59" t="s">
        <v>4245</v>
      </c>
    </row>
    <row r="65" spans="1:8" ht="42.75">
      <c r="A65" s="26"/>
      <c r="B65" s="37"/>
      <c r="C65" s="40" t="s">
        <v>4246</v>
      </c>
      <c r="D65" s="23" t="s">
        <v>4225</v>
      </c>
      <c r="E65" s="23" t="s">
        <v>4247</v>
      </c>
      <c r="F65" s="23" t="s">
        <v>4248</v>
      </c>
      <c r="G65" s="23" t="s">
        <v>4249</v>
      </c>
      <c r="H65" s="23" t="s">
        <v>4250</v>
      </c>
    </row>
    <row r="66" spans="1:8" ht="15" thickBot="1">
      <c r="A66" s="26"/>
      <c r="B66" s="37"/>
      <c r="C66" s="42"/>
      <c r="D66" s="29"/>
      <c r="E66" s="29"/>
      <c r="F66" s="29"/>
      <c r="G66" s="29"/>
      <c r="H66" s="29"/>
    </row>
    <row r="67" spans="1:8" ht="43.5" thickBot="1">
      <c r="A67" s="29"/>
      <c r="B67" s="43"/>
      <c r="C67" s="28" t="s">
        <v>4251</v>
      </c>
      <c r="D67" s="59" t="s">
        <v>4225</v>
      </c>
      <c r="E67" s="59" t="s">
        <v>4247</v>
      </c>
      <c r="F67" s="59" t="s">
        <v>4248</v>
      </c>
      <c r="G67" s="59" t="s">
        <v>4249</v>
      </c>
      <c r="H67" s="59" t="s">
        <v>4250</v>
      </c>
    </row>
    <row r="68" spans="1:8" ht="43.5" thickBot="1">
      <c r="A68" s="23" t="s">
        <v>4252</v>
      </c>
      <c r="B68" s="35" t="s">
        <v>4253</v>
      </c>
      <c r="C68" s="28" t="s">
        <v>4254</v>
      </c>
      <c r="D68" s="59" t="s">
        <v>4247</v>
      </c>
      <c r="E68" s="59" t="s">
        <v>4255</v>
      </c>
      <c r="F68" s="59" t="s">
        <v>4256</v>
      </c>
      <c r="G68" s="59" t="s">
        <v>4250</v>
      </c>
      <c r="H68" s="59" t="s">
        <v>4225</v>
      </c>
    </row>
    <row r="69" spans="1:8" ht="42.75">
      <c r="A69" s="26"/>
      <c r="B69" s="37"/>
      <c r="C69" s="40" t="s">
        <v>4257</v>
      </c>
      <c r="D69" s="23" t="s">
        <v>4225</v>
      </c>
      <c r="E69" s="57" t="s">
        <v>4258</v>
      </c>
      <c r="F69" s="23" t="s">
        <v>4259</v>
      </c>
      <c r="G69" s="57" t="s">
        <v>4258</v>
      </c>
      <c r="H69" s="23" t="s">
        <v>4225</v>
      </c>
    </row>
    <row r="70" spans="1:8" ht="29.25" thickBot="1">
      <c r="A70" s="26"/>
      <c r="B70" s="37"/>
      <c r="C70" s="42"/>
      <c r="D70" s="29"/>
      <c r="E70" s="59" t="s">
        <v>4260</v>
      </c>
      <c r="F70" s="29"/>
      <c r="G70" s="59" t="s">
        <v>4261</v>
      </c>
      <c r="H70" s="29"/>
    </row>
    <row r="71" spans="1:8" ht="42.75">
      <c r="A71" s="26"/>
      <c r="B71" s="37"/>
      <c r="C71" s="40" t="s">
        <v>4262</v>
      </c>
      <c r="D71" s="23" t="s">
        <v>4225</v>
      </c>
      <c r="E71" s="23" t="s">
        <v>4242</v>
      </c>
      <c r="F71" s="23" t="s">
        <v>4243</v>
      </c>
      <c r="G71" s="57" t="s">
        <v>4258</v>
      </c>
      <c r="H71" s="23" t="s">
        <v>4225</v>
      </c>
    </row>
    <row r="72" spans="1:8" ht="29.25" thickBot="1">
      <c r="A72" s="29"/>
      <c r="B72" s="43"/>
      <c r="C72" s="42"/>
      <c r="D72" s="29"/>
      <c r="E72" s="29"/>
      <c r="F72" s="29"/>
      <c r="G72" s="59" t="s">
        <v>4261</v>
      </c>
      <c r="H72" s="29"/>
    </row>
    <row r="73" spans="1:8" ht="57">
      <c r="A73" s="23" t="s">
        <v>4263</v>
      </c>
      <c r="B73" s="35" t="s">
        <v>4264</v>
      </c>
      <c r="C73" s="40" t="s">
        <v>4265</v>
      </c>
      <c r="D73" s="57" t="s">
        <v>4266</v>
      </c>
      <c r="E73" s="23" t="s">
        <v>4267</v>
      </c>
      <c r="F73" s="57" t="s">
        <v>4266</v>
      </c>
      <c r="G73" s="23" t="s">
        <v>4225</v>
      </c>
      <c r="H73" s="23" t="s">
        <v>4225</v>
      </c>
    </row>
    <row r="74" spans="1:8">
      <c r="A74" s="26"/>
      <c r="B74" s="37"/>
      <c r="C74" s="41"/>
      <c r="D74" s="57" t="s">
        <v>4268</v>
      </c>
      <c r="E74" s="26"/>
      <c r="F74" s="57" t="s">
        <v>4269</v>
      </c>
      <c r="G74" s="26"/>
      <c r="H74" s="26"/>
    </row>
    <row r="75" spans="1:8" ht="15" thickBot="1">
      <c r="A75" s="29"/>
      <c r="B75" s="43"/>
      <c r="C75" s="42"/>
      <c r="D75" s="59"/>
      <c r="E75" s="29"/>
      <c r="F75" s="28"/>
      <c r="G75" s="29"/>
      <c r="H75" s="29"/>
    </row>
    <row r="76" spans="1:8" ht="57.75" thickBot="1">
      <c r="A76" s="23" t="s">
        <v>4270</v>
      </c>
      <c r="B76" s="45" t="s">
        <v>4271</v>
      </c>
      <c r="C76" s="28" t="s">
        <v>4272</v>
      </c>
      <c r="D76" s="59" t="s">
        <v>4225</v>
      </c>
      <c r="E76" s="59" t="s">
        <v>4273</v>
      </c>
      <c r="F76" s="59" t="s">
        <v>4274</v>
      </c>
      <c r="G76" s="59" t="s">
        <v>4275</v>
      </c>
      <c r="H76" s="59" t="s">
        <v>4225</v>
      </c>
    </row>
    <row r="77" spans="1:8" ht="57">
      <c r="A77" s="26"/>
      <c r="B77" s="45" t="s">
        <v>4276</v>
      </c>
      <c r="C77" s="40" t="s">
        <v>4277</v>
      </c>
      <c r="D77" s="23" t="s">
        <v>4225</v>
      </c>
      <c r="E77" s="23" t="s">
        <v>4278</v>
      </c>
      <c r="F77" s="23" t="s">
        <v>4279</v>
      </c>
      <c r="G77" s="57" t="s">
        <v>4258</v>
      </c>
      <c r="H77" s="23" t="s">
        <v>4225</v>
      </c>
    </row>
    <row r="78" spans="1:8" ht="29.25" thickBot="1">
      <c r="A78" s="26"/>
      <c r="B78" s="45" t="s">
        <v>4280</v>
      </c>
      <c r="C78" s="42"/>
      <c r="D78" s="29"/>
      <c r="E78" s="29"/>
      <c r="F78" s="29"/>
      <c r="G78" s="59" t="s">
        <v>4281</v>
      </c>
      <c r="H78" s="29"/>
    </row>
    <row r="79" spans="1:8" ht="43.5" thickBot="1">
      <c r="A79" s="29"/>
      <c r="B79" s="28"/>
      <c r="C79" s="28" t="s">
        <v>4282</v>
      </c>
      <c r="D79" s="59" t="s">
        <v>4225</v>
      </c>
      <c r="E79" s="59" t="s">
        <v>4255</v>
      </c>
      <c r="F79" s="59" t="s">
        <v>4283</v>
      </c>
      <c r="G79" s="59" t="s">
        <v>4284</v>
      </c>
      <c r="H79" s="59" t="s">
        <v>4225</v>
      </c>
    </row>
    <row r="80" spans="1:8" ht="42.75">
      <c r="A80" s="23" t="s">
        <v>4270</v>
      </c>
      <c r="B80" s="45" t="s">
        <v>4271</v>
      </c>
      <c r="C80" s="25"/>
      <c r="D80" s="23" t="s">
        <v>4285</v>
      </c>
      <c r="E80" s="23" t="s">
        <v>4225</v>
      </c>
      <c r="F80" s="23" t="s">
        <v>4225</v>
      </c>
      <c r="G80" s="23" t="s">
        <v>4225</v>
      </c>
      <c r="H80" s="23" t="s">
        <v>4225</v>
      </c>
    </row>
    <row r="81" spans="1:8" ht="28.5">
      <c r="A81" s="26"/>
      <c r="B81" s="45" t="s">
        <v>4276</v>
      </c>
      <c r="C81" s="25" t="s">
        <v>4286</v>
      </c>
      <c r="D81" s="26"/>
      <c r="E81" s="26"/>
      <c r="F81" s="26"/>
      <c r="G81" s="26"/>
      <c r="H81" s="26"/>
    </row>
    <row r="82" spans="1:8" ht="29.25" thickBot="1">
      <c r="A82" s="26"/>
      <c r="B82" s="45" t="s">
        <v>4280</v>
      </c>
      <c r="C82" s="28"/>
      <c r="D82" s="29"/>
      <c r="E82" s="29"/>
      <c r="F82" s="29"/>
      <c r="G82" s="29"/>
      <c r="H82" s="29"/>
    </row>
    <row r="83" spans="1:8" ht="71.25">
      <c r="A83" s="26"/>
      <c r="B83" s="25"/>
      <c r="C83" s="40" t="s">
        <v>4287</v>
      </c>
      <c r="D83" s="57" t="s">
        <v>4288</v>
      </c>
      <c r="E83" s="23" t="s">
        <v>4289</v>
      </c>
      <c r="F83" s="23" t="s">
        <v>4290</v>
      </c>
      <c r="G83" s="57" t="s">
        <v>4288</v>
      </c>
      <c r="H83" s="23" t="s">
        <v>4225</v>
      </c>
    </row>
    <row r="84" spans="1:8" ht="29.25" thickBot="1">
      <c r="A84" s="26"/>
      <c r="B84" s="25"/>
      <c r="C84" s="42"/>
      <c r="D84" s="59" t="s">
        <v>4291</v>
      </c>
      <c r="E84" s="29"/>
      <c r="F84" s="29"/>
      <c r="G84" s="59" t="s">
        <v>4292</v>
      </c>
      <c r="H84" s="29"/>
    </row>
    <row r="85" spans="1:8">
      <c r="A85" s="26"/>
      <c r="B85" s="25"/>
      <c r="C85" s="40" t="s">
        <v>4293</v>
      </c>
      <c r="D85" s="57" t="s">
        <v>4294</v>
      </c>
      <c r="E85" s="57" t="s">
        <v>4295</v>
      </c>
      <c r="F85" s="57" t="s">
        <v>4294</v>
      </c>
      <c r="G85" s="23" t="s">
        <v>4225</v>
      </c>
      <c r="H85" s="23" t="s">
        <v>4225</v>
      </c>
    </row>
    <row r="86" spans="1:8" ht="28.5">
      <c r="A86" s="26"/>
      <c r="B86" s="25"/>
      <c r="C86" s="41"/>
      <c r="D86" s="57" t="s">
        <v>4296</v>
      </c>
      <c r="E86" s="57" t="s">
        <v>4297</v>
      </c>
      <c r="F86" s="57" t="s">
        <v>4298</v>
      </c>
      <c r="G86" s="26"/>
      <c r="H86" s="26"/>
    </row>
    <row r="87" spans="1:8" ht="15" thickBot="1">
      <c r="A87" s="29"/>
      <c r="B87" s="28"/>
      <c r="C87" s="42"/>
      <c r="D87" s="59"/>
      <c r="E87" s="28"/>
      <c r="F87" s="28"/>
      <c r="G87" s="29"/>
      <c r="H87" s="29"/>
    </row>
    <row r="88" spans="1:8" ht="85.5">
      <c r="A88" s="40" t="s">
        <v>4299</v>
      </c>
      <c r="B88" s="35" t="s">
        <v>4300</v>
      </c>
      <c r="C88" s="40" t="s">
        <v>4301</v>
      </c>
      <c r="D88" s="23" t="s">
        <v>4302</v>
      </c>
      <c r="E88" s="23" t="s">
        <v>4303</v>
      </c>
      <c r="F88" s="57" t="s">
        <v>4304</v>
      </c>
      <c r="G88" s="57" t="s">
        <v>4305</v>
      </c>
      <c r="H88" s="23" t="s">
        <v>4306</v>
      </c>
    </row>
    <row r="89" spans="1:8" ht="29.25" thickBot="1">
      <c r="A89" s="41"/>
      <c r="B89" s="37"/>
      <c r="C89" s="42"/>
      <c r="D89" s="29"/>
      <c r="E89" s="29"/>
      <c r="F89" s="59" t="s">
        <v>4307</v>
      </c>
      <c r="G89" s="59" t="s">
        <v>4308</v>
      </c>
      <c r="H89" s="29"/>
    </row>
    <row r="90" spans="1:8" ht="42.75">
      <c r="A90" s="41"/>
      <c r="B90" s="37"/>
      <c r="C90" s="40" t="s">
        <v>4309</v>
      </c>
      <c r="D90" s="23" t="s">
        <v>4225</v>
      </c>
      <c r="E90" s="23" t="s">
        <v>4310</v>
      </c>
      <c r="F90" s="57" t="s">
        <v>4311</v>
      </c>
      <c r="G90" s="23" t="s">
        <v>4312</v>
      </c>
      <c r="H90" s="23" t="s">
        <v>4225</v>
      </c>
    </row>
    <row r="91" spans="1:8" ht="29.25" thickBot="1">
      <c r="A91" s="41"/>
      <c r="B91" s="37"/>
      <c r="C91" s="42"/>
      <c r="D91" s="29"/>
      <c r="E91" s="29"/>
      <c r="F91" s="59" t="s">
        <v>4313</v>
      </c>
      <c r="G91" s="29"/>
      <c r="H91" s="29"/>
    </row>
    <row r="92" spans="1:8">
      <c r="A92" s="41"/>
      <c r="B92" s="37"/>
      <c r="C92" s="40" t="s">
        <v>4314</v>
      </c>
      <c r="D92" s="36" t="s">
        <v>4285</v>
      </c>
      <c r="E92" s="23" t="s">
        <v>4225</v>
      </c>
      <c r="F92" s="23" t="s">
        <v>4225</v>
      </c>
      <c r="G92" s="23" t="s">
        <v>4225</v>
      </c>
      <c r="H92" s="23"/>
    </row>
    <row r="93" spans="1:8">
      <c r="A93" s="41"/>
      <c r="B93" s="37"/>
      <c r="C93" s="41"/>
      <c r="D93" s="38"/>
      <c r="E93" s="26"/>
      <c r="F93" s="26"/>
      <c r="G93" s="26"/>
      <c r="H93" s="26"/>
    </row>
    <row r="94" spans="1:8" ht="15" thickBot="1">
      <c r="A94" s="41"/>
      <c r="B94" s="37"/>
      <c r="C94" s="42"/>
      <c r="D94" s="39"/>
      <c r="E94" s="29"/>
      <c r="F94" s="29"/>
      <c r="G94" s="29"/>
      <c r="H94" s="29"/>
    </row>
    <row r="95" spans="1:8" ht="57">
      <c r="A95" s="41"/>
      <c r="B95" s="37"/>
      <c r="C95" s="40" t="s">
        <v>4315</v>
      </c>
      <c r="D95" s="23" t="s">
        <v>4225</v>
      </c>
      <c r="E95" s="23" t="s">
        <v>4316</v>
      </c>
      <c r="F95" s="23" t="s">
        <v>4317</v>
      </c>
      <c r="G95" s="57" t="s">
        <v>4318</v>
      </c>
      <c r="H95" s="23" t="s">
        <v>4225</v>
      </c>
    </row>
    <row r="96" spans="1:8">
      <c r="A96" s="41"/>
      <c r="B96" s="37"/>
      <c r="C96" s="41"/>
      <c r="D96" s="26"/>
      <c r="E96" s="26"/>
      <c r="F96" s="26"/>
      <c r="G96" s="57" t="s">
        <v>4319</v>
      </c>
      <c r="H96" s="26"/>
    </row>
    <row r="97" spans="1:8">
      <c r="A97" s="41"/>
      <c r="B97" s="37"/>
      <c r="C97" s="41"/>
      <c r="D97" s="26"/>
      <c r="E97" s="26"/>
      <c r="F97" s="26"/>
      <c r="G97" s="57"/>
      <c r="H97" s="26"/>
    </row>
    <row r="98" spans="1:8">
      <c r="A98" s="41"/>
      <c r="B98" s="37"/>
      <c r="C98" s="41"/>
      <c r="D98" s="26"/>
      <c r="E98" s="26"/>
      <c r="F98" s="26"/>
      <c r="G98" s="57"/>
      <c r="H98" s="26"/>
    </row>
    <row r="99" spans="1:8" ht="15" thickBot="1">
      <c r="A99" s="42"/>
      <c r="B99" s="43"/>
      <c r="C99" s="42"/>
      <c r="D99" s="29"/>
      <c r="E99" s="29"/>
      <c r="F99" s="29"/>
      <c r="G99" s="59"/>
      <c r="H99" s="29"/>
    </row>
    <row r="100" spans="1:8" ht="57">
      <c r="A100" s="40" t="s">
        <v>4320</v>
      </c>
      <c r="B100" s="45"/>
      <c r="C100" s="40" t="s">
        <v>4321</v>
      </c>
      <c r="D100" s="23" t="s">
        <v>4225</v>
      </c>
      <c r="E100" s="23" t="s">
        <v>4322</v>
      </c>
      <c r="F100" s="23" t="s">
        <v>4323</v>
      </c>
      <c r="G100" s="23" t="s">
        <v>4275</v>
      </c>
      <c r="H100" s="23" t="s">
        <v>4225</v>
      </c>
    </row>
    <row r="101" spans="1:8" ht="29.25" thickBot="1">
      <c r="A101" s="41"/>
      <c r="B101" s="45" t="s">
        <v>4324</v>
      </c>
      <c r="C101" s="42"/>
      <c r="D101" s="29"/>
      <c r="E101" s="29"/>
      <c r="F101" s="29"/>
      <c r="G101" s="29"/>
      <c r="H101" s="29"/>
    </row>
    <row r="102" spans="1:8" ht="43.5" thickBot="1">
      <c r="A102" s="42"/>
      <c r="B102" s="46"/>
      <c r="C102" s="28" t="s">
        <v>4325</v>
      </c>
      <c r="D102" s="59" t="s">
        <v>4326</v>
      </c>
      <c r="E102" s="59" t="s">
        <v>4327</v>
      </c>
      <c r="F102" s="59" t="s">
        <v>4322</v>
      </c>
      <c r="G102" s="59" t="s">
        <v>4284</v>
      </c>
      <c r="H102" s="59" t="s">
        <v>4225</v>
      </c>
    </row>
    <row r="103" spans="1:8" ht="43.5" thickBot="1">
      <c r="A103" s="40" t="s">
        <v>4328</v>
      </c>
      <c r="B103" s="35" t="s">
        <v>4329</v>
      </c>
      <c r="C103" s="28" t="s">
        <v>4330</v>
      </c>
      <c r="D103" s="59" t="s">
        <v>4225</v>
      </c>
      <c r="E103" s="59" t="s">
        <v>4331</v>
      </c>
      <c r="F103" s="59" t="s">
        <v>4332</v>
      </c>
      <c r="G103" s="59" t="s">
        <v>4333</v>
      </c>
      <c r="H103" s="59" t="s">
        <v>4225</v>
      </c>
    </row>
    <row r="104" spans="1:8" ht="28.5">
      <c r="A104" s="41"/>
      <c r="B104" s="37"/>
      <c r="C104" s="40" t="s">
        <v>4334</v>
      </c>
      <c r="D104" s="23" t="s">
        <v>4225</v>
      </c>
      <c r="E104" s="23" t="s">
        <v>4335</v>
      </c>
      <c r="F104" s="57" t="s">
        <v>4258</v>
      </c>
      <c r="G104" s="57" t="s">
        <v>4258</v>
      </c>
      <c r="H104" s="23" t="s">
        <v>4225</v>
      </c>
    </row>
    <row r="105" spans="1:8" ht="43.5" thickBot="1">
      <c r="A105" s="41"/>
      <c r="B105" s="37"/>
      <c r="C105" s="42"/>
      <c r="D105" s="29"/>
      <c r="E105" s="29"/>
      <c r="F105" s="59" t="s">
        <v>4336</v>
      </c>
      <c r="G105" s="59" t="s">
        <v>4337</v>
      </c>
      <c r="H105" s="29"/>
    </row>
    <row r="106" spans="1:8" ht="42.75">
      <c r="A106" s="41"/>
      <c r="B106" s="37"/>
      <c r="C106" s="40" t="s">
        <v>4338</v>
      </c>
      <c r="D106" s="23" t="s">
        <v>4225</v>
      </c>
      <c r="E106" s="57" t="s">
        <v>4339</v>
      </c>
      <c r="F106" s="23" t="s">
        <v>4340</v>
      </c>
      <c r="G106" s="57" t="s">
        <v>4341</v>
      </c>
      <c r="H106" s="23" t="s">
        <v>4225</v>
      </c>
    </row>
    <row r="107" spans="1:8" ht="15" thickBot="1">
      <c r="A107" s="42"/>
      <c r="B107" s="43"/>
      <c r="C107" s="42"/>
      <c r="D107" s="29"/>
      <c r="E107" s="59" t="s">
        <v>4342</v>
      </c>
      <c r="F107" s="29"/>
      <c r="G107" s="59" t="s">
        <v>4342</v>
      </c>
      <c r="H107" s="29"/>
    </row>
    <row r="108" spans="1:8" ht="57">
      <c r="A108" s="23" t="s">
        <v>4343</v>
      </c>
      <c r="B108" s="35" t="s">
        <v>4344</v>
      </c>
      <c r="C108" s="25"/>
      <c r="D108" s="57" t="s">
        <v>4345</v>
      </c>
      <c r="E108" s="23" t="s">
        <v>4346</v>
      </c>
      <c r="F108" s="23" t="s">
        <v>4347</v>
      </c>
      <c r="G108" s="23" t="s">
        <v>4348</v>
      </c>
      <c r="H108" s="23" t="s">
        <v>4349</v>
      </c>
    </row>
    <row r="109" spans="1:8" ht="28.5">
      <c r="A109" s="26"/>
      <c r="B109" s="37"/>
      <c r="C109" s="25" t="s">
        <v>4350</v>
      </c>
      <c r="D109" s="57" t="s">
        <v>4351</v>
      </c>
      <c r="E109" s="26"/>
      <c r="F109" s="26"/>
      <c r="G109" s="26"/>
      <c r="H109" s="26"/>
    </row>
    <row r="110" spans="1:8" ht="15" thickBot="1">
      <c r="A110" s="26"/>
      <c r="B110" s="37"/>
      <c r="C110" s="28"/>
      <c r="D110" s="28"/>
      <c r="E110" s="29"/>
      <c r="F110" s="29"/>
      <c r="G110" s="29"/>
      <c r="H110" s="29"/>
    </row>
    <row r="111" spans="1:8" ht="28.5">
      <c r="A111" s="26"/>
      <c r="B111" s="37"/>
      <c r="C111" s="40" t="s">
        <v>4352</v>
      </c>
      <c r="D111" s="57" t="s">
        <v>4345</v>
      </c>
      <c r="E111" s="57" t="s">
        <v>4353</v>
      </c>
      <c r="F111" s="57" t="s">
        <v>4353</v>
      </c>
      <c r="G111" s="57" t="s">
        <v>4353</v>
      </c>
      <c r="H111" s="57" t="s">
        <v>4353</v>
      </c>
    </row>
    <row r="112" spans="1:8" ht="43.5" thickBot="1">
      <c r="A112" s="29"/>
      <c r="B112" s="43"/>
      <c r="C112" s="42"/>
      <c r="D112" s="59" t="s">
        <v>4354</v>
      </c>
      <c r="E112" s="59" t="s">
        <v>4355</v>
      </c>
      <c r="F112" s="59" t="s">
        <v>4356</v>
      </c>
      <c r="G112" s="59" t="s">
        <v>4357</v>
      </c>
      <c r="H112" s="59" t="s">
        <v>4358</v>
      </c>
    </row>
    <row r="113" spans="1:8" ht="28.5">
      <c r="A113" s="26"/>
      <c r="B113" s="35" t="s">
        <v>4359</v>
      </c>
      <c r="C113" s="40" t="s">
        <v>4360</v>
      </c>
      <c r="D113" s="23" t="s">
        <v>4361</v>
      </c>
      <c r="E113" s="57" t="s">
        <v>4362</v>
      </c>
      <c r="F113" s="57" t="s">
        <v>4362</v>
      </c>
      <c r="G113" s="57" t="s">
        <v>4294</v>
      </c>
      <c r="H113" s="57" t="s">
        <v>4294</v>
      </c>
    </row>
    <row r="114" spans="1:8" ht="29.25" thickBot="1">
      <c r="A114" s="26" t="s">
        <v>4363</v>
      </c>
      <c r="B114" s="37"/>
      <c r="C114" s="42"/>
      <c r="D114" s="29"/>
      <c r="E114" s="59" t="s">
        <v>4364</v>
      </c>
      <c r="F114" s="59" t="s">
        <v>4365</v>
      </c>
      <c r="G114" s="59" t="s">
        <v>4366</v>
      </c>
      <c r="H114" s="59" t="s">
        <v>4367</v>
      </c>
    </row>
    <row r="115" spans="1:8" ht="42.75">
      <c r="A115" s="26"/>
      <c r="B115" s="37"/>
      <c r="C115" s="40" t="s">
        <v>4368</v>
      </c>
      <c r="D115" s="23" t="s">
        <v>4369</v>
      </c>
      <c r="E115" s="23" t="s">
        <v>4370</v>
      </c>
      <c r="F115" s="57" t="s">
        <v>4371</v>
      </c>
      <c r="G115" s="23" t="s">
        <v>4372</v>
      </c>
      <c r="H115" s="57" t="s">
        <v>4294</v>
      </c>
    </row>
    <row r="116" spans="1:8">
      <c r="A116" s="41"/>
      <c r="B116" s="37"/>
      <c r="C116" s="41"/>
      <c r="D116" s="26"/>
      <c r="E116" s="26"/>
      <c r="F116" s="57" t="s">
        <v>4373</v>
      </c>
      <c r="G116" s="26"/>
      <c r="H116" s="57" t="s">
        <v>4374</v>
      </c>
    </row>
    <row r="117" spans="1:8">
      <c r="A117" s="41"/>
      <c r="B117" s="37"/>
      <c r="C117" s="41"/>
      <c r="D117" s="26"/>
      <c r="E117" s="26"/>
      <c r="F117" s="57"/>
      <c r="G117" s="26"/>
      <c r="H117" s="57"/>
    </row>
    <row r="118" spans="1:8">
      <c r="A118" s="41"/>
      <c r="B118" s="37"/>
      <c r="C118" s="41"/>
      <c r="D118" s="26"/>
      <c r="E118" s="26"/>
      <c r="F118" s="57"/>
      <c r="G118" s="26"/>
      <c r="H118" s="57"/>
    </row>
    <row r="119" spans="1:8" ht="15" thickBot="1">
      <c r="A119" s="41"/>
      <c r="B119" s="37"/>
      <c r="C119" s="42"/>
      <c r="D119" s="29"/>
      <c r="E119" s="29"/>
      <c r="F119" s="59"/>
      <c r="G119" s="29"/>
      <c r="H119" s="59"/>
    </row>
    <row r="120" spans="1:8" ht="15" thickBot="1">
      <c r="A120" s="41"/>
      <c r="B120" s="37"/>
      <c r="C120" s="28" t="s">
        <v>4375</v>
      </c>
      <c r="D120" s="59" t="s">
        <v>4376</v>
      </c>
      <c r="E120" s="59" t="s">
        <v>4377</v>
      </c>
      <c r="F120" s="59" t="s">
        <v>4225</v>
      </c>
      <c r="G120" s="59" t="s">
        <v>4225</v>
      </c>
      <c r="H120" s="59" t="s">
        <v>4225</v>
      </c>
    </row>
    <row r="121" spans="1:8" ht="15" thickBot="1">
      <c r="A121" s="42"/>
      <c r="B121" s="43"/>
      <c r="C121" s="28" t="s">
        <v>4378</v>
      </c>
      <c r="D121" s="59" t="s">
        <v>4225</v>
      </c>
      <c r="E121" s="59" t="s">
        <v>4379</v>
      </c>
      <c r="F121" s="59" t="s">
        <v>4380</v>
      </c>
      <c r="G121" s="59" t="s">
        <v>4381</v>
      </c>
      <c r="H121" s="59" t="s">
        <v>4225</v>
      </c>
    </row>
    <row r="122" spans="1:8" ht="42.75">
      <c r="A122" s="31"/>
      <c r="B122" s="35" t="s">
        <v>4382</v>
      </c>
      <c r="C122" s="40" t="s">
        <v>4383</v>
      </c>
      <c r="D122" s="23" t="s">
        <v>4225</v>
      </c>
      <c r="E122" s="23" t="s">
        <v>4384</v>
      </c>
      <c r="F122" s="23" t="s">
        <v>4385</v>
      </c>
      <c r="G122" s="23" t="s">
        <v>4386</v>
      </c>
      <c r="H122" s="23" t="s">
        <v>4225</v>
      </c>
    </row>
    <row r="123" spans="1:8">
      <c r="A123" s="31"/>
      <c r="B123" s="37"/>
      <c r="C123" s="41"/>
      <c r="D123" s="26"/>
      <c r="E123" s="26"/>
      <c r="F123" s="26"/>
      <c r="G123" s="26"/>
      <c r="H123" s="26"/>
    </row>
    <row r="124" spans="1:8" ht="15" thickBot="1">
      <c r="A124" s="31" t="s">
        <v>4387</v>
      </c>
      <c r="B124" s="37"/>
      <c r="C124" s="42"/>
      <c r="D124" s="29"/>
      <c r="E124" s="29"/>
      <c r="F124" s="29"/>
      <c r="G124" s="29"/>
      <c r="H124" s="29"/>
    </row>
    <row r="125" spans="1:8" ht="57.75" thickBot="1">
      <c r="A125" s="47"/>
      <c r="B125" s="43"/>
      <c r="C125" s="28" t="s">
        <v>4388</v>
      </c>
      <c r="D125" s="59" t="s">
        <v>4225</v>
      </c>
      <c r="E125" s="59" t="s">
        <v>4389</v>
      </c>
      <c r="F125" s="59" t="s">
        <v>4390</v>
      </c>
      <c r="G125" s="59" t="s">
        <v>4391</v>
      </c>
      <c r="H125" s="59" t="s">
        <v>4225</v>
      </c>
    </row>
    <row r="126" spans="1:8" ht="57">
      <c r="A126" s="31"/>
      <c r="B126" s="35" t="s">
        <v>4382</v>
      </c>
      <c r="C126" s="25"/>
      <c r="D126" s="23" t="s">
        <v>4225</v>
      </c>
      <c r="E126" s="23" t="s">
        <v>4392</v>
      </c>
      <c r="F126" s="23" t="s">
        <v>4393</v>
      </c>
      <c r="G126" s="23" t="s">
        <v>4394</v>
      </c>
      <c r="H126" s="23" t="s">
        <v>4225</v>
      </c>
    </row>
    <row r="127" spans="1:8">
      <c r="A127" s="31"/>
      <c r="B127" s="37"/>
      <c r="C127" s="25" t="s">
        <v>4395</v>
      </c>
      <c r="D127" s="26"/>
      <c r="E127" s="26"/>
      <c r="F127" s="26"/>
      <c r="G127" s="26"/>
      <c r="H127" s="26"/>
    </row>
    <row r="128" spans="1:8">
      <c r="A128" s="31"/>
      <c r="B128" s="37"/>
      <c r="C128" s="25"/>
      <c r="D128" s="26"/>
      <c r="E128" s="26"/>
      <c r="F128" s="26"/>
      <c r="G128" s="26"/>
      <c r="H128" s="26"/>
    </row>
    <row r="129" spans="1:8">
      <c r="A129" s="31"/>
      <c r="B129" s="37"/>
      <c r="C129" s="25"/>
      <c r="D129" s="26"/>
      <c r="E129" s="26"/>
      <c r="F129" s="26"/>
      <c r="G129" s="26"/>
      <c r="H129" s="26"/>
    </row>
    <row r="130" spans="1:8">
      <c r="A130" s="31"/>
      <c r="B130" s="37"/>
      <c r="C130" s="25"/>
      <c r="D130" s="26"/>
      <c r="E130" s="26"/>
      <c r="F130" s="26"/>
      <c r="G130" s="26"/>
      <c r="H130" s="26"/>
    </row>
    <row r="131" spans="1:8">
      <c r="A131" s="31"/>
      <c r="B131" s="37"/>
      <c r="C131" s="25"/>
      <c r="D131" s="26"/>
      <c r="E131" s="26"/>
      <c r="F131" s="26"/>
      <c r="G131" s="26"/>
      <c r="H131" s="26"/>
    </row>
    <row r="132" spans="1:8">
      <c r="A132" s="31"/>
      <c r="B132" s="37"/>
      <c r="C132" s="25"/>
      <c r="D132" s="26"/>
      <c r="E132" s="26"/>
      <c r="F132" s="26"/>
      <c r="G132" s="26"/>
      <c r="H132" s="26"/>
    </row>
    <row r="133" spans="1:8" ht="15" thickBot="1">
      <c r="A133" s="31"/>
      <c r="B133" s="37"/>
      <c r="C133" s="28"/>
      <c r="D133" s="29"/>
      <c r="E133" s="29"/>
      <c r="F133" s="29"/>
      <c r="G133" s="29"/>
      <c r="H133" s="29"/>
    </row>
    <row r="134" spans="1:8" ht="71.25">
      <c r="A134" s="31"/>
      <c r="B134" s="37"/>
      <c r="C134" s="40" t="s">
        <v>4396</v>
      </c>
      <c r="D134" s="23" t="s">
        <v>4225</v>
      </c>
      <c r="E134" s="57"/>
      <c r="F134" s="57" t="s">
        <v>4397</v>
      </c>
      <c r="G134" s="57"/>
      <c r="H134" s="23" t="s">
        <v>4225</v>
      </c>
    </row>
    <row r="135" spans="1:8" ht="71.25">
      <c r="A135" s="31"/>
      <c r="B135" s="37"/>
      <c r="C135" s="41"/>
      <c r="D135" s="26"/>
      <c r="E135" s="57" t="s">
        <v>4398</v>
      </c>
      <c r="F135" s="57" t="s">
        <v>4399</v>
      </c>
      <c r="G135" s="57" t="s">
        <v>4400</v>
      </c>
      <c r="H135" s="26"/>
    </row>
    <row r="136" spans="1:8">
      <c r="A136" s="31" t="s">
        <v>4387</v>
      </c>
      <c r="B136" s="37"/>
      <c r="C136" s="41"/>
      <c r="D136" s="26"/>
      <c r="E136" s="57" t="s">
        <v>4399</v>
      </c>
      <c r="F136" s="25"/>
      <c r="G136" s="57" t="s">
        <v>4399</v>
      </c>
      <c r="H136" s="26"/>
    </row>
    <row r="137" spans="1:8">
      <c r="A137" s="31"/>
      <c r="B137" s="37"/>
      <c r="C137" s="41"/>
      <c r="D137" s="26"/>
      <c r="E137" s="57"/>
      <c r="F137" s="25"/>
      <c r="G137" s="57"/>
      <c r="H137" s="26"/>
    </row>
    <row r="138" spans="1:8" ht="15" thickBot="1">
      <c r="A138" s="33"/>
      <c r="B138" s="37"/>
      <c r="C138" s="42"/>
      <c r="D138" s="29"/>
      <c r="E138" s="59"/>
      <c r="F138" s="28"/>
      <c r="G138" s="59"/>
      <c r="H138" s="29"/>
    </row>
    <row r="139" spans="1:8" ht="57">
      <c r="A139" s="33"/>
      <c r="B139" s="37"/>
      <c r="C139" s="40" t="s">
        <v>4401</v>
      </c>
      <c r="D139" s="23" t="s">
        <v>4225</v>
      </c>
      <c r="E139" s="23" t="s">
        <v>4402</v>
      </c>
      <c r="F139" s="23" t="s">
        <v>4403</v>
      </c>
      <c r="G139" s="23" t="s">
        <v>4404</v>
      </c>
      <c r="H139" s="23" t="s">
        <v>4225</v>
      </c>
    </row>
    <row r="140" spans="1:8">
      <c r="A140" s="33"/>
      <c r="B140" s="37"/>
      <c r="C140" s="41"/>
      <c r="D140" s="26"/>
      <c r="E140" s="26"/>
      <c r="F140" s="26"/>
      <c r="G140" s="26"/>
      <c r="H140" s="26"/>
    </row>
    <row r="141" spans="1:8" ht="15" thickBot="1">
      <c r="A141" s="33"/>
      <c r="B141" s="37"/>
      <c r="C141" s="42"/>
      <c r="D141" s="29"/>
      <c r="E141" s="29"/>
      <c r="F141" s="29"/>
      <c r="G141" s="29"/>
      <c r="H141" s="29"/>
    </row>
    <row r="142" spans="1:8" ht="57.75" thickBot="1">
      <c r="A142" s="33"/>
      <c r="B142" s="37"/>
      <c r="C142" s="28" t="s">
        <v>4405</v>
      </c>
      <c r="D142" s="59" t="s">
        <v>4225</v>
      </c>
      <c r="E142" s="59" t="s">
        <v>4406</v>
      </c>
      <c r="F142" s="59" t="s">
        <v>4407</v>
      </c>
      <c r="G142" s="59" t="s">
        <v>4408</v>
      </c>
      <c r="H142" s="59" t="s">
        <v>4225</v>
      </c>
    </row>
    <row r="143" spans="1:8" ht="57.75" thickBot="1">
      <c r="A143" s="17"/>
      <c r="B143" s="43"/>
      <c r="C143" s="28" t="s">
        <v>4409</v>
      </c>
      <c r="D143" s="59" t="s">
        <v>4225</v>
      </c>
      <c r="E143" s="59" t="s">
        <v>4410</v>
      </c>
      <c r="F143" s="59" t="s">
        <v>4411</v>
      </c>
      <c r="G143" s="59" t="s">
        <v>4412</v>
      </c>
      <c r="H143" s="59" t="s">
        <v>4225</v>
      </c>
    </row>
    <row r="144" spans="1:8" ht="57">
      <c r="A144" s="31"/>
      <c r="B144" s="45"/>
      <c r="C144" s="40" t="s">
        <v>4413</v>
      </c>
      <c r="D144" s="23" t="s">
        <v>4225</v>
      </c>
      <c r="E144" s="23" t="s">
        <v>4414</v>
      </c>
      <c r="F144" s="23" t="s">
        <v>4415</v>
      </c>
      <c r="G144" s="23" t="s">
        <v>4416</v>
      </c>
      <c r="H144" s="23" t="s">
        <v>4225</v>
      </c>
    </row>
    <row r="145" spans="1:8">
      <c r="A145" s="31"/>
      <c r="B145" s="45"/>
      <c r="C145" s="41"/>
      <c r="D145" s="26"/>
      <c r="E145" s="26"/>
      <c r="F145" s="26"/>
      <c r="G145" s="26"/>
      <c r="H145" s="26"/>
    </row>
    <row r="146" spans="1:8" ht="42.75">
      <c r="A146" s="31"/>
      <c r="B146" s="45" t="s">
        <v>4417</v>
      </c>
      <c r="C146" s="41"/>
      <c r="D146" s="26"/>
      <c r="E146" s="26"/>
      <c r="F146" s="26"/>
      <c r="G146" s="26"/>
      <c r="H146" s="26"/>
    </row>
    <row r="147" spans="1:8">
      <c r="A147" s="31"/>
      <c r="B147" s="45"/>
      <c r="C147" s="41"/>
      <c r="D147" s="26"/>
      <c r="E147" s="26"/>
      <c r="F147" s="26"/>
      <c r="G147" s="26"/>
      <c r="H147" s="26"/>
    </row>
    <row r="148" spans="1:8">
      <c r="A148" s="31"/>
      <c r="B148" s="25"/>
      <c r="C148" s="41"/>
      <c r="D148" s="26"/>
      <c r="E148" s="26"/>
      <c r="F148" s="26"/>
      <c r="G148" s="26"/>
      <c r="H148" s="26"/>
    </row>
    <row r="149" spans="1:8">
      <c r="A149" s="31"/>
      <c r="B149" s="25"/>
      <c r="C149" s="41"/>
      <c r="D149" s="26"/>
      <c r="E149" s="26"/>
      <c r="F149" s="26"/>
      <c r="G149" s="26"/>
      <c r="H149" s="26"/>
    </row>
    <row r="150" spans="1:8">
      <c r="A150" s="31" t="s">
        <v>4418</v>
      </c>
      <c r="B150" s="25"/>
      <c r="C150" s="41"/>
      <c r="D150" s="26"/>
      <c r="E150" s="26"/>
      <c r="F150" s="26"/>
      <c r="G150" s="26"/>
      <c r="H150" s="26"/>
    </row>
    <row r="151" spans="1:8">
      <c r="A151" s="31"/>
      <c r="B151" s="25"/>
      <c r="C151" s="41"/>
      <c r="D151" s="26"/>
      <c r="E151" s="26"/>
      <c r="F151" s="26"/>
      <c r="G151" s="26"/>
      <c r="H151" s="26"/>
    </row>
    <row r="152" spans="1:8">
      <c r="A152" s="31"/>
      <c r="B152" s="25"/>
      <c r="C152" s="41"/>
      <c r="D152" s="26"/>
      <c r="E152" s="26"/>
      <c r="F152" s="26"/>
      <c r="G152" s="26"/>
      <c r="H152" s="26"/>
    </row>
    <row r="153" spans="1:8" ht="15" thickBot="1">
      <c r="A153" s="31"/>
      <c r="B153" s="25"/>
      <c r="C153" s="42"/>
      <c r="D153" s="29"/>
      <c r="E153" s="29"/>
      <c r="F153" s="29"/>
      <c r="G153" s="29"/>
      <c r="H153" s="29"/>
    </row>
    <row r="154" spans="1:8" ht="42.75">
      <c r="A154" s="31"/>
      <c r="B154" s="25"/>
      <c r="C154" s="40" t="s">
        <v>4419</v>
      </c>
      <c r="D154" s="23" t="s">
        <v>4225</v>
      </c>
      <c r="E154" s="23" t="s">
        <v>4420</v>
      </c>
      <c r="F154" s="23" t="s">
        <v>4421</v>
      </c>
      <c r="G154" s="23" t="s">
        <v>4422</v>
      </c>
      <c r="H154" s="23" t="s">
        <v>4225</v>
      </c>
    </row>
    <row r="155" spans="1:8" ht="15" thickBot="1">
      <c r="A155" s="31"/>
      <c r="B155" s="25"/>
      <c r="C155" s="42"/>
      <c r="D155" s="29"/>
      <c r="E155" s="29"/>
      <c r="F155" s="29"/>
      <c r="G155" s="29"/>
      <c r="H155" s="29"/>
    </row>
    <row r="156" spans="1:8">
      <c r="A156" s="33"/>
      <c r="B156" s="25"/>
      <c r="C156" s="40" t="s">
        <v>4423</v>
      </c>
      <c r="D156" s="23" t="s">
        <v>4225</v>
      </c>
      <c r="E156" s="57" t="s">
        <v>4258</v>
      </c>
      <c r="F156" s="57" t="s">
        <v>4258</v>
      </c>
      <c r="G156" s="57" t="s">
        <v>4258</v>
      </c>
      <c r="H156" s="23" t="s">
        <v>4225</v>
      </c>
    </row>
    <row r="157" spans="1:8" ht="43.5" thickBot="1">
      <c r="A157" s="17"/>
      <c r="B157" s="28"/>
      <c r="C157" s="42"/>
      <c r="D157" s="29"/>
      <c r="E157" s="59" t="s">
        <v>4424</v>
      </c>
      <c r="F157" s="59" t="s">
        <v>4425</v>
      </c>
      <c r="G157" s="59" t="s">
        <v>4426</v>
      </c>
      <c r="H157" s="29"/>
    </row>
    <row r="158" spans="1:8" ht="72" thickBot="1">
      <c r="A158" s="23" t="s">
        <v>4418</v>
      </c>
      <c r="B158" s="35" t="s">
        <v>4417</v>
      </c>
      <c r="C158" s="28" t="s">
        <v>4427</v>
      </c>
      <c r="D158" s="59" t="s">
        <v>4225</v>
      </c>
      <c r="E158" s="59" t="s">
        <v>4428</v>
      </c>
      <c r="F158" s="59" t="s">
        <v>4429</v>
      </c>
      <c r="G158" s="59" t="s">
        <v>4430</v>
      </c>
      <c r="H158" s="59" t="s">
        <v>4225</v>
      </c>
    </row>
    <row r="159" spans="1:8" ht="57.75" thickBot="1">
      <c r="A159" s="26"/>
      <c r="B159" s="37"/>
      <c r="C159" s="28" t="s">
        <v>4431</v>
      </c>
      <c r="D159" s="59" t="s">
        <v>4225</v>
      </c>
      <c r="E159" s="59" t="s">
        <v>4432</v>
      </c>
      <c r="F159" s="59" t="s">
        <v>4433</v>
      </c>
      <c r="G159" s="59" t="s">
        <v>4434</v>
      </c>
      <c r="H159" s="59" t="s">
        <v>4225</v>
      </c>
    </row>
    <row r="160" spans="1:8" ht="28.5">
      <c r="A160" s="26"/>
      <c r="B160" s="37"/>
      <c r="C160" s="40" t="s">
        <v>4435</v>
      </c>
      <c r="D160" s="23" t="s">
        <v>4225</v>
      </c>
      <c r="E160" s="23" t="s">
        <v>4436</v>
      </c>
      <c r="F160" s="57" t="s">
        <v>4437</v>
      </c>
      <c r="G160" s="57" t="s">
        <v>4437</v>
      </c>
      <c r="H160" s="23" t="s">
        <v>4225</v>
      </c>
    </row>
    <row r="161" spans="1:8" ht="29.25" thickBot="1">
      <c r="A161" s="29"/>
      <c r="B161" s="43"/>
      <c r="C161" s="42"/>
      <c r="D161" s="29"/>
      <c r="E161" s="29"/>
      <c r="F161" s="59" t="s">
        <v>4438</v>
      </c>
      <c r="G161" s="59" t="s">
        <v>4439</v>
      </c>
      <c r="H161" s="29"/>
    </row>
    <row r="162" spans="1:8" ht="42.75">
      <c r="A162" s="23" t="s">
        <v>4440</v>
      </c>
      <c r="B162" s="45" t="s">
        <v>4441</v>
      </c>
      <c r="C162" s="40" t="s">
        <v>4442</v>
      </c>
      <c r="D162" s="23" t="s">
        <v>4225</v>
      </c>
      <c r="E162" s="23" t="s">
        <v>4443</v>
      </c>
      <c r="F162" s="23" t="s">
        <v>4444</v>
      </c>
      <c r="G162" s="23" t="s">
        <v>4445</v>
      </c>
      <c r="H162" s="23" t="s">
        <v>4225</v>
      </c>
    </row>
    <row r="163" spans="1:8" ht="43.5" thickBot="1">
      <c r="A163" s="26"/>
      <c r="B163" s="45" t="s">
        <v>4446</v>
      </c>
      <c r="C163" s="42"/>
      <c r="D163" s="29"/>
      <c r="E163" s="29"/>
      <c r="F163" s="29"/>
      <c r="G163" s="29"/>
      <c r="H163" s="29"/>
    </row>
    <row r="164" spans="1:8" ht="43.5" thickBot="1">
      <c r="A164" s="26"/>
      <c r="B164" s="25"/>
      <c r="C164" s="28" t="s">
        <v>4447</v>
      </c>
      <c r="D164" s="59" t="s">
        <v>4225</v>
      </c>
      <c r="E164" s="59" t="s">
        <v>4448</v>
      </c>
      <c r="F164" s="59" t="s">
        <v>4449</v>
      </c>
      <c r="G164" s="59" t="s">
        <v>4450</v>
      </c>
      <c r="H164" s="59" t="s">
        <v>4225</v>
      </c>
    </row>
    <row r="165" spans="1:8">
      <c r="A165" s="26"/>
      <c r="B165" s="25"/>
      <c r="C165" s="40" t="s">
        <v>4451</v>
      </c>
      <c r="D165" s="23" t="s">
        <v>4225</v>
      </c>
      <c r="E165" s="57" t="s">
        <v>4362</v>
      </c>
      <c r="F165" s="57" t="s">
        <v>4362</v>
      </c>
      <c r="G165" s="57" t="s">
        <v>4294</v>
      </c>
      <c r="H165" s="23" t="s">
        <v>4225</v>
      </c>
    </row>
    <row r="166" spans="1:8" ht="29.25" thickBot="1">
      <c r="A166" s="26"/>
      <c r="B166" s="25"/>
      <c r="C166" s="42"/>
      <c r="D166" s="29"/>
      <c r="E166" s="59" t="s">
        <v>4452</v>
      </c>
      <c r="F166" s="59" t="s">
        <v>4453</v>
      </c>
      <c r="G166" s="59" t="s">
        <v>4454</v>
      </c>
      <c r="H166" s="29"/>
    </row>
    <row r="167" spans="1:8" ht="57.75" thickBot="1">
      <c r="A167" s="26"/>
      <c r="B167" s="25"/>
      <c r="C167" s="28" t="s">
        <v>4455</v>
      </c>
      <c r="D167" s="59" t="s">
        <v>4225</v>
      </c>
      <c r="E167" s="59" t="s">
        <v>4225</v>
      </c>
      <c r="F167" s="59" t="s">
        <v>4456</v>
      </c>
      <c r="G167" s="59" t="s">
        <v>4457</v>
      </c>
      <c r="H167" s="59" t="s">
        <v>4225</v>
      </c>
    </row>
    <row r="168" spans="1:8" ht="43.5" thickBot="1">
      <c r="A168" s="26"/>
      <c r="B168" s="25"/>
      <c r="C168" s="28" t="s">
        <v>4458</v>
      </c>
      <c r="D168" s="59" t="s">
        <v>4225</v>
      </c>
      <c r="E168" s="59" t="s">
        <v>4459</v>
      </c>
      <c r="F168" s="59" t="s">
        <v>4460</v>
      </c>
      <c r="G168" s="59" t="s">
        <v>4461</v>
      </c>
      <c r="H168" s="59" t="s">
        <v>4225</v>
      </c>
    </row>
    <row r="169" spans="1:8" ht="42.75">
      <c r="A169" s="26"/>
      <c r="B169" s="25"/>
      <c r="C169" s="25"/>
      <c r="D169" s="23" t="s">
        <v>4225</v>
      </c>
      <c r="E169" s="23" t="s">
        <v>4462</v>
      </c>
      <c r="F169" s="23" t="s">
        <v>4463</v>
      </c>
      <c r="G169" s="23" t="s">
        <v>4464</v>
      </c>
      <c r="H169" s="23" t="s">
        <v>4225</v>
      </c>
    </row>
    <row r="170" spans="1:8">
      <c r="A170" s="26"/>
      <c r="B170" s="25"/>
      <c r="C170" s="25" t="s">
        <v>4465</v>
      </c>
      <c r="D170" s="26"/>
      <c r="E170" s="26"/>
      <c r="F170" s="26"/>
      <c r="G170" s="26"/>
      <c r="H170" s="26"/>
    </row>
    <row r="171" spans="1:8">
      <c r="A171" s="26"/>
      <c r="B171" s="25"/>
      <c r="C171" s="25"/>
      <c r="D171" s="26"/>
      <c r="E171" s="26"/>
      <c r="F171" s="26"/>
      <c r="G171" s="26"/>
      <c r="H171" s="26"/>
    </row>
    <row r="172" spans="1:8">
      <c r="A172" s="26"/>
      <c r="B172" s="25"/>
      <c r="C172" s="25"/>
      <c r="D172" s="26"/>
      <c r="E172" s="26"/>
      <c r="F172" s="26"/>
      <c r="G172" s="26"/>
      <c r="H172" s="26"/>
    </row>
    <row r="173" spans="1:8" ht="15" thickBot="1">
      <c r="A173" s="29"/>
      <c r="B173" s="28"/>
      <c r="C173" s="28"/>
      <c r="D173" s="29"/>
      <c r="E173" s="29"/>
      <c r="F173" s="29"/>
      <c r="G173" s="29"/>
      <c r="H173" s="29"/>
    </row>
    <row r="174" spans="1:8" ht="57.75" thickBot="1">
      <c r="A174" s="20" t="s">
        <v>507</v>
      </c>
      <c r="B174" s="48" t="s">
        <v>4466</v>
      </c>
      <c r="C174" s="49"/>
      <c r="D174" s="49"/>
      <c r="E174" s="49"/>
      <c r="F174" s="49"/>
      <c r="G174" s="49"/>
      <c r="H174" s="64"/>
    </row>
    <row r="175" spans="1:8" ht="85.5">
      <c r="A175" s="23" t="s">
        <v>4467</v>
      </c>
      <c r="B175" s="35" t="s">
        <v>4468</v>
      </c>
      <c r="C175" s="40" t="s">
        <v>4469</v>
      </c>
      <c r="D175" s="57" t="s">
        <v>4470</v>
      </c>
      <c r="E175" s="57"/>
      <c r="F175" s="57" t="s">
        <v>4471</v>
      </c>
      <c r="G175" s="57" t="s">
        <v>4472</v>
      </c>
      <c r="H175" s="57" t="s">
        <v>4473</v>
      </c>
    </row>
    <row r="176" spans="1:8" ht="57">
      <c r="A176" s="26"/>
      <c r="B176" s="37"/>
      <c r="C176" s="41"/>
      <c r="D176" s="57" t="s">
        <v>4166</v>
      </c>
      <c r="E176" s="57" t="s">
        <v>4474</v>
      </c>
      <c r="F176" s="57" t="s">
        <v>4166</v>
      </c>
      <c r="G176" s="57" t="s">
        <v>4166</v>
      </c>
      <c r="H176" s="57" t="s">
        <v>4166</v>
      </c>
    </row>
    <row r="177" spans="1:8" ht="57.75" thickBot="1">
      <c r="A177" s="26"/>
      <c r="B177" s="37"/>
      <c r="C177" s="42"/>
      <c r="D177" s="57" t="s">
        <v>4475</v>
      </c>
      <c r="E177" s="57" t="s">
        <v>4166</v>
      </c>
      <c r="F177" s="57" t="s">
        <v>4476</v>
      </c>
      <c r="G177" s="57" t="s">
        <v>4477</v>
      </c>
      <c r="H177" s="57" t="s">
        <v>4478</v>
      </c>
    </row>
    <row r="178" spans="1:8" ht="15" thickBot="1">
      <c r="A178" s="26"/>
      <c r="B178" s="37"/>
      <c r="C178" s="28" t="s">
        <v>4479</v>
      </c>
      <c r="D178" s="25"/>
      <c r="E178" s="57" t="s">
        <v>4480</v>
      </c>
      <c r="F178" s="25"/>
      <c r="G178" s="25"/>
      <c r="H178" s="25"/>
    </row>
    <row r="179" spans="1:8" ht="15" thickBot="1">
      <c r="A179" s="29"/>
      <c r="B179" s="43"/>
      <c r="C179" s="28" t="s">
        <v>4481</v>
      </c>
      <c r="D179" s="28"/>
      <c r="E179" s="59"/>
      <c r="F179" s="28"/>
      <c r="G179" s="28"/>
      <c r="H179" s="28"/>
    </row>
    <row r="180" spans="1:8" ht="71.25">
      <c r="A180" s="23" t="s">
        <v>4482</v>
      </c>
      <c r="B180" s="35" t="s">
        <v>4483</v>
      </c>
      <c r="C180" s="40"/>
      <c r="D180" s="23" t="s">
        <v>4484</v>
      </c>
      <c r="E180" s="23" t="s">
        <v>4485</v>
      </c>
      <c r="F180" s="23" t="s">
        <v>4486</v>
      </c>
      <c r="G180" s="23" t="s">
        <v>4487</v>
      </c>
      <c r="H180" s="23" t="s">
        <v>4225</v>
      </c>
    </row>
    <row r="181" spans="1:8" ht="15" thickBot="1">
      <c r="A181" s="29"/>
      <c r="B181" s="43"/>
      <c r="C181" s="42"/>
      <c r="D181" s="29"/>
      <c r="E181" s="29"/>
      <c r="F181" s="29"/>
      <c r="G181" s="29"/>
      <c r="H181" s="29"/>
    </row>
    <row r="182" spans="1:8" ht="28.5">
      <c r="A182" s="23" t="s">
        <v>4488</v>
      </c>
      <c r="B182" s="35" t="s">
        <v>4489</v>
      </c>
      <c r="C182" s="40" t="s">
        <v>4490</v>
      </c>
      <c r="D182" s="23" t="s">
        <v>4491</v>
      </c>
      <c r="E182" s="57" t="s">
        <v>4492</v>
      </c>
      <c r="F182" s="23" t="s">
        <v>4493</v>
      </c>
      <c r="G182" s="23" t="s">
        <v>4494</v>
      </c>
      <c r="H182" s="23" t="s">
        <v>4495</v>
      </c>
    </row>
    <row r="183" spans="1:8" ht="57.75" thickBot="1">
      <c r="A183" s="26"/>
      <c r="B183" s="37"/>
      <c r="C183" s="42"/>
      <c r="D183" s="26"/>
      <c r="E183" s="57" t="s">
        <v>4496</v>
      </c>
      <c r="F183" s="26"/>
      <c r="G183" s="26"/>
      <c r="H183" s="26"/>
    </row>
    <row r="184" spans="1:8" ht="15" thickBot="1">
      <c r="A184" s="29"/>
      <c r="B184" s="43"/>
      <c r="C184" s="28" t="s">
        <v>4497</v>
      </c>
      <c r="D184" s="29"/>
      <c r="E184" s="59"/>
      <c r="F184" s="29"/>
      <c r="G184" s="29"/>
      <c r="H184" s="29"/>
    </row>
    <row r="185" spans="1:8" ht="86.25" thickBot="1">
      <c r="A185" s="23" t="s">
        <v>4498</v>
      </c>
      <c r="B185" s="35" t="s">
        <v>4499</v>
      </c>
      <c r="C185" s="28" t="s">
        <v>4500</v>
      </c>
      <c r="D185" s="23" t="s">
        <v>4501</v>
      </c>
      <c r="E185" s="57"/>
      <c r="F185" s="23" t="s">
        <v>4502</v>
      </c>
      <c r="G185" s="23" t="s">
        <v>4503</v>
      </c>
      <c r="H185" s="23" t="s">
        <v>4504</v>
      </c>
    </row>
    <row r="186" spans="1:8" ht="57.75" thickBot="1">
      <c r="A186" s="26"/>
      <c r="B186" s="37"/>
      <c r="C186" s="28" t="s">
        <v>4505</v>
      </c>
      <c r="D186" s="26"/>
      <c r="E186" s="57" t="s">
        <v>4506</v>
      </c>
      <c r="F186" s="26"/>
      <c r="G186" s="26"/>
      <c r="H186" s="26"/>
    </row>
    <row r="187" spans="1:8" ht="15" thickBot="1">
      <c r="A187" s="29"/>
      <c r="B187" s="43"/>
      <c r="C187" s="28" t="s">
        <v>4507</v>
      </c>
      <c r="D187" s="29"/>
      <c r="E187" s="59"/>
      <c r="F187" s="29"/>
      <c r="G187" s="29"/>
      <c r="H187" s="29"/>
    </row>
    <row r="188" spans="1:8" ht="57">
      <c r="A188" s="23" t="s">
        <v>4508</v>
      </c>
      <c r="B188" s="35" t="s">
        <v>4509</v>
      </c>
      <c r="C188" s="40" t="s">
        <v>4510</v>
      </c>
      <c r="D188" s="23" t="s">
        <v>4225</v>
      </c>
      <c r="E188" s="23" t="s">
        <v>4511</v>
      </c>
      <c r="F188" s="23" t="s">
        <v>4512</v>
      </c>
      <c r="G188" s="23" t="s">
        <v>4513</v>
      </c>
      <c r="H188" s="23" t="s">
        <v>4514</v>
      </c>
    </row>
    <row r="189" spans="1:8">
      <c r="A189" s="26"/>
      <c r="B189" s="37"/>
      <c r="C189" s="41"/>
      <c r="D189" s="26"/>
      <c r="E189" s="26"/>
      <c r="F189" s="26"/>
      <c r="G189" s="26"/>
      <c r="H189" s="26"/>
    </row>
    <row r="190" spans="1:8">
      <c r="A190" s="26"/>
      <c r="B190" s="37"/>
      <c r="C190" s="41"/>
      <c r="D190" s="26"/>
      <c r="E190" s="26"/>
      <c r="F190" s="26"/>
      <c r="G190" s="26"/>
      <c r="H190" s="26"/>
    </row>
    <row r="191" spans="1:8">
      <c r="A191" s="26"/>
      <c r="B191" s="37"/>
      <c r="C191" s="41"/>
      <c r="D191" s="26"/>
      <c r="E191" s="26"/>
      <c r="F191" s="26"/>
      <c r="G191" s="26"/>
      <c r="H191" s="26"/>
    </row>
    <row r="192" spans="1:8">
      <c r="A192" s="26"/>
      <c r="B192" s="37"/>
      <c r="C192" s="41"/>
      <c r="D192" s="26"/>
      <c r="E192" s="26"/>
      <c r="F192" s="26"/>
      <c r="G192" s="26"/>
      <c r="H192" s="26"/>
    </row>
    <row r="193" spans="1:8" ht="15" thickBot="1">
      <c r="A193" s="26"/>
      <c r="B193" s="37"/>
      <c r="C193" s="42"/>
      <c r="D193" s="29"/>
      <c r="E193" s="29"/>
      <c r="F193" s="29"/>
      <c r="G193" s="29"/>
      <c r="H193" s="29"/>
    </row>
    <row r="194" spans="1:8" ht="28.5">
      <c r="A194" s="26"/>
      <c r="B194" s="37"/>
      <c r="C194" s="25"/>
      <c r="D194" s="23" t="s">
        <v>4515</v>
      </c>
      <c r="E194" s="23" t="s">
        <v>4516</v>
      </c>
      <c r="F194" s="23" t="s">
        <v>4517</v>
      </c>
      <c r="G194" s="23" t="s">
        <v>4518</v>
      </c>
      <c r="H194" s="23" t="s">
        <v>4519</v>
      </c>
    </row>
    <row r="195" spans="1:8" ht="15" thickBot="1">
      <c r="A195" s="29"/>
      <c r="B195" s="43"/>
      <c r="C195" s="28" t="s">
        <v>4520</v>
      </c>
      <c r="D195" s="29"/>
      <c r="E195" s="29"/>
      <c r="F195" s="29"/>
      <c r="G195" s="29"/>
      <c r="H195" s="29"/>
    </row>
    <row r="196" spans="1:8" ht="29.25" thickBot="1">
      <c r="A196" s="23" t="s">
        <v>4508</v>
      </c>
      <c r="B196" s="35" t="s">
        <v>4509</v>
      </c>
      <c r="C196" s="28" t="s">
        <v>4521</v>
      </c>
      <c r="D196" s="59" t="s">
        <v>4522</v>
      </c>
      <c r="E196" s="59" t="s">
        <v>4523</v>
      </c>
      <c r="F196" s="59" t="s">
        <v>4524</v>
      </c>
      <c r="G196" s="59" t="s">
        <v>4525</v>
      </c>
      <c r="H196" s="59" t="s">
        <v>4526</v>
      </c>
    </row>
    <row r="197" spans="1:8">
      <c r="A197" s="26"/>
      <c r="B197" s="37"/>
      <c r="C197" s="25" t="s">
        <v>4527</v>
      </c>
      <c r="D197" s="57"/>
      <c r="E197" s="57"/>
      <c r="F197" s="57"/>
      <c r="G197" s="57"/>
      <c r="H197" s="57"/>
    </row>
    <row r="198" spans="1:8" ht="28.5">
      <c r="A198" s="26"/>
      <c r="B198" s="37"/>
      <c r="C198" s="25"/>
      <c r="D198" s="57"/>
      <c r="E198" s="57" t="s">
        <v>4528</v>
      </c>
      <c r="F198" s="57" t="s">
        <v>4529</v>
      </c>
      <c r="G198" s="57" t="s">
        <v>4530</v>
      </c>
      <c r="H198" s="57" t="s">
        <v>4531</v>
      </c>
    </row>
    <row r="199" spans="1:8" ht="28.5">
      <c r="A199" s="26"/>
      <c r="B199" s="37"/>
      <c r="C199" s="57" t="s">
        <v>4532</v>
      </c>
      <c r="D199" s="57" t="s">
        <v>4533</v>
      </c>
      <c r="E199" s="57" t="s">
        <v>4534</v>
      </c>
      <c r="F199" s="57" t="s">
        <v>4535</v>
      </c>
      <c r="G199" s="57" t="s">
        <v>4536</v>
      </c>
      <c r="H199" s="57" t="s">
        <v>4537</v>
      </c>
    </row>
    <row r="200" spans="1:8">
      <c r="A200" s="26"/>
      <c r="B200" s="37"/>
      <c r="C200" s="57"/>
      <c r="D200" s="57" t="s">
        <v>4538</v>
      </c>
      <c r="E200" s="25"/>
      <c r="F200" s="25"/>
      <c r="G200" s="25"/>
      <c r="H200" s="25"/>
    </row>
    <row r="201" spans="1:8" ht="15" thickBot="1">
      <c r="A201" s="26"/>
      <c r="B201" s="37"/>
      <c r="C201" s="59"/>
      <c r="D201" s="59"/>
      <c r="E201" s="28"/>
      <c r="F201" s="28"/>
      <c r="G201" s="28"/>
      <c r="H201" s="28"/>
    </row>
    <row r="202" spans="1:8" ht="28.5">
      <c r="A202" s="26"/>
      <c r="B202" s="37"/>
      <c r="C202" s="23" t="s">
        <v>4539</v>
      </c>
      <c r="D202" s="57"/>
      <c r="E202" s="57" t="s">
        <v>4540</v>
      </c>
      <c r="F202" s="57" t="s">
        <v>4541</v>
      </c>
      <c r="G202" s="57" t="s">
        <v>4542</v>
      </c>
      <c r="H202" s="57" t="s">
        <v>4543</v>
      </c>
    </row>
    <row r="203" spans="1:8" ht="28.5">
      <c r="A203" s="26"/>
      <c r="B203" s="37"/>
      <c r="C203" s="41"/>
      <c r="D203" s="57" t="s">
        <v>4544</v>
      </c>
      <c r="E203" s="57" t="s">
        <v>4545</v>
      </c>
      <c r="F203" s="57" t="s">
        <v>4546</v>
      </c>
      <c r="G203" s="57" t="s">
        <v>4547</v>
      </c>
      <c r="H203" s="57" t="s">
        <v>4548</v>
      </c>
    </row>
    <row r="204" spans="1:8">
      <c r="A204" s="26"/>
      <c r="B204" s="37"/>
      <c r="C204" s="41"/>
      <c r="D204" s="57" t="s">
        <v>4549</v>
      </c>
      <c r="E204" s="25"/>
      <c r="F204" s="25"/>
      <c r="G204" s="25"/>
      <c r="H204" s="25"/>
    </row>
    <row r="205" spans="1:8" ht="15" thickBot="1">
      <c r="A205" s="29"/>
      <c r="B205" s="43"/>
      <c r="C205" s="42"/>
      <c r="D205" s="59"/>
      <c r="E205" s="28"/>
      <c r="F205" s="28"/>
      <c r="G205" s="28"/>
      <c r="H205" s="28"/>
    </row>
    <row r="206" spans="1:8" ht="29.25" thickBot="1">
      <c r="A206" s="29" t="s">
        <v>4550</v>
      </c>
      <c r="B206" s="46" t="s">
        <v>4551</v>
      </c>
      <c r="C206" s="28" t="s">
        <v>4552</v>
      </c>
      <c r="D206" s="59" t="s">
        <v>4553</v>
      </c>
      <c r="E206" s="59" t="s">
        <v>4554</v>
      </c>
      <c r="F206" s="59" t="s">
        <v>4555</v>
      </c>
      <c r="G206" s="59" t="s">
        <v>4556</v>
      </c>
      <c r="H206" s="59" t="s">
        <v>4557</v>
      </c>
    </row>
    <row r="207" spans="1:8" ht="43.5" thickBot="1">
      <c r="A207" s="44" t="s">
        <v>513</v>
      </c>
      <c r="B207" s="50" t="s">
        <v>4558</v>
      </c>
      <c r="C207" s="51"/>
      <c r="D207" s="51"/>
      <c r="E207" s="51"/>
      <c r="F207" s="51"/>
      <c r="G207" s="51"/>
      <c r="H207" s="65"/>
    </row>
    <row r="208" spans="1:8" ht="57">
      <c r="A208" s="26"/>
      <c r="B208" s="35" t="s">
        <v>4559</v>
      </c>
      <c r="C208" s="40"/>
      <c r="D208" s="23" t="s">
        <v>4560</v>
      </c>
      <c r="E208" s="23" t="s">
        <v>4561</v>
      </c>
      <c r="F208" s="23" t="s">
        <v>4562</v>
      </c>
      <c r="G208" s="23" t="s">
        <v>4563</v>
      </c>
      <c r="H208" s="57" t="s">
        <v>4564</v>
      </c>
    </row>
    <row r="209" spans="1:8" ht="15" thickBot="1">
      <c r="A209" s="29" t="s">
        <v>4565</v>
      </c>
      <c r="B209" s="43"/>
      <c r="C209" s="42"/>
      <c r="D209" s="29"/>
      <c r="E209" s="29"/>
      <c r="F209" s="29"/>
      <c r="G209" s="29"/>
      <c r="H209" s="59" t="s">
        <v>4566</v>
      </c>
    </row>
    <row r="210" spans="1:8" ht="28.5">
      <c r="A210" s="23" t="s">
        <v>4567</v>
      </c>
      <c r="B210" s="35" t="s">
        <v>4568</v>
      </c>
      <c r="C210" s="40" t="s">
        <v>4569</v>
      </c>
      <c r="D210" s="57" t="s">
        <v>4158</v>
      </c>
      <c r="E210" s="57" t="s">
        <v>4158</v>
      </c>
      <c r="F210" s="57" t="s">
        <v>4158</v>
      </c>
      <c r="G210" s="57" t="s">
        <v>4158</v>
      </c>
      <c r="H210" s="57" t="s">
        <v>4158</v>
      </c>
    </row>
    <row r="211" spans="1:8" ht="15" thickBot="1">
      <c r="A211" s="26"/>
      <c r="B211" s="37"/>
      <c r="C211" s="42"/>
      <c r="D211" s="59" t="s">
        <v>4570</v>
      </c>
      <c r="E211" s="59" t="s">
        <v>4571</v>
      </c>
      <c r="F211" s="59" t="s">
        <v>4572</v>
      </c>
      <c r="G211" s="59" t="s">
        <v>4573</v>
      </c>
      <c r="H211" s="59" t="s">
        <v>4574</v>
      </c>
    </row>
    <row r="212" spans="1:8">
      <c r="A212" s="26"/>
      <c r="B212" s="37"/>
      <c r="C212" s="40" t="s">
        <v>4575</v>
      </c>
      <c r="D212" s="57" t="s">
        <v>4159</v>
      </c>
      <c r="E212" s="57" t="s">
        <v>4158</v>
      </c>
      <c r="F212" s="57" t="s">
        <v>4158</v>
      </c>
      <c r="G212" s="57" t="s">
        <v>4158</v>
      </c>
      <c r="H212" s="57" t="s">
        <v>4158</v>
      </c>
    </row>
    <row r="213" spans="1:8" ht="15" thickBot="1">
      <c r="A213" s="26"/>
      <c r="B213" s="37"/>
      <c r="C213" s="42"/>
      <c r="D213" s="59" t="s">
        <v>4576</v>
      </c>
      <c r="E213" s="59" t="s">
        <v>4577</v>
      </c>
      <c r="F213" s="59" t="s">
        <v>4578</v>
      </c>
      <c r="G213" s="59" t="s">
        <v>4579</v>
      </c>
      <c r="H213" s="59" t="s">
        <v>4580</v>
      </c>
    </row>
    <row r="214" spans="1:8">
      <c r="A214" s="26"/>
      <c r="B214" s="37"/>
      <c r="C214" s="40" t="s">
        <v>4581</v>
      </c>
      <c r="D214" s="23" t="s">
        <v>4225</v>
      </c>
      <c r="E214" s="23" t="s">
        <v>4225</v>
      </c>
      <c r="F214" s="57" t="s">
        <v>4158</v>
      </c>
      <c r="G214" s="57" t="s">
        <v>4158</v>
      </c>
      <c r="H214" s="57" t="s">
        <v>4158</v>
      </c>
    </row>
    <row r="215" spans="1:8" ht="15" thickBot="1">
      <c r="A215" s="29"/>
      <c r="B215" s="43"/>
      <c r="C215" s="42"/>
      <c r="D215" s="29"/>
      <c r="E215" s="29"/>
      <c r="F215" s="59" t="s">
        <v>4582</v>
      </c>
      <c r="G215" s="59" t="s">
        <v>4583</v>
      </c>
      <c r="H215" s="59" t="s">
        <v>4584</v>
      </c>
    </row>
    <row r="216" spans="1:8" ht="28.5">
      <c r="A216" s="23" t="s">
        <v>4585</v>
      </c>
      <c r="B216" s="35" t="s">
        <v>4586</v>
      </c>
      <c r="C216" s="40" t="s">
        <v>4587</v>
      </c>
      <c r="D216" s="57" t="s">
        <v>4588</v>
      </c>
      <c r="E216" s="57" t="s">
        <v>4588</v>
      </c>
      <c r="F216" s="57" t="s">
        <v>4588</v>
      </c>
      <c r="G216" s="57" t="s">
        <v>4588</v>
      </c>
      <c r="H216" s="57" t="s">
        <v>4588</v>
      </c>
    </row>
    <row r="217" spans="1:8" ht="15" thickBot="1">
      <c r="A217" s="26"/>
      <c r="B217" s="37"/>
      <c r="C217" s="42"/>
      <c r="D217" s="59" t="s">
        <v>4589</v>
      </c>
      <c r="E217" s="59" t="s">
        <v>4590</v>
      </c>
      <c r="F217" s="59" t="s">
        <v>4591</v>
      </c>
      <c r="G217" s="59" t="s">
        <v>4592</v>
      </c>
      <c r="H217" s="59" t="s">
        <v>4593</v>
      </c>
    </row>
    <row r="218" spans="1:8" ht="28.5">
      <c r="A218" s="26"/>
      <c r="B218" s="37"/>
      <c r="C218" s="40" t="s">
        <v>4594</v>
      </c>
      <c r="D218" s="57" t="s">
        <v>4595</v>
      </c>
      <c r="E218" s="57" t="s">
        <v>4595</v>
      </c>
      <c r="F218" s="57" t="s">
        <v>4595</v>
      </c>
      <c r="G218" s="57" t="s">
        <v>4595</v>
      </c>
      <c r="H218" s="23" t="s">
        <v>4225</v>
      </c>
    </row>
    <row r="219" spans="1:8" ht="15" thickBot="1">
      <c r="A219" s="29"/>
      <c r="B219" s="43"/>
      <c r="C219" s="42"/>
      <c r="D219" s="59" t="s">
        <v>4596</v>
      </c>
      <c r="E219" s="59" t="s">
        <v>4597</v>
      </c>
      <c r="F219" s="59" t="s">
        <v>4598</v>
      </c>
      <c r="G219" s="59" t="s">
        <v>4593</v>
      </c>
      <c r="H219" s="29"/>
    </row>
    <row r="220" spans="1:8" ht="28.5">
      <c r="A220" s="23" t="s">
        <v>4599</v>
      </c>
      <c r="B220" s="35" t="s">
        <v>4600</v>
      </c>
      <c r="C220" s="40" t="s">
        <v>4601</v>
      </c>
      <c r="D220" s="23" t="s">
        <v>4602</v>
      </c>
      <c r="E220" s="23" t="s">
        <v>500</v>
      </c>
      <c r="F220" s="23" t="s">
        <v>504</v>
      </c>
      <c r="G220" s="23" t="s">
        <v>507</v>
      </c>
      <c r="H220" s="23" t="s">
        <v>513</v>
      </c>
    </row>
    <row r="221" spans="1:8" ht="15" thickBot="1">
      <c r="A221" s="29"/>
      <c r="B221" s="43"/>
      <c r="C221" s="42"/>
      <c r="D221" s="29"/>
      <c r="E221" s="29"/>
      <c r="F221" s="29"/>
      <c r="G221" s="29"/>
      <c r="H221" s="29"/>
    </row>
    <row r="222" spans="1:8" ht="57.75" thickBot="1">
      <c r="A222" s="44" t="s">
        <v>557</v>
      </c>
      <c r="B222" s="50" t="s">
        <v>4603</v>
      </c>
      <c r="C222" s="51"/>
      <c r="D222" s="51"/>
      <c r="E222" s="51"/>
      <c r="F222" s="51"/>
      <c r="G222" s="51"/>
      <c r="H222" s="65"/>
    </row>
    <row r="223" spans="1:8" ht="57">
      <c r="A223" s="23" t="s">
        <v>4604</v>
      </c>
      <c r="B223" s="35" t="s">
        <v>4605</v>
      </c>
      <c r="C223" s="40" t="s">
        <v>4606</v>
      </c>
      <c r="D223" s="23" t="s">
        <v>4607</v>
      </c>
      <c r="E223" s="57" t="s">
        <v>4608</v>
      </c>
      <c r="F223" s="57" t="s">
        <v>4609</v>
      </c>
      <c r="G223" s="23" t="s">
        <v>4610</v>
      </c>
      <c r="H223" s="23" t="s">
        <v>4611</v>
      </c>
    </row>
    <row r="224" spans="1:8" ht="29.25" thickBot="1">
      <c r="A224" s="26"/>
      <c r="B224" s="37"/>
      <c r="C224" s="42"/>
      <c r="D224" s="29"/>
      <c r="E224" s="59" t="s">
        <v>4612</v>
      </c>
      <c r="F224" s="59" t="s">
        <v>4613</v>
      </c>
      <c r="G224" s="29"/>
      <c r="H224" s="29"/>
    </row>
    <row r="225" spans="1:8" ht="28.5">
      <c r="A225" s="26"/>
      <c r="B225" s="37"/>
      <c r="C225" s="40" t="s">
        <v>4614</v>
      </c>
      <c r="D225" s="23" t="s">
        <v>4615</v>
      </c>
      <c r="E225" s="57" t="s">
        <v>4616</v>
      </c>
      <c r="F225" s="57" t="s">
        <v>4617</v>
      </c>
      <c r="G225" s="57" t="s">
        <v>4618</v>
      </c>
      <c r="H225" s="23" t="s">
        <v>4619</v>
      </c>
    </row>
    <row r="226" spans="1:8" ht="43.5" thickBot="1">
      <c r="A226" s="29"/>
      <c r="B226" s="43"/>
      <c r="C226" s="42"/>
      <c r="D226" s="29"/>
      <c r="E226" s="59" t="s">
        <v>4620</v>
      </c>
      <c r="F226" s="59" t="s">
        <v>4621</v>
      </c>
      <c r="G226" s="59" t="s">
        <v>4622</v>
      </c>
      <c r="H226" s="29"/>
    </row>
    <row r="227" spans="1:8" ht="43.5" thickBot="1">
      <c r="A227" s="23" t="s">
        <v>4623</v>
      </c>
      <c r="B227" s="35" t="s">
        <v>4624</v>
      </c>
      <c r="C227" s="28" t="s">
        <v>4625</v>
      </c>
      <c r="D227" s="59" t="s">
        <v>4225</v>
      </c>
      <c r="E227" s="59" t="s">
        <v>4626</v>
      </c>
      <c r="F227" s="59" t="s">
        <v>4627</v>
      </c>
      <c r="G227" s="59" t="s">
        <v>4628</v>
      </c>
      <c r="H227" s="59" t="s">
        <v>4629</v>
      </c>
    </row>
    <row r="228" spans="1:8" ht="28.5">
      <c r="A228" s="26"/>
      <c r="B228" s="37"/>
      <c r="C228" s="40" t="s">
        <v>4630</v>
      </c>
      <c r="D228" s="23" t="s">
        <v>4631</v>
      </c>
      <c r="E228" s="57" t="s">
        <v>4632</v>
      </c>
      <c r="F228" s="57" t="s">
        <v>4633</v>
      </c>
      <c r="G228" s="57" t="s">
        <v>4634</v>
      </c>
      <c r="H228" s="57" t="s">
        <v>4635</v>
      </c>
    </row>
    <row r="229" spans="1:8">
      <c r="A229" s="26"/>
      <c r="B229" s="37"/>
      <c r="C229" s="41"/>
      <c r="D229" s="26"/>
      <c r="E229" s="57" t="s">
        <v>4636</v>
      </c>
      <c r="F229" s="57" t="s">
        <v>4637</v>
      </c>
      <c r="G229" s="57" t="s">
        <v>4637</v>
      </c>
      <c r="H229" s="57" t="s">
        <v>4636</v>
      </c>
    </row>
    <row r="230" spans="1:8" ht="15" thickBot="1">
      <c r="A230" s="29"/>
      <c r="B230" s="43"/>
      <c r="C230" s="42"/>
      <c r="D230" s="29"/>
      <c r="E230" s="28"/>
      <c r="F230" s="59"/>
      <c r="G230" s="59"/>
      <c r="H230" s="28"/>
    </row>
  </sheetData>
  <customSheetViews>
    <customSheetView guid="{C8104123-1D0A-4627-A11A-7A20656D499A}" colorId="11" zeroValues="0" showRuler="0" topLeftCell="B15">
      <selection activeCell="C27" sqref="C27"/>
      <pageMargins left="0" right="0" top="0" bottom="0" header="0" footer="0"/>
      <pageSetup orientation="portrait" verticalDpi="0" r:id="rId1"/>
      <headerFooter alignWithMargins="0"/>
    </customSheetView>
  </customSheetViews>
  <phoneticPr fontId="9" type="noConversion"/>
  <pageMargins left="0.75" right="0.75" top="1" bottom="1" header="0.5" footer="0.5"/>
  <pageSetup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4.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4.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4.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5"/>
  <sheetViews>
    <sheetView view="pageBreakPreview" topLeftCell="A2" zoomScaleSheetLayoutView="100" workbookViewId="0">
      <selection activeCell="B12" sqref="B12"/>
    </sheetView>
  </sheetViews>
  <sheetFormatPr defaultColWidth="9.140625" defaultRowHeight="14.25"/>
  <cols>
    <col min="1" max="1" width="4.7109375" style="193" customWidth="1"/>
    <col min="2" max="2" width="9.140625" style="193"/>
    <col min="3" max="3" width="9.28515625" style="193" customWidth="1"/>
    <col min="4" max="4" width="9.140625" style="193"/>
    <col min="5" max="5" width="19.28515625" style="193" customWidth="1"/>
    <col min="6" max="6" width="10.28515625" style="193" customWidth="1"/>
    <col min="7" max="7" width="15.42578125" style="193" customWidth="1"/>
    <col min="8" max="8" width="24.42578125" style="193" customWidth="1"/>
    <col min="9" max="9" width="15.85546875" style="193" customWidth="1"/>
    <col min="10" max="10" width="9.140625" style="193"/>
    <col min="11" max="11" width="21.85546875" style="193" customWidth="1"/>
    <col min="12" max="16384" width="9.140625" style="193"/>
  </cols>
  <sheetData>
    <row r="1" spans="1:10" ht="26.25">
      <c r="A1" s="192" t="s">
        <v>0</v>
      </c>
      <c r="B1" s="192"/>
      <c r="C1" s="192"/>
      <c r="D1" s="192"/>
      <c r="E1" s="192"/>
      <c r="F1" s="192"/>
      <c r="G1" s="192"/>
      <c r="H1" s="192"/>
      <c r="I1" s="192"/>
      <c r="J1" s="192"/>
    </row>
    <row r="2" spans="1:10" ht="4.5" customHeight="1"/>
    <row r="3" spans="1:10">
      <c r="A3" s="194"/>
      <c r="B3" s="195" t="s">
        <v>1</v>
      </c>
    </row>
    <row r="4" spans="1:10">
      <c r="A4" s="196" t="s">
        <v>2</v>
      </c>
      <c r="B4" s="197" t="s">
        <v>3</v>
      </c>
    </row>
    <row r="5" spans="1:10">
      <c r="A5" s="198" t="s">
        <v>4</v>
      </c>
      <c r="B5" s="193" t="s">
        <v>5</v>
      </c>
    </row>
    <row r="6" spans="1:10" ht="16.5" customHeight="1">
      <c r="A6" s="196" t="s">
        <v>6</v>
      </c>
      <c r="B6" s="197" t="s">
        <v>7</v>
      </c>
    </row>
    <row r="7" spans="1:10">
      <c r="A7" s="198" t="s">
        <v>4</v>
      </c>
      <c r="B7" s="193" t="s">
        <v>8</v>
      </c>
    </row>
    <row r="8" spans="1:10">
      <c r="A8" s="198"/>
      <c r="B8" s="199" t="s">
        <v>9</v>
      </c>
    </row>
    <row r="9" spans="1:10">
      <c r="A9" s="198"/>
      <c r="B9" s="199" t="s">
        <v>10</v>
      </c>
    </row>
    <row r="10" spans="1:10">
      <c r="A10" s="198"/>
      <c r="B10" s="199" t="s">
        <v>11</v>
      </c>
    </row>
    <row r="11" spans="1:10">
      <c r="A11" s="198" t="s">
        <v>4</v>
      </c>
      <c r="B11" s="199" t="s">
        <v>12</v>
      </c>
    </row>
    <row r="12" spans="1:10">
      <c r="A12" s="198" t="s">
        <v>4</v>
      </c>
      <c r="B12" s="199" t="s">
        <v>13</v>
      </c>
    </row>
    <row r="13" spans="1:10">
      <c r="A13" s="196" t="s">
        <v>14</v>
      </c>
      <c r="B13" s="197" t="s">
        <v>15</v>
      </c>
    </row>
    <row r="14" spans="1:10">
      <c r="A14" s="198" t="s">
        <v>4</v>
      </c>
      <c r="B14" s="193" t="s">
        <v>16</v>
      </c>
    </row>
    <row r="15" spans="1:10">
      <c r="A15" s="198"/>
      <c r="B15" s="199" t="s">
        <v>17</v>
      </c>
    </row>
    <row r="16" spans="1:10">
      <c r="A16" s="198"/>
      <c r="B16" s="199" t="s">
        <v>18</v>
      </c>
    </row>
    <row r="17" spans="1:2">
      <c r="A17" s="198"/>
      <c r="B17" s="199" t="s">
        <v>19</v>
      </c>
    </row>
    <row r="18" spans="1:2">
      <c r="A18" s="198"/>
      <c r="B18" s="199" t="s">
        <v>20</v>
      </c>
    </row>
    <row r="19" spans="1:2">
      <c r="A19" s="198"/>
      <c r="B19" s="199" t="s">
        <v>21</v>
      </c>
    </row>
    <row r="20" spans="1:2">
      <c r="A20" s="198"/>
      <c r="B20" s="199" t="s">
        <v>22</v>
      </c>
    </row>
    <row r="21" spans="1:2">
      <c r="A21" s="198"/>
      <c r="B21" s="199" t="s">
        <v>23</v>
      </c>
    </row>
    <row r="22" spans="1:2">
      <c r="A22" s="196" t="s">
        <v>24</v>
      </c>
      <c r="B22" s="197" t="s">
        <v>25</v>
      </c>
    </row>
    <row r="23" spans="1:2">
      <c r="A23" s="198" t="s">
        <v>4</v>
      </c>
      <c r="B23" s="199" t="s">
        <v>26</v>
      </c>
    </row>
    <row r="24" spans="1:2">
      <c r="A24" s="198" t="s">
        <v>4</v>
      </c>
      <c r="B24" s="199" t="s">
        <v>27</v>
      </c>
    </row>
    <row r="25" spans="1:2">
      <c r="A25" s="198" t="s">
        <v>4</v>
      </c>
      <c r="B25" s="199" t="s">
        <v>28</v>
      </c>
    </row>
    <row r="26" spans="1:2">
      <c r="A26" s="198" t="s">
        <v>4</v>
      </c>
      <c r="B26" s="199" t="s">
        <v>29</v>
      </c>
    </row>
    <row r="27" spans="1:2">
      <c r="A27" s="198" t="s">
        <v>4</v>
      </c>
      <c r="B27" s="199" t="s">
        <v>30</v>
      </c>
    </row>
    <row r="28" spans="1:2" hidden="1">
      <c r="A28" s="198" t="s">
        <v>4</v>
      </c>
      <c r="B28" s="193" t="s">
        <v>31</v>
      </c>
    </row>
    <row r="29" spans="1:2">
      <c r="A29" s="198" t="s">
        <v>4</v>
      </c>
      <c r="B29" s="193" t="s">
        <v>32</v>
      </c>
    </row>
    <row r="30" spans="1:2" s="318" customFormat="1">
      <c r="A30" s="317" t="s">
        <v>4</v>
      </c>
      <c r="B30" s="318" t="s">
        <v>33</v>
      </c>
    </row>
    <row r="31" spans="1:2">
      <c r="A31" s="198" t="s">
        <v>4</v>
      </c>
      <c r="B31" s="318" t="s">
        <v>34</v>
      </c>
    </row>
    <row r="32" spans="1:2" hidden="1">
      <c r="A32" s="198" t="s">
        <v>4</v>
      </c>
      <c r="B32" s="193" t="s">
        <v>35</v>
      </c>
    </row>
    <row r="33" spans="1:11" hidden="1">
      <c r="A33" s="198" t="s">
        <v>4</v>
      </c>
      <c r="B33" s="193" t="s">
        <v>36</v>
      </c>
    </row>
    <row r="34" spans="1:11" hidden="1">
      <c r="A34" s="198"/>
      <c r="B34" s="193" t="s">
        <v>37</v>
      </c>
    </row>
    <row r="35" spans="1:11">
      <c r="A35" s="198" t="s">
        <v>4</v>
      </c>
      <c r="B35" s="193" t="s">
        <v>38</v>
      </c>
    </row>
    <row r="36" spans="1:11">
      <c r="A36" s="198" t="s">
        <v>4</v>
      </c>
      <c r="B36" s="193" t="s">
        <v>39</v>
      </c>
    </row>
    <row r="37" spans="1:11" s="318" customFormat="1">
      <c r="A37" s="317" t="s">
        <v>4</v>
      </c>
      <c r="B37" s="318" t="s">
        <v>40</v>
      </c>
    </row>
    <row r="38" spans="1:11">
      <c r="A38" s="198"/>
      <c r="B38" s="193" t="s">
        <v>41</v>
      </c>
    </row>
    <row r="39" spans="1:11">
      <c r="A39" s="317" t="s">
        <v>4</v>
      </c>
      <c r="B39" s="318" t="s">
        <v>42</v>
      </c>
      <c r="C39" s="318"/>
      <c r="D39" s="318"/>
      <c r="E39" s="318"/>
      <c r="F39" s="318"/>
      <c r="G39" s="318"/>
      <c r="H39" s="318"/>
      <c r="I39" s="318"/>
      <c r="J39" s="318"/>
      <c r="K39" s="318"/>
    </row>
    <row r="40" spans="1:11">
      <c r="A40" s="198" t="s">
        <v>4</v>
      </c>
      <c r="B40" s="193" t="s">
        <v>43</v>
      </c>
    </row>
    <row r="41" spans="1:11">
      <c r="A41" s="198" t="s">
        <v>4</v>
      </c>
      <c r="B41" s="193" t="s">
        <v>44</v>
      </c>
    </row>
    <row r="42" spans="1:11">
      <c r="A42" s="198" t="s">
        <v>4</v>
      </c>
      <c r="B42" s="193" t="s">
        <v>45</v>
      </c>
    </row>
    <row r="43" spans="1:11" s="200" customFormat="1" hidden="1">
      <c r="A43" s="201" t="s">
        <v>4</v>
      </c>
      <c r="B43" s="200" t="s">
        <v>46</v>
      </c>
    </row>
    <row r="44" spans="1:11" s="200" customFormat="1" hidden="1">
      <c r="A44" s="201"/>
      <c r="B44" s="200" t="s">
        <v>47</v>
      </c>
    </row>
    <row r="45" spans="1:11" s="200" customFormat="1" hidden="1">
      <c r="A45" s="201" t="s">
        <v>4</v>
      </c>
      <c r="B45" s="200" t="s">
        <v>48</v>
      </c>
    </row>
  </sheetData>
  <printOptions horizontalCentered="1"/>
  <pageMargins left="1.4960629921259843" right="0.31496062992125984" top="0.31496062992125984" bottom="0.35433070866141736" header="0.15748031496062992" footer="0.19685039370078741"/>
  <pageSetup paperSize="291" scale="75" orientation="landscape" blackAndWhite="1" r:id="rId1"/>
  <headerFooter alignWithMargins="0">
    <oddHeader>&amp;L&amp;"VNI-Aptima,Italic"&amp;8&amp;A</oddHeader>
    <oddFooter>&amp;C&amp;"VNI-Aptima,Italic"&amp;8TRANG THU &amp;P/&amp;N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heetViews>
  <sheetFormatPr defaultRowHeight="14.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heetViews>
  <sheetFormatPr defaultRowHeight="14.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RowHeight="14.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
  <sheetViews>
    <sheetView workbookViewId="0"/>
  </sheetViews>
  <sheetFormatPr defaultRowHeight="14.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RowHeight="14.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4.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workbookViewId="0"/>
  </sheetViews>
  <sheetFormatPr defaultRowHeight="14.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workbookViewId="0"/>
  </sheetViews>
  <sheetFormatPr defaultRowHeight="14.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heetPr>
  <dimension ref="A1:U339"/>
  <sheetViews>
    <sheetView showZeros="0" view="pageBreakPreview" topLeftCell="A112" zoomScaleSheetLayoutView="100" workbookViewId="0">
      <selection activeCell="R147" sqref="R147"/>
    </sheetView>
  </sheetViews>
  <sheetFormatPr defaultColWidth="9.140625" defaultRowHeight="14.25" outlineLevelRow="1"/>
  <cols>
    <col min="1" max="1" width="5.7109375" style="185" customWidth="1"/>
    <col min="2" max="2" width="44.85546875" style="185" customWidth="1"/>
    <col min="3" max="3" width="9.42578125" style="185" bestFit="1" customWidth="1"/>
    <col min="4" max="4" width="15.42578125" style="185" customWidth="1"/>
    <col min="5" max="5" width="37.28515625" style="185" customWidth="1"/>
    <col min="6" max="6" width="8.7109375" style="359" hidden="1" customWidth="1"/>
    <col min="7" max="7" width="3.5703125" style="359" hidden="1" customWidth="1"/>
    <col min="8" max="8" width="7.28515625" style="359" hidden="1" customWidth="1"/>
    <col min="9" max="9" width="6.140625" style="359" hidden="1" customWidth="1"/>
    <col min="10" max="10" width="6.42578125" style="359" hidden="1" customWidth="1"/>
    <col min="11" max="11" width="7.42578125" style="185" hidden="1" customWidth="1"/>
    <col min="12" max="12" width="2.42578125" style="185" hidden="1" customWidth="1"/>
    <col min="13" max="13" width="3.42578125" style="185" hidden="1" customWidth="1"/>
    <col min="14" max="14" width="7.5703125" style="185" hidden="1" customWidth="1"/>
    <col min="15" max="15" width="2.140625" style="185" hidden="1" customWidth="1"/>
    <col min="16" max="16" width="20.7109375" style="359" bestFit="1" customWidth="1"/>
    <col min="17" max="17" width="19" style="359" bestFit="1" customWidth="1"/>
    <col min="18" max="18" width="20.140625" style="359" customWidth="1"/>
    <col min="19" max="19" width="23.28515625" style="185" bestFit="1" customWidth="1"/>
    <col min="20" max="20" width="16.7109375" style="185" bestFit="1" customWidth="1"/>
    <col min="21" max="21" width="15.5703125" style="359" bestFit="1" customWidth="1"/>
    <col min="22" max="22" width="11.5703125" style="185" bestFit="1" customWidth="1"/>
    <col min="23" max="16384" width="9.140625" style="185"/>
  </cols>
  <sheetData>
    <row r="1" spans="1:21" s="350" customFormat="1" ht="42.75" customHeight="1">
      <c r="A1" s="347" t="s">
        <v>49</v>
      </c>
      <c r="B1" s="348"/>
      <c r="C1" s="348"/>
      <c r="D1" s="348"/>
      <c r="E1" s="348"/>
      <c r="F1" s="349"/>
      <c r="G1" s="349"/>
      <c r="H1" s="349"/>
      <c r="I1" s="349"/>
      <c r="J1" s="349"/>
      <c r="K1" s="348"/>
      <c r="L1" s="348"/>
      <c r="M1" s="348"/>
      <c r="N1" s="348"/>
      <c r="O1" s="348"/>
      <c r="P1" s="349"/>
      <c r="Q1" s="349"/>
      <c r="R1" s="349"/>
      <c r="U1" s="351"/>
    </row>
    <row r="2" spans="1:21" s="350" customFormat="1" ht="22.5" customHeight="1">
      <c r="A2" s="347"/>
      <c r="B2" s="348"/>
      <c r="C2" s="348"/>
      <c r="D2" s="348"/>
      <c r="E2" s="352"/>
      <c r="F2" s="349"/>
      <c r="G2" s="349"/>
      <c r="H2" s="349"/>
      <c r="I2" s="349"/>
      <c r="J2" s="349"/>
      <c r="K2" s="348"/>
      <c r="L2" s="348"/>
      <c r="M2" s="348"/>
      <c r="N2" s="348"/>
      <c r="O2" s="348"/>
      <c r="P2" s="190"/>
      <c r="Q2" s="349"/>
      <c r="R2" s="353" t="s">
        <v>50</v>
      </c>
      <c r="S2" s="353" t="str">
        <f ca="1">"Tp.Hồ Chí Minh, ngày "&amp;TEXT(DAY(NOW()),"00")&amp;" tháng "&amp;TEXT(MONTH(NOW()),"00")&amp;" năm "&amp;TEXT(YEAR(NOW()),"0000")</f>
        <v>Tp.Hồ Chí Minh, ngày 21 tháng 02 năm 2025</v>
      </c>
      <c r="U2" s="351"/>
    </row>
    <row r="3" spans="1:21" s="313" customFormat="1" ht="25.5" customHeight="1">
      <c r="A3" s="354" t="e">
        <f>#REF!</f>
        <v>#REF!</v>
      </c>
      <c r="B3" s="355"/>
      <c r="C3" s="355"/>
      <c r="D3" s="355"/>
      <c r="E3" s="355"/>
      <c r="F3" s="355"/>
      <c r="G3" s="355"/>
      <c r="H3" s="355"/>
      <c r="I3" s="355"/>
      <c r="J3" s="355"/>
      <c r="K3" s="355"/>
      <c r="L3" s="355"/>
      <c r="M3" s="355"/>
      <c r="N3" s="355"/>
      <c r="O3" s="355"/>
      <c r="P3" s="355"/>
      <c r="Q3" s="355"/>
      <c r="R3" s="355"/>
    </row>
    <row r="4" spans="1:21" s="319" customFormat="1" ht="18.75" customHeight="1">
      <c r="A4" s="356" t="e">
        <f>#REF!</f>
        <v>#REF!</v>
      </c>
      <c r="B4" s="190"/>
      <c r="C4" s="190"/>
      <c r="D4" s="190"/>
      <c r="E4" s="190"/>
      <c r="F4" s="190"/>
      <c r="G4" s="190"/>
      <c r="H4" s="190"/>
      <c r="I4" s="190"/>
      <c r="J4" s="190"/>
      <c r="K4" s="190"/>
      <c r="L4" s="190"/>
      <c r="M4" s="190"/>
      <c r="N4" s="190"/>
      <c r="O4" s="190"/>
      <c r="P4" s="190"/>
      <c r="Q4" s="190"/>
      <c r="R4" s="190"/>
    </row>
    <row r="5" spans="1:21" ht="5.25" customHeight="1">
      <c r="A5" s="357"/>
      <c r="B5" s="187"/>
      <c r="C5" s="187"/>
      <c r="D5" s="187"/>
      <c r="E5" s="187"/>
      <c r="F5" s="358"/>
      <c r="G5" s="358"/>
      <c r="H5" s="358"/>
      <c r="I5" s="358"/>
      <c r="J5" s="358"/>
      <c r="K5" s="187"/>
      <c r="L5" s="187"/>
      <c r="M5" s="187"/>
      <c r="N5" s="187"/>
      <c r="O5" s="187"/>
      <c r="P5" s="358"/>
      <c r="Q5" s="358"/>
      <c r="R5" s="358"/>
    </row>
    <row r="6" spans="1:21" ht="4.5" customHeight="1"/>
    <row r="7" spans="1:21" ht="8.25" customHeight="1">
      <c r="A7" s="360"/>
      <c r="B7" s="360"/>
      <c r="C7" s="360"/>
      <c r="D7" s="361"/>
      <c r="E7" s="362"/>
      <c r="F7" s="363"/>
      <c r="G7" s="363"/>
      <c r="H7" s="363"/>
      <c r="I7" s="363"/>
      <c r="J7" s="363"/>
      <c r="K7" s="360"/>
      <c r="L7" s="360"/>
      <c r="M7" s="360"/>
      <c r="N7" s="360"/>
      <c r="O7" s="360"/>
      <c r="P7" s="363"/>
      <c r="Q7" s="363"/>
      <c r="R7" s="363"/>
    </row>
    <row r="8" spans="1:21" ht="18" customHeight="1">
      <c r="A8" s="364" t="s">
        <v>51</v>
      </c>
      <c r="B8" s="364" t="s">
        <v>52</v>
      </c>
      <c r="C8" s="364" t="s">
        <v>53</v>
      </c>
      <c r="D8" s="365" t="s">
        <v>54</v>
      </c>
      <c r="E8" s="365"/>
      <c r="F8" s="366" t="s">
        <v>55</v>
      </c>
      <c r="G8" s="366" t="s">
        <v>56</v>
      </c>
      <c r="H8" s="366" t="s">
        <v>57</v>
      </c>
      <c r="I8" s="366" t="s">
        <v>58</v>
      </c>
      <c r="J8" s="366"/>
      <c r="K8" s="366" t="s">
        <v>59</v>
      </c>
      <c r="L8" s="364" t="s">
        <v>60</v>
      </c>
      <c r="M8" s="364" t="s">
        <v>61</v>
      </c>
      <c r="N8" s="364" t="s">
        <v>62</v>
      </c>
      <c r="O8" s="364"/>
      <c r="P8" s="367" t="s">
        <v>63</v>
      </c>
      <c r="Q8" s="368" t="s">
        <v>64</v>
      </c>
      <c r="R8" s="368" t="s">
        <v>65</v>
      </c>
    </row>
    <row r="9" spans="1:21">
      <c r="A9" s="369"/>
      <c r="B9" s="369"/>
      <c r="C9" s="369"/>
      <c r="D9" s="370"/>
      <c r="E9" s="371"/>
      <c r="F9" s="372"/>
      <c r="G9" s="372"/>
      <c r="H9" s="372"/>
      <c r="I9" s="372"/>
      <c r="J9" s="372"/>
      <c r="K9" s="369"/>
      <c r="L9" s="369"/>
      <c r="M9" s="369"/>
      <c r="N9" s="369"/>
      <c r="O9" s="369"/>
      <c r="P9" s="372" t="s">
        <v>66</v>
      </c>
      <c r="Q9" s="372" t="s">
        <v>66</v>
      </c>
      <c r="R9" s="372" t="s">
        <v>66</v>
      </c>
    </row>
    <row r="10" spans="1:21">
      <c r="A10" s="373"/>
      <c r="B10" s="374"/>
      <c r="C10" s="374"/>
      <c r="D10" s="375"/>
      <c r="E10" s="376"/>
      <c r="F10" s="377"/>
      <c r="G10" s="377"/>
      <c r="H10" s="377"/>
      <c r="I10" s="377"/>
      <c r="J10" s="377"/>
      <c r="K10" s="378"/>
      <c r="L10" s="378"/>
      <c r="M10" s="378"/>
      <c r="N10" s="378"/>
      <c r="O10" s="378"/>
      <c r="P10" s="379"/>
      <c r="Q10" s="379"/>
      <c r="R10" s="379"/>
    </row>
    <row r="11" spans="1:21">
      <c r="A11" s="380" t="s">
        <v>67</v>
      </c>
      <c r="B11" s="381" t="s">
        <v>68</v>
      </c>
      <c r="C11" s="333" t="s">
        <v>69</v>
      </c>
      <c r="D11" s="382" t="s">
        <v>70</v>
      </c>
      <c r="E11" s="382"/>
      <c r="F11" s="383"/>
      <c r="G11" s="383"/>
      <c r="H11" s="383"/>
      <c r="I11" s="383"/>
      <c r="J11" s="383"/>
      <c r="K11" s="333"/>
      <c r="L11" s="333"/>
      <c r="M11" s="333"/>
      <c r="N11" s="333"/>
      <c r="O11" s="333" t="e">
        <f>IF(P11&lt;&gt;0,MAX($O$9:$O10)+1,0)</f>
        <v>#REF!</v>
      </c>
      <c r="P11" s="384" t="e">
        <f>SUM(P12:P13)</f>
        <v>#REF!</v>
      </c>
      <c r="Q11" s="384" t="e">
        <f>SUM(Q12:Q13)</f>
        <v>#REF!</v>
      </c>
      <c r="R11" s="385" t="e">
        <f t="shared" ref="R11:R16" si="0">SUM(P11:Q11)</f>
        <v>#REF!</v>
      </c>
      <c r="S11" s="359"/>
      <c r="T11" s="386"/>
    </row>
    <row r="12" spans="1:21" ht="28.5" outlineLevel="1">
      <c r="A12" s="387"/>
      <c r="B12" s="388" t="s">
        <v>71</v>
      </c>
      <c r="C12" s="337"/>
      <c r="D12" s="389" t="s">
        <v>72</v>
      </c>
      <c r="E12" s="389"/>
      <c r="F12" s="390"/>
      <c r="G12" s="390"/>
      <c r="H12" s="390"/>
      <c r="I12" s="390"/>
      <c r="J12" s="390"/>
      <c r="K12" s="337"/>
      <c r="L12" s="337"/>
      <c r="M12" s="337"/>
      <c r="N12" s="337"/>
      <c r="O12" s="337"/>
      <c r="P12" s="391" t="e">
        <f>TGTHMUC!C34-TGTHMUC!#REF!</f>
        <v>#REF!</v>
      </c>
      <c r="Q12" s="391" t="e">
        <f>GTT*10%</f>
        <v>#REF!</v>
      </c>
      <c r="R12" s="392" t="e">
        <f t="shared" si="0"/>
        <v>#REF!</v>
      </c>
    </row>
    <row r="13" spans="1:21" hidden="1" outlineLevel="1">
      <c r="A13" s="387"/>
      <c r="B13" s="393" t="s">
        <v>73</v>
      </c>
      <c r="C13" s="394"/>
      <c r="D13" s="395" t="s">
        <v>74</v>
      </c>
      <c r="E13" s="395"/>
      <c r="F13" s="396"/>
      <c r="G13" s="396"/>
      <c r="H13" s="396"/>
      <c r="I13" s="396"/>
      <c r="J13" s="396"/>
      <c r="K13" s="394"/>
      <c r="L13" s="394"/>
      <c r="M13" s="394"/>
      <c r="N13" s="394"/>
      <c r="O13" s="394"/>
      <c r="P13" s="397"/>
      <c r="Q13" s="397">
        <f>P13*10%</f>
        <v>0</v>
      </c>
      <c r="R13" s="392">
        <f t="shared" si="0"/>
        <v>0</v>
      </c>
    </row>
    <row r="14" spans="1:21">
      <c r="A14" s="380" t="str">
        <f>IF(MAX(O10)=1,"II - ",IF(MAX(O10)=0,"I - "))</f>
        <v xml:space="preserve">I - </v>
      </c>
      <c r="B14" s="381" t="s">
        <v>75</v>
      </c>
      <c r="C14" s="333" t="s">
        <v>76</v>
      </c>
      <c r="D14" s="382" t="s">
        <v>77</v>
      </c>
      <c r="E14" s="382"/>
      <c r="F14" s="383"/>
      <c r="G14" s="383"/>
      <c r="H14" s="383"/>
      <c r="I14" s="383"/>
      <c r="J14" s="383"/>
      <c r="K14" s="333"/>
      <c r="L14" s="333"/>
      <c r="M14" s="333"/>
      <c r="N14" s="333"/>
      <c r="O14" s="333" t="e">
        <f>IF(P14&lt;&gt;0,MAX($O$9:$O12)+1,0)</f>
        <v>#REF!</v>
      </c>
      <c r="P14" s="384" t="e">
        <f>P15+P16</f>
        <v>#REF!</v>
      </c>
      <c r="Q14" s="384" t="e">
        <f>Q15+Q16</f>
        <v>#REF!</v>
      </c>
      <c r="R14" s="385" t="e">
        <f t="shared" si="0"/>
        <v>#REF!</v>
      </c>
    </row>
    <row r="15" spans="1:21" ht="28.5" outlineLevel="1">
      <c r="A15" s="337"/>
      <c r="B15" s="509" t="s">
        <v>78</v>
      </c>
      <c r="C15" s="337" t="s">
        <v>79</v>
      </c>
      <c r="D15" s="429" t="s">
        <v>80</v>
      </c>
      <c r="E15" s="437"/>
      <c r="F15" s="409"/>
      <c r="G15" s="409"/>
      <c r="H15" s="409"/>
      <c r="I15" s="409"/>
      <c r="J15" s="409"/>
      <c r="K15" s="407"/>
      <c r="L15" s="407"/>
      <c r="M15" s="407"/>
      <c r="N15" s="407"/>
      <c r="O15" s="407" t="e">
        <f>IF(P15&lt;&gt;0,MAX($O$9:$O13)+1,0)</f>
        <v>#REF!</v>
      </c>
      <c r="P15" s="435" t="e">
        <f>TGTHMUC!#REF!/1.1</f>
        <v>#REF!</v>
      </c>
      <c r="Q15" s="435" t="e">
        <f>TBL*10%</f>
        <v>#REF!</v>
      </c>
      <c r="R15" s="392" t="e">
        <f t="shared" si="0"/>
        <v>#REF!</v>
      </c>
    </row>
    <row r="16" spans="1:21" ht="15" hidden="1" outlineLevel="1">
      <c r="A16" s="337">
        <v>2</v>
      </c>
      <c r="B16" s="509" t="s">
        <v>81</v>
      </c>
      <c r="C16" s="337" t="s">
        <v>82</v>
      </c>
      <c r="D16" s="429" t="s">
        <v>83</v>
      </c>
      <c r="E16" s="437"/>
      <c r="F16" s="409"/>
      <c r="G16" s="409"/>
      <c r="H16" s="409"/>
      <c r="I16" s="409"/>
      <c r="J16" s="409"/>
      <c r="K16" s="407"/>
      <c r="L16" s="407"/>
      <c r="M16" s="407"/>
      <c r="N16" s="407"/>
      <c r="O16" s="407"/>
      <c r="P16" s="435">
        <f>TBA!G22/1.1*0</f>
        <v>0</v>
      </c>
      <c r="Q16" s="435">
        <f>P16*10%</f>
        <v>0</v>
      </c>
      <c r="R16" s="392">
        <f t="shared" si="0"/>
        <v>0</v>
      </c>
    </row>
    <row r="17" spans="1:21" s="403" customFormat="1" hidden="1" outlineLevel="1">
      <c r="A17" s="398"/>
      <c r="B17" s="393" t="s">
        <v>84</v>
      </c>
      <c r="C17" s="399" t="s">
        <v>85</v>
      </c>
      <c r="D17" s="395" t="s">
        <v>86</v>
      </c>
      <c r="E17" s="395"/>
      <c r="F17" s="400"/>
      <c r="G17" s="400"/>
      <c r="H17" s="400"/>
      <c r="I17" s="400"/>
      <c r="J17" s="400"/>
      <c r="K17" s="401"/>
      <c r="L17" s="401"/>
      <c r="M17" s="401"/>
      <c r="N17" s="401"/>
      <c r="O17" s="401"/>
      <c r="P17" s="397"/>
      <c r="Q17" s="397"/>
      <c r="R17" s="402"/>
      <c r="U17" s="404"/>
    </row>
    <row r="18" spans="1:21" s="403" customFormat="1" hidden="1" outlineLevel="1">
      <c r="A18" s="398"/>
      <c r="B18" s="393" t="s">
        <v>87</v>
      </c>
      <c r="C18" s="399" t="s">
        <v>88</v>
      </c>
      <c r="D18" s="395" t="s">
        <v>89</v>
      </c>
      <c r="E18" s="395"/>
      <c r="F18" s="400"/>
      <c r="G18" s="400"/>
      <c r="H18" s="400"/>
      <c r="I18" s="400"/>
      <c r="J18" s="400"/>
      <c r="K18" s="401"/>
      <c r="L18" s="401"/>
      <c r="M18" s="401"/>
      <c r="N18" s="401"/>
      <c r="O18" s="401"/>
      <c r="P18" s="397"/>
      <c r="Q18" s="397"/>
      <c r="R18" s="402"/>
      <c r="U18" s="404"/>
    </row>
    <row r="19" spans="1:21" s="403" customFormat="1" hidden="1" outlineLevel="1">
      <c r="A19" s="398"/>
      <c r="B19" s="393" t="s">
        <v>90</v>
      </c>
      <c r="C19" s="399" t="s">
        <v>91</v>
      </c>
      <c r="D19" s="395" t="s">
        <v>92</v>
      </c>
      <c r="E19" s="395"/>
      <c r="F19" s="400"/>
      <c r="G19" s="400"/>
      <c r="H19" s="400"/>
      <c r="I19" s="400"/>
      <c r="J19" s="400"/>
      <c r="K19" s="401"/>
      <c r="L19" s="401"/>
      <c r="M19" s="401"/>
      <c r="N19" s="401"/>
      <c r="O19" s="401"/>
      <c r="P19" s="397"/>
      <c r="Q19" s="397"/>
      <c r="R19" s="402"/>
      <c r="U19" s="404"/>
    </row>
    <row r="20" spans="1:21" hidden="1">
      <c r="A20" s="405" t="e">
        <f>IF(MAX(O11,O15)=1,"II - ",IF(MAX(O11,O15)=2,"III - ",))</f>
        <v>#REF!</v>
      </c>
      <c r="B20" s="406" t="s">
        <v>93</v>
      </c>
      <c r="C20" s="407" t="s">
        <v>94</v>
      </c>
      <c r="D20" s="408" t="s">
        <v>95</v>
      </c>
      <c r="E20" s="408"/>
      <c r="F20" s="409"/>
      <c r="G20" s="409"/>
      <c r="H20" s="409"/>
      <c r="I20" s="409"/>
      <c r="J20" s="409"/>
      <c r="K20" s="407"/>
      <c r="L20" s="407"/>
      <c r="M20" s="407"/>
      <c r="N20" s="407"/>
      <c r="O20" s="407">
        <f>IF(P20&lt;&gt;0,MAX($O$9:$O19)+1,0)</f>
        <v>0</v>
      </c>
      <c r="P20" s="410"/>
      <c r="Q20" s="411">
        <f>P20*10%</f>
        <v>0</v>
      </c>
      <c r="R20" s="402">
        <f>Q20+P20</f>
        <v>0</v>
      </c>
    </row>
    <row r="21" spans="1:21" s="403" customFormat="1" hidden="1" outlineLevel="1">
      <c r="A21" s="398"/>
      <c r="B21" s="393" t="s">
        <v>96</v>
      </c>
      <c r="C21" s="399" t="s">
        <v>97</v>
      </c>
      <c r="D21" s="395" t="s">
        <v>86</v>
      </c>
      <c r="E21" s="395"/>
      <c r="F21" s="400"/>
      <c r="G21" s="400"/>
      <c r="H21" s="400"/>
      <c r="I21" s="400"/>
      <c r="J21" s="400"/>
      <c r="K21" s="401"/>
      <c r="L21" s="401"/>
      <c r="M21" s="401"/>
      <c r="N21" s="401"/>
      <c r="O21" s="401"/>
      <c r="P21" s="397"/>
      <c r="Q21" s="397">
        <f>P21*10%</f>
        <v>0</v>
      </c>
      <c r="R21" s="402">
        <f>Q21+P21</f>
        <v>0</v>
      </c>
      <c r="U21" s="404"/>
    </row>
    <row r="22" spans="1:21" s="403" customFormat="1" hidden="1" outlineLevel="1">
      <c r="A22" s="398"/>
      <c r="B22" s="393" t="s">
        <v>98</v>
      </c>
      <c r="C22" s="399" t="s">
        <v>99</v>
      </c>
      <c r="D22" s="395" t="s">
        <v>100</v>
      </c>
      <c r="E22" s="395"/>
      <c r="F22" s="400"/>
      <c r="G22" s="400"/>
      <c r="H22" s="400"/>
      <c r="I22" s="400"/>
      <c r="J22" s="400"/>
      <c r="K22" s="401"/>
      <c r="L22" s="401"/>
      <c r="M22" s="401"/>
      <c r="N22" s="401"/>
      <c r="O22" s="401"/>
      <c r="P22" s="397"/>
      <c r="Q22" s="397">
        <f>P22*10%</f>
        <v>0</v>
      </c>
      <c r="R22" s="402">
        <f>Q22+P22</f>
        <v>0</v>
      </c>
      <c r="U22" s="404"/>
    </row>
    <row r="23" spans="1:21" ht="28.5">
      <c r="A23" s="380" t="e">
        <f>IF(MAX(O11,O15,O20)=1,"II - ",IF(MAX(O11,O15,O20)=2,"III - ",IF(MAX(O11,O15,O20)=3,"IV - ")))</f>
        <v>#REF!</v>
      </c>
      <c r="B23" s="412" t="s">
        <v>101</v>
      </c>
      <c r="C23" s="413" t="s">
        <v>102</v>
      </c>
      <c r="D23" s="414" t="s">
        <v>103</v>
      </c>
      <c r="E23" s="415" t="e">
        <f>IF(AND(I23&lt;&gt;0,K23&lt;&gt;0),F23&amp;G23&amp;H23&amp;I23&amp;J23&amp;K23&amp;"*(1+10%)",IF(AND(I23&lt;&gt;0,K23=0),F23&amp;G23&amp;H23&amp;I23&amp;"*(1+10%)",IF(AND(I23=0,K23&lt;&gt;0),F23&amp;G23&amp;J23&amp;K23&amp;"*(1+10%)",IF(AND(I23=0,K23=0),F23&amp;G23))))</f>
        <v>#REF!</v>
      </c>
      <c r="F23" s="416" t="e">
        <f>NS!I11</f>
        <v>#REF!</v>
      </c>
      <c r="G23" s="417" t="s">
        <v>104</v>
      </c>
      <c r="H23" s="418"/>
      <c r="I23" s="418"/>
      <c r="J23" s="418"/>
      <c r="K23" s="418"/>
      <c r="L23" s="418"/>
      <c r="M23" s="418"/>
      <c r="N23" s="419">
        <v>0.05</v>
      </c>
      <c r="O23" s="413" t="e">
        <f>IF(P23&lt;&gt;0,MAX($O$9:$O22)+1,0)</f>
        <v>#REF!</v>
      </c>
      <c r="P23" s="420" t="e">
        <f>ROUND(SUM($P$12:$P$12,TBL)*IF(AND(I23&lt;&gt;0,K23&lt;&gt;0),F23/100*I23*K23,IF(AND(I23&lt;&gt;0,K23=0),F23/100*I23,IF(AND(I23=0,K23&lt;&gt;0),F23/100*K23,IF(AND(I23=0,K23=0),F23/100)))),0)</f>
        <v>#REF!</v>
      </c>
      <c r="Q23" s="420"/>
      <c r="R23" s="421" t="e">
        <f>Q23+P23</f>
        <v>#REF!</v>
      </c>
      <c r="S23" s="359"/>
    </row>
    <row r="24" spans="1:21" collapsed="1">
      <c r="A24" s="380" t="e">
        <f>IF(MAX(O11,O15,O20,O23)=1,"II - ",IF(MAX(O11,O15,O20,O23)=2,"III - ",IF(MAX(O11,O15,O20,O23)=3,"IV - ",IF(MAX(O11,O15,O20,O23)=4,"V - "))))</f>
        <v>#REF!</v>
      </c>
      <c r="B24" s="381" t="s">
        <v>105</v>
      </c>
      <c r="C24" s="333" t="s">
        <v>106</v>
      </c>
      <c r="D24" s="422" t="e">
        <f>IF(MAX($A$25:$A$98)=0,"Không có chi phí tư vấn đầu tư xây dựng",IF(MAX($A$25:$A$98)=1,"Gtv"&amp;MAX($A$25:$A$98),IF(MAX($A$25:$A$98)=2,"Gtv1+Gtv"&amp;MAX($A$25:$A$98),IF(MAX($A$25:$A$98)&gt;2,"Gtv1 + … + Gtv"&amp;MAX($A$25:$A$98)))))</f>
        <v>#REF!</v>
      </c>
      <c r="E24" s="423"/>
      <c r="F24" s="424"/>
      <c r="G24" s="425"/>
      <c r="H24" s="426"/>
      <c r="I24" s="426"/>
      <c r="J24" s="426"/>
      <c r="K24" s="426"/>
      <c r="L24" s="426"/>
      <c r="M24" s="426"/>
      <c r="N24" s="427"/>
      <c r="O24" s="333" t="e">
        <f>IF(P24&lt;&gt;0,MAX($O$9:$O23)+1,0)</f>
        <v>#REF!</v>
      </c>
      <c r="P24" s="428" t="e">
        <f>ROUND(SUM(P25:P98),0)</f>
        <v>#REF!</v>
      </c>
      <c r="Q24" s="428" t="e">
        <f>SUM(Q25:Q98)</f>
        <v>#REF!</v>
      </c>
      <c r="R24" s="385" t="e">
        <f>Q24+P24</f>
        <v>#REF!</v>
      </c>
      <c r="S24" s="359"/>
    </row>
    <row r="25" spans="1:21" hidden="1" outlineLevel="1">
      <c r="A25" s="337">
        <f>IF(P25&lt;&gt;0,MAX($A$23:A24)+1,)</f>
        <v>0</v>
      </c>
      <c r="B25" s="388" t="s">
        <v>28</v>
      </c>
      <c r="C25" s="394">
        <f t="shared" ref="C25:C98" si="1">IF(P25&lt;&gt;0,"Gtv"&amp;A25,)</f>
        <v>0</v>
      </c>
      <c r="D25" s="429" t="s">
        <v>107</v>
      </c>
      <c r="E25" s="430"/>
      <c r="F25" s="431"/>
      <c r="G25" s="432"/>
      <c r="H25" s="433"/>
      <c r="I25" s="433"/>
      <c r="J25" s="433"/>
      <c r="K25" s="433"/>
      <c r="L25" s="433"/>
      <c r="M25" s="433"/>
      <c r="N25" s="434"/>
      <c r="O25" s="407"/>
      <c r="P25" s="435">
        <f>15467.9*55%*3*48000*0</f>
        <v>0</v>
      </c>
      <c r="Q25" s="435">
        <f t="shared" ref="Q25:Q30" si="2">ROUND(P25*10%,0)</f>
        <v>0</v>
      </c>
      <c r="R25" s="322">
        <f>SUM(P25:Q25)</f>
        <v>0</v>
      </c>
    </row>
    <row r="26" spans="1:21" hidden="1" outlineLevel="1">
      <c r="A26" s="337">
        <f>IF(P26&lt;&gt;0,MAX($A$23:A25)+1,)</f>
        <v>0</v>
      </c>
      <c r="B26" s="388" t="s">
        <v>108</v>
      </c>
      <c r="C26" s="394">
        <f t="shared" si="1"/>
        <v>0</v>
      </c>
      <c r="D26" s="429" t="s">
        <v>95</v>
      </c>
      <c r="E26" s="430"/>
      <c r="F26" s="431"/>
      <c r="G26" s="432"/>
      <c r="H26" s="433"/>
      <c r="I26" s="433"/>
      <c r="J26" s="433"/>
      <c r="K26" s="433"/>
      <c r="L26" s="433"/>
      <c r="M26" s="433"/>
      <c r="N26" s="434"/>
      <c r="O26" s="407"/>
      <c r="P26" s="435"/>
      <c r="Q26" s="435">
        <f t="shared" si="2"/>
        <v>0</v>
      </c>
      <c r="R26" s="322">
        <f t="shared" ref="R26:R38" si="3">SUM(P26:Q26)</f>
        <v>0</v>
      </c>
    </row>
    <row r="27" spans="1:21" hidden="1" outlineLevel="1">
      <c r="A27" s="337">
        <f>IF(P27&lt;&gt;0,MAX($A$23:A26)+1,)</f>
        <v>0</v>
      </c>
      <c r="B27" s="388" t="s">
        <v>109</v>
      </c>
      <c r="C27" s="394">
        <f t="shared" si="1"/>
        <v>0</v>
      </c>
      <c r="D27" s="429" t="s">
        <v>110</v>
      </c>
      <c r="E27" s="430"/>
      <c r="F27" s="431"/>
      <c r="G27" s="432"/>
      <c r="H27" s="433"/>
      <c r="I27" s="433"/>
      <c r="J27" s="433"/>
      <c r="K27" s="433"/>
      <c r="L27" s="433"/>
      <c r="M27" s="433"/>
      <c r="N27" s="434"/>
      <c r="O27" s="407"/>
      <c r="P27" s="435">
        <f>ROUND(10862.95*9000*0.7,-6)*0</f>
        <v>0</v>
      </c>
      <c r="Q27" s="435">
        <f t="shared" si="2"/>
        <v>0</v>
      </c>
      <c r="R27" s="322">
        <f t="shared" si="3"/>
        <v>0</v>
      </c>
    </row>
    <row r="28" spans="1:21" outlineLevel="1">
      <c r="A28" s="337" t="e">
        <f>IF(P28&lt;&gt;0,MAX($A$23:A27)+1,)</f>
        <v>#REF!</v>
      </c>
      <c r="B28" s="388" t="s">
        <v>111</v>
      </c>
      <c r="C28" s="337" t="e">
        <f t="shared" ref="C28:C55" si="4">IF(P28&lt;&gt;0,"Gtv"&amp;A28,)</f>
        <v>#REF!</v>
      </c>
      <c r="D28" s="429" t="s">
        <v>110</v>
      </c>
      <c r="E28" s="430"/>
      <c r="F28" s="431"/>
      <c r="G28" s="432"/>
      <c r="H28" s="433"/>
      <c r="I28" s="433"/>
      <c r="J28" s="433"/>
      <c r="K28" s="433"/>
      <c r="L28" s="433"/>
      <c r="M28" s="433"/>
      <c r="N28" s="434"/>
      <c r="O28" s="407"/>
      <c r="P28" s="435">
        <v>200000000</v>
      </c>
      <c r="Q28" s="435">
        <f t="shared" si="2"/>
        <v>20000000</v>
      </c>
      <c r="R28" s="392">
        <f>SUM(P28:Q28)</f>
        <v>220000000</v>
      </c>
    </row>
    <row r="29" spans="1:21" hidden="1" outlineLevel="1">
      <c r="A29" s="337">
        <f>IF(P29&lt;&gt;0,MAX($A$23:A28)+1,)</f>
        <v>0</v>
      </c>
      <c r="B29" s="393" t="str">
        <f>NS!B15</f>
        <v>Chi phí thí nghiệm tường vây</v>
      </c>
      <c r="C29" s="394">
        <f t="shared" si="4"/>
        <v>0</v>
      </c>
      <c r="D29" s="436" t="s">
        <v>112</v>
      </c>
      <c r="E29" s="437"/>
      <c r="F29" s="431"/>
      <c r="G29" s="432"/>
      <c r="H29" s="433"/>
      <c r="I29" s="433"/>
      <c r="J29" s="433"/>
      <c r="K29" s="433"/>
      <c r="L29" s="433"/>
      <c r="M29" s="433"/>
      <c r="N29" s="434"/>
      <c r="O29" s="407"/>
      <c r="P29" s="438">
        <v>0</v>
      </c>
      <c r="Q29" s="435">
        <f t="shared" si="2"/>
        <v>0</v>
      </c>
      <c r="R29" s="392">
        <f t="shared" si="3"/>
        <v>0</v>
      </c>
    </row>
    <row r="30" spans="1:21" hidden="1" outlineLevel="1">
      <c r="A30" s="337">
        <f>IF(P30&lt;&gt;0,MAX($A$23:A29)+1,)</f>
        <v>0</v>
      </c>
      <c r="B30" s="388" t="str">
        <f>NS!B16</f>
        <v>Chi phí khoan khảo sát địa chất</v>
      </c>
      <c r="C30" s="394">
        <f t="shared" si="4"/>
        <v>0</v>
      </c>
      <c r="D30" s="429" t="s">
        <v>110</v>
      </c>
      <c r="E30" s="430"/>
      <c r="F30" s="439"/>
      <c r="G30" s="440"/>
      <c r="H30" s="441"/>
      <c r="I30" s="441"/>
      <c r="J30" s="441"/>
      <c r="K30" s="441"/>
      <c r="L30" s="441"/>
      <c r="M30" s="441"/>
      <c r="N30" s="442"/>
      <c r="O30" s="443"/>
      <c r="P30" s="435">
        <f>250000000/1.1*0</f>
        <v>0</v>
      </c>
      <c r="Q30" s="435">
        <f t="shared" si="2"/>
        <v>0</v>
      </c>
      <c r="R30" s="392">
        <f t="shared" si="3"/>
        <v>0</v>
      </c>
    </row>
    <row r="31" spans="1:21" hidden="1" outlineLevel="1">
      <c r="A31" s="337">
        <f>IF(P31&lt;&gt;0,MAX($A$23:A30)+1,)</f>
        <v>0</v>
      </c>
      <c r="B31" s="388" t="s">
        <v>113</v>
      </c>
      <c r="C31" s="394">
        <f t="shared" si="4"/>
        <v>0</v>
      </c>
      <c r="D31" s="429" t="s">
        <v>114</v>
      </c>
      <c r="E31" s="430"/>
      <c r="F31" s="439"/>
      <c r="G31" s="440"/>
      <c r="H31" s="441"/>
      <c r="I31" s="441"/>
      <c r="J31" s="441"/>
      <c r="K31" s="441"/>
      <c r="L31" s="441"/>
      <c r="M31" s="441"/>
      <c r="N31" s="442"/>
      <c r="O31" s="443"/>
      <c r="P31" s="435">
        <f>75000000*0</f>
        <v>0</v>
      </c>
      <c r="Q31" s="435">
        <f t="shared" ref="Q31:Q37" si="5">ROUND(P31*10%,0)</f>
        <v>0</v>
      </c>
      <c r="R31" s="392">
        <f t="shared" si="3"/>
        <v>0</v>
      </c>
    </row>
    <row r="32" spans="1:21" hidden="1" outlineLevel="1">
      <c r="A32" s="337">
        <f>IF(P32&lt;&gt;0,MAX($A$23:A31)+1,)</f>
        <v>0</v>
      </c>
      <c r="B32" s="509" t="s">
        <v>115</v>
      </c>
      <c r="C32" s="337">
        <f t="shared" si="4"/>
        <v>0</v>
      </c>
      <c r="D32" s="429" t="s">
        <v>116</v>
      </c>
      <c r="E32" s="437"/>
      <c r="F32" s="439"/>
      <c r="G32" s="440"/>
      <c r="H32" s="441"/>
      <c r="I32" s="441"/>
      <c r="J32" s="441"/>
      <c r="K32" s="441"/>
      <c r="L32" s="441"/>
      <c r="M32" s="441"/>
      <c r="N32" s="442"/>
      <c r="O32" s="443"/>
      <c r="P32" s="322"/>
      <c r="Q32" s="322">
        <f t="shared" si="5"/>
        <v>0</v>
      </c>
      <c r="R32" s="392">
        <f t="shared" ref="R32:R37" si="6">SUM(P32:Q32)</f>
        <v>0</v>
      </c>
    </row>
    <row r="33" spans="1:20" outlineLevel="1">
      <c r="A33" s="337" t="e">
        <f>IF(P33&lt;&gt;0,MAX($A$23:A32)+1,)</f>
        <v>#REF!</v>
      </c>
      <c r="B33" s="388" t="s">
        <v>117</v>
      </c>
      <c r="C33" s="337" t="e">
        <f t="shared" si="4"/>
        <v>#REF!</v>
      </c>
      <c r="D33" s="429" t="s">
        <v>110</v>
      </c>
      <c r="E33" s="437"/>
      <c r="F33" s="439"/>
      <c r="G33" s="440"/>
      <c r="H33" s="441"/>
      <c r="I33" s="441"/>
      <c r="J33" s="441"/>
      <c r="K33" s="441"/>
      <c r="L33" s="441"/>
      <c r="M33" s="441"/>
      <c r="N33" s="442"/>
      <c r="O33" s="443"/>
      <c r="P33" s="322">
        <v>25000000</v>
      </c>
      <c r="Q33" s="435">
        <f>ROUND(P33*10%,0)</f>
        <v>2500000</v>
      </c>
      <c r="R33" s="392">
        <f t="shared" si="6"/>
        <v>27500000</v>
      </c>
    </row>
    <row r="34" spans="1:20" hidden="1" outlineLevel="1">
      <c r="A34" s="337">
        <f>IF(P34&lt;&gt;0,MAX($A$23:A33)+1,)</f>
        <v>0</v>
      </c>
      <c r="B34" s="509" t="s">
        <v>118</v>
      </c>
      <c r="C34" s="337">
        <f t="shared" si="4"/>
        <v>0</v>
      </c>
      <c r="D34" s="414" t="str">
        <f>C27&amp;"*"</f>
        <v>0*</v>
      </c>
      <c r="E34" s="444" t="s">
        <v>119</v>
      </c>
      <c r="F34" s="431">
        <f>NS!I12</f>
        <v>0</v>
      </c>
      <c r="G34" s="445" t="s">
        <v>104</v>
      </c>
      <c r="H34" s="433">
        <f>IF(I34&lt;&gt;0,"*",)</f>
        <v>0</v>
      </c>
      <c r="I34" s="433">
        <f>IF($E$174="MRN",1.2,0)</f>
        <v>0</v>
      </c>
      <c r="J34" s="433">
        <f>IF(K34&lt;&gt;0,"*",)</f>
        <v>0</v>
      </c>
      <c r="K34" s="433">
        <f>IF(C149=1,0.8,0)</f>
        <v>0</v>
      </c>
      <c r="L34" s="433"/>
      <c r="M34" s="433"/>
      <c r="N34" s="434">
        <v>0.05</v>
      </c>
      <c r="O34" s="446"/>
      <c r="P34" s="435">
        <f>P27*2.628%</f>
        <v>0</v>
      </c>
      <c r="Q34" s="435">
        <f t="shared" si="5"/>
        <v>0</v>
      </c>
      <c r="R34" s="392">
        <f t="shared" si="6"/>
        <v>0</v>
      </c>
    </row>
    <row r="35" spans="1:20" outlineLevel="1">
      <c r="A35" s="337" t="e">
        <f>IF(P35&lt;&gt;0,MAX($A$23:A34)+1,)</f>
        <v>#REF!</v>
      </c>
      <c r="B35" s="509" t="s">
        <v>120</v>
      </c>
      <c r="C35" s="337" t="e">
        <f t="shared" si="4"/>
        <v>#REF!</v>
      </c>
      <c r="D35" s="414" t="e">
        <f>C28&amp;"*"</f>
        <v>#REF!</v>
      </c>
      <c r="E35" s="444" t="s">
        <v>119</v>
      </c>
      <c r="F35" s="431">
        <f>NS!I13</f>
        <v>0</v>
      </c>
      <c r="G35" s="445" t="s">
        <v>104</v>
      </c>
      <c r="H35" s="433">
        <f>IF(I35&lt;&gt;0,"*",)</f>
        <v>0</v>
      </c>
      <c r="I35" s="433">
        <f>IF($E$174="MRN",1.2,0)</f>
        <v>0</v>
      </c>
      <c r="J35" s="433">
        <f>IF(K35&lt;&gt;0,"*",)</f>
        <v>0</v>
      </c>
      <c r="K35" s="433">
        <f>IF(C150=1,0.8,0)</f>
        <v>0</v>
      </c>
      <c r="L35" s="433"/>
      <c r="M35" s="433"/>
      <c r="N35" s="434">
        <v>0.05</v>
      </c>
      <c r="O35" s="446"/>
      <c r="P35" s="435">
        <f>P28*2.628%</f>
        <v>5256000</v>
      </c>
      <c r="Q35" s="435">
        <f t="shared" si="5"/>
        <v>525600</v>
      </c>
      <c r="R35" s="392">
        <f t="shared" si="6"/>
        <v>5781600</v>
      </c>
    </row>
    <row r="36" spans="1:20" hidden="1" outlineLevel="1">
      <c r="A36" s="337">
        <f>IF(P36&lt;&gt;0,MAX($A$23:A35)+1,)</f>
        <v>0</v>
      </c>
      <c r="B36" s="509" t="s">
        <v>121</v>
      </c>
      <c r="C36" s="337">
        <f>IF(P36&lt;&gt;0,"Gtv"&amp;A36,)</f>
        <v>0</v>
      </c>
      <c r="D36" s="414" t="str">
        <f>C32&amp;"*"</f>
        <v>0*</v>
      </c>
      <c r="E36" s="444" t="s">
        <v>119</v>
      </c>
      <c r="F36" s="431">
        <f>NS!I14</f>
        <v>0</v>
      </c>
      <c r="G36" s="445" t="s">
        <v>104</v>
      </c>
      <c r="H36" s="433">
        <f>IF(I36&lt;&gt;0,"*",)</f>
        <v>0</v>
      </c>
      <c r="I36" s="433">
        <f>IF($E$174="MRN",1.2,0)</f>
        <v>0</v>
      </c>
      <c r="J36" s="433">
        <f>IF(K36&lt;&gt;0,"*",)</f>
        <v>0</v>
      </c>
      <c r="K36" s="433">
        <f>IF(C151=1,0.8,0)</f>
        <v>0</v>
      </c>
      <c r="L36" s="433"/>
      <c r="M36" s="433"/>
      <c r="N36" s="434">
        <v>0.05</v>
      </c>
      <c r="O36" s="446"/>
      <c r="P36" s="435">
        <f>P32*2.628%*0</f>
        <v>0</v>
      </c>
      <c r="Q36" s="435">
        <f t="shared" si="5"/>
        <v>0</v>
      </c>
      <c r="R36" s="392">
        <f t="shared" si="6"/>
        <v>0</v>
      </c>
    </row>
    <row r="37" spans="1:20" hidden="1" outlineLevel="1">
      <c r="A37" s="337">
        <f>IF(P37&lt;&gt;0,MAX($A$23:A36)+1,)</f>
        <v>0</v>
      </c>
      <c r="B37" s="509" t="s">
        <v>122</v>
      </c>
      <c r="C37" s="337">
        <f t="shared" si="4"/>
        <v>0</v>
      </c>
      <c r="D37" s="448" t="s">
        <v>123</v>
      </c>
      <c r="E37" s="430"/>
      <c r="F37" s="439"/>
      <c r="G37" s="440"/>
      <c r="H37" s="441"/>
      <c r="I37" s="441"/>
      <c r="J37" s="441"/>
      <c r="K37" s="441"/>
      <c r="L37" s="441"/>
      <c r="M37" s="441"/>
      <c r="N37" s="442"/>
      <c r="O37" s="443"/>
      <c r="P37" s="438">
        <v>0</v>
      </c>
      <c r="Q37" s="435">
        <f t="shared" si="5"/>
        <v>0</v>
      </c>
      <c r="R37" s="392">
        <f t="shared" si="6"/>
        <v>0</v>
      </c>
    </row>
    <row r="38" spans="1:20" hidden="1" outlineLevel="1">
      <c r="A38" s="337">
        <f>IF(P38&lt;&gt;0,MAX($A$23:A37)+1,)</f>
        <v>0</v>
      </c>
      <c r="B38" s="388" t="s">
        <v>124</v>
      </c>
      <c r="C38" s="337">
        <f t="shared" si="4"/>
        <v>0</v>
      </c>
      <c r="D38" s="429" t="s">
        <v>95</v>
      </c>
      <c r="E38" s="430"/>
      <c r="F38" s="431"/>
      <c r="G38" s="432"/>
      <c r="H38" s="433"/>
      <c r="I38" s="433"/>
      <c r="J38" s="433"/>
      <c r="K38" s="433"/>
      <c r="L38" s="433"/>
      <c r="M38" s="433"/>
      <c r="N38" s="434"/>
      <c r="O38" s="407"/>
      <c r="P38" s="435"/>
      <c r="Q38" s="435">
        <f>ROUND(P38*10%,0)</f>
        <v>0</v>
      </c>
      <c r="R38" s="392">
        <f t="shared" si="3"/>
        <v>0</v>
      </c>
    </row>
    <row r="39" spans="1:20" hidden="1" outlineLevel="1">
      <c r="A39" s="337">
        <f>IF(P39&lt;&gt;0,MAX($A$23:A38)+1,)</f>
        <v>0</v>
      </c>
      <c r="B39" s="509" t="str">
        <f>NS!B18</f>
        <v>Chi phí giám sát khảo sát địa chất công trình</v>
      </c>
      <c r="C39" s="337">
        <f t="shared" si="4"/>
        <v>0</v>
      </c>
      <c r="D39" s="448" t="s">
        <v>123</v>
      </c>
      <c r="E39" s="437"/>
      <c r="F39" s="431"/>
      <c r="G39" s="432"/>
      <c r="H39" s="433"/>
      <c r="I39" s="433"/>
      <c r="J39" s="433"/>
      <c r="K39" s="433"/>
      <c r="L39" s="433"/>
      <c r="M39" s="433"/>
      <c r="N39" s="434"/>
      <c r="O39" s="407"/>
      <c r="P39" s="438"/>
      <c r="Q39" s="435"/>
      <c r="R39" s="392"/>
    </row>
    <row r="40" spans="1:20" hidden="1" outlineLevel="1">
      <c r="A40" s="337">
        <f>IF(P40&lt;&gt;0,MAX($A$23:A39)+1,)</f>
        <v>0</v>
      </c>
      <c r="B40" s="509" t="str">
        <f>NS!B19</f>
        <v>Chi phí giám sát khảo sát địa hình công trình</v>
      </c>
      <c r="C40" s="337">
        <f t="shared" si="4"/>
        <v>0</v>
      </c>
      <c r="D40" s="448" t="s">
        <v>123</v>
      </c>
      <c r="E40" s="437"/>
      <c r="F40" s="431"/>
      <c r="G40" s="432"/>
      <c r="H40" s="433"/>
      <c r="I40" s="433"/>
      <c r="J40" s="433"/>
      <c r="K40" s="433"/>
      <c r="L40" s="433"/>
      <c r="M40" s="433"/>
      <c r="N40" s="434"/>
      <c r="O40" s="407"/>
      <c r="P40" s="438"/>
      <c r="Q40" s="435"/>
      <c r="R40" s="392"/>
    </row>
    <row r="41" spans="1:20" hidden="1" outlineLevel="1">
      <c r="A41" s="337">
        <f>IF(P41&lt;&gt;0,MAX($A$23:A40)+1,)</f>
        <v>0</v>
      </c>
      <c r="B41" s="509" t="str">
        <f>NS!B20</f>
        <v>Chi phí lập báo cáo đầu tư</v>
      </c>
      <c r="C41" s="337">
        <f t="shared" si="4"/>
        <v>0</v>
      </c>
      <c r="D41" s="448" t="s">
        <v>123</v>
      </c>
      <c r="E41" s="437"/>
      <c r="F41" s="431"/>
      <c r="G41" s="432"/>
      <c r="H41" s="433"/>
      <c r="I41" s="433"/>
      <c r="J41" s="433"/>
      <c r="K41" s="433"/>
      <c r="L41" s="433"/>
      <c r="M41" s="433"/>
      <c r="N41" s="434"/>
      <c r="O41" s="407"/>
      <c r="P41" s="438"/>
      <c r="Q41" s="435"/>
      <c r="R41" s="392"/>
    </row>
    <row r="42" spans="1:20" hidden="1" outlineLevel="1">
      <c r="A42" s="337">
        <f>IF(P42&lt;&gt;0,MAX($A$23:A41)+1,)</f>
        <v>0</v>
      </c>
      <c r="B42" s="388" t="s">
        <v>125</v>
      </c>
      <c r="C42" s="337">
        <f t="shared" si="4"/>
        <v>0</v>
      </c>
      <c r="D42" s="429" t="s">
        <v>126</v>
      </c>
      <c r="E42" s="437"/>
      <c r="F42" s="431"/>
      <c r="G42" s="432"/>
      <c r="H42" s="433"/>
      <c r="I42" s="433"/>
      <c r="J42" s="433"/>
      <c r="K42" s="433"/>
      <c r="L42" s="433"/>
      <c r="M42" s="433"/>
      <c r="N42" s="434"/>
      <c r="O42" s="407"/>
      <c r="P42" s="435"/>
      <c r="Q42" s="435">
        <f>ROUND(P42*10%,0)</f>
        <v>0</v>
      </c>
      <c r="R42" s="392">
        <f t="shared" ref="R42:R47" si="7">SUM(P42:Q42)</f>
        <v>0</v>
      </c>
      <c r="S42" s="359"/>
    </row>
    <row r="43" spans="1:20" ht="28.5" hidden="1" outlineLevel="1">
      <c r="A43" s="337">
        <f>IF(P43&lt;&gt;0,MAX($A$23:A42)+1,)</f>
        <v>0</v>
      </c>
      <c r="B43" s="388" t="s">
        <v>127</v>
      </c>
      <c r="C43" s="337">
        <f t="shared" si="4"/>
        <v>0</v>
      </c>
      <c r="D43" s="429" t="s">
        <v>128</v>
      </c>
      <c r="E43" s="437"/>
      <c r="F43" s="431"/>
      <c r="G43" s="432"/>
      <c r="H43" s="433"/>
      <c r="I43" s="433"/>
      <c r="J43" s="433"/>
      <c r="K43" s="433"/>
      <c r="L43" s="433"/>
      <c r="M43" s="433"/>
      <c r="N43" s="434"/>
      <c r="O43" s="407"/>
      <c r="P43" s="435">
        <f>12047099/1.1*0</f>
        <v>0</v>
      </c>
      <c r="Q43" s="435">
        <f>ROUND(P43*10%,0)</f>
        <v>0</v>
      </c>
      <c r="R43" s="392">
        <f t="shared" si="7"/>
        <v>0</v>
      </c>
      <c r="S43" s="359"/>
    </row>
    <row r="44" spans="1:20" ht="85.5" outlineLevel="1">
      <c r="A44" s="337" t="e">
        <f>IF(P44&lt;&gt;0,MAX($A$23:A43)+1,)</f>
        <v>#REF!</v>
      </c>
      <c r="B44" s="634" t="s">
        <v>129</v>
      </c>
      <c r="C44" s="635" t="e">
        <f t="shared" si="4"/>
        <v>#REF!</v>
      </c>
      <c r="D44" s="636" t="s">
        <v>130</v>
      </c>
      <c r="E44" s="637"/>
      <c r="F44" s="646"/>
      <c r="G44" s="647"/>
      <c r="H44" s="648"/>
      <c r="I44" s="648"/>
      <c r="J44" s="648"/>
      <c r="K44" s="648"/>
      <c r="L44" s="648"/>
      <c r="M44" s="648"/>
      <c r="N44" s="649"/>
      <c r="O44" s="650"/>
      <c r="P44" s="644">
        <f>128061197/1.1</f>
        <v>116419269.99999999</v>
      </c>
      <c r="Q44" s="644">
        <f>ROUND(P44*10%,0)</f>
        <v>11641927</v>
      </c>
      <c r="R44" s="645">
        <f t="shared" si="7"/>
        <v>128061196.99999999</v>
      </c>
      <c r="S44" s="359"/>
    </row>
    <row r="45" spans="1:20" ht="28.5" outlineLevel="1">
      <c r="A45" s="337" t="e">
        <f>IF(P45&lt;&gt;0,MAX($A$23:A44)+1,)</f>
        <v>#REF!</v>
      </c>
      <c r="B45" s="634" t="str">
        <f>NS!B21</f>
        <v>Chi phí lập dự án (Quyết định số 957/QĐ-BXD ngày 29-09-2009)</v>
      </c>
      <c r="C45" s="651" t="e">
        <f t="shared" si="4"/>
        <v>#REF!</v>
      </c>
      <c r="D45" s="652" t="s">
        <v>131</v>
      </c>
      <c r="E45" s="653" t="e">
        <f>IF(AND(I45&lt;&gt;0,K45&lt;&gt;0),F45&amp;G45&amp;H45&amp;I45&amp;J45&amp;K45&amp;"*(1+5%)",IF(AND(I45&lt;&gt;0,K45=0),F45&amp;G45&amp;H45&amp;I45&amp;"*(1+10%)",IF(AND(I45=0,K45&lt;&gt;0),F45&amp;G45&amp;J45&amp;K45&amp;"*(1+10%)",IF(AND(I45=0,K45=0),F45&amp;G45&amp;"*(1+10%)"))))</f>
        <v>#REF!</v>
      </c>
      <c r="F45" s="646" t="e">
        <f>NS!I21</f>
        <v>#REF!</v>
      </c>
      <c r="G45" s="654" t="s">
        <v>104</v>
      </c>
      <c r="H45" s="648">
        <f>IF(I45&lt;&gt;0,"*",)</f>
        <v>0</v>
      </c>
      <c r="I45" s="648">
        <f>IF($E$174="MRN",1.2,0)</f>
        <v>0</v>
      </c>
      <c r="J45" s="648">
        <f>IF(K45&lt;&gt;0,"*",)</f>
        <v>0</v>
      </c>
      <c r="K45" s="648">
        <f>IF(C158=1,0.8,0)</f>
        <v>0</v>
      </c>
      <c r="L45" s="648"/>
      <c r="M45" s="648"/>
      <c r="N45" s="649">
        <v>0.05</v>
      </c>
      <c r="O45" s="655"/>
      <c r="P45" s="656" t="e">
        <f>IF(P46&lt;&gt;0,0,ROUND((#REF!/1.1/1.01+#REF!/1.1)*IF(AND(I45&lt;&gt;0,K45&lt;&gt;0),F45/100*I45*K45,IF(AND(I45&lt;&gt;0,K45=0),F45/100*I45,IF(AND(I45=0,K45&lt;&gt;0),F45/100*K45,IF(AND(I45=0,K45=0),F45/100)))),0))</f>
        <v>#REF!</v>
      </c>
      <c r="Q45" s="644" t="e">
        <f>ROUND(P45*10%,0)</f>
        <v>#REF!</v>
      </c>
      <c r="R45" s="645" t="e">
        <f t="shared" si="7"/>
        <v>#REF!</v>
      </c>
      <c r="S45" s="320"/>
      <c r="T45" s="447"/>
    </row>
    <row r="46" spans="1:20" ht="28.5" hidden="1" outlineLevel="1">
      <c r="A46" s="337" t="e">
        <f>IF(P46&lt;&gt;0,MAX($A$23:A45)+1,)</f>
        <v>#REF!</v>
      </c>
      <c r="B46" s="388" t="str">
        <f>NS!B22</f>
        <v>Chi phí lập báo cáo kinh tế - kỹ thuật (Quyết định số 957/QĐ-BXD ngày 29-09-2009)</v>
      </c>
      <c r="C46" s="394" t="e">
        <f t="shared" si="4"/>
        <v>#REF!</v>
      </c>
      <c r="D46" s="414" t="s">
        <v>132</v>
      </c>
      <c r="E46" s="444" t="e">
        <f>IF(AND(I46&lt;&gt;0,K46&lt;&gt;0),F46&amp;G46&amp;H46&amp;I46&amp;J46&amp;K46&amp;"*(1+10%)",IF(AND(I46&lt;&gt;0,K46=0),F46&amp;G46&amp;H46&amp;I46&amp;"*(1+5%)",IF(AND(I46=0,K46&lt;&gt;0),F46&amp;G46&amp;J46&amp;K46&amp;"*(1+10%)",IF(AND(I46=0,K46=0),F46&amp;G46&amp;"*(1+10%)*1,05"))))</f>
        <v>#REF!</v>
      </c>
      <c r="F46" s="431" t="e">
        <f>NS!I22</f>
        <v>#REF!</v>
      </c>
      <c r="G46" s="445" t="s">
        <v>104</v>
      </c>
      <c r="H46" s="433">
        <f>IF(I46&lt;&gt;0,"*",)</f>
        <v>0</v>
      </c>
      <c r="I46" s="433">
        <f>IF($E$174="MRN",1.2,0)</f>
        <v>0</v>
      </c>
      <c r="J46" s="433">
        <f>IF(K46&lt;&gt;0,"*",)</f>
        <v>0</v>
      </c>
      <c r="K46" s="433">
        <f>IF(C159=1,0.65,0)</f>
        <v>0</v>
      </c>
      <c r="L46" s="433"/>
      <c r="M46" s="433"/>
      <c r="N46" s="434">
        <v>0.05</v>
      </c>
      <c r="O46" s="446"/>
      <c r="P46" s="435" t="e">
        <f>ROUND(SUM($P$12:$P$13,$P$15)*IF(AND(I46&lt;&gt;0,K46&lt;&gt;0),F46/100*I46*K46,IF(AND(I46&lt;&gt;0,K46=0),F46/100*I46,IF(AND(I46=0,K46&lt;&gt;0),F46/100*K46,IF(AND(I46=0,K46=0),F46/100))))*1.05,0)*0</f>
        <v>#REF!</v>
      </c>
      <c r="Q46" s="435" t="e">
        <f>P46*10%</f>
        <v>#REF!</v>
      </c>
      <c r="R46" s="392" t="e">
        <f t="shared" si="7"/>
        <v>#REF!</v>
      </c>
      <c r="S46" s="320" t="s">
        <v>133</v>
      </c>
      <c r="T46" s="447"/>
    </row>
    <row r="47" spans="1:20" ht="28.5" hidden="1" outlineLevel="1">
      <c r="A47" s="337" t="e">
        <f>IF(P47&lt;&gt;0,MAX($A$23:A46)+1,)</f>
        <v>#REF!</v>
      </c>
      <c r="B47" s="388" t="str">
        <f>NS!B64</f>
        <v>Chi phí thẩm tra tính hiệu quả, tính khả thi của dự án (Quyết định số 957/QĐ-BXD ngày 29-09-2009)</v>
      </c>
      <c r="C47" s="394" t="e">
        <f t="shared" si="4"/>
        <v>#REF!</v>
      </c>
      <c r="D47" s="414" t="s">
        <v>132</v>
      </c>
      <c r="E47" s="444" t="e">
        <f>IF(AND(I47&lt;&gt;0,K47&lt;&gt;0),F47&amp;G47&amp;H47&amp;I47&amp;J47&amp;K47&amp;"*(1+10%)",IF(AND(I47&lt;&gt;0,K47=0),F47&amp;G47&amp;H47&amp;I47&amp;"*(1+10%)",IF(AND(I47=0,K47&lt;&gt;0),F47&amp;G47&amp;J47&amp;K47&amp;"*(1+10%)",IF(AND(I47=0,K47=0),F47&amp;G47&amp;"*(1+10%)"))))</f>
        <v>#REF!</v>
      </c>
      <c r="F47" s="439" t="e">
        <f>NS!I64</f>
        <v>#REF!</v>
      </c>
      <c r="G47" s="440" t="s">
        <v>104</v>
      </c>
      <c r="H47" s="441">
        <f>IF(I47&lt;&gt;0,"*",)</f>
        <v>0</v>
      </c>
      <c r="I47" s="441"/>
      <c r="J47" s="441">
        <f>IF(K47&lt;&gt;0,"*",)</f>
        <v>0</v>
      </c>
      <c r="K47" s="441"/>
      <c r="L47" s="441"/>
      <c r="M47" s="441"/>
      <c r="N47" s="442">
        <v>0.1</v>
      </c>
      <c r="O47" s="443"/>
      <c r="P47" s="322" t="e">
        <f>ROUND(SUM($P$12:$P$12,$P$15)*IF(AND(I47&lt;&gt;0,K47&lt;&gt;0),F47/100*I47*K47,IF(AND(I47&lt;&gt;0,K47=0),F47/100*I47,IF(AND(I47=0,K47&lt;&gt;0),F47/100*K47,IF(AND(I47=0,K47=0),F47/100)))),0)*0</f>
        <v>#REF!</v>
      </c>
      <c r="Q47" s="322" t="e">
        <f>ROUND(P47*10%,0)</f>
        <v>#REF!</v>
      </c>
      <c r="R47" s="392" t="e">
        <f t="shared" si="7"/>
        <v>#REF!</v>
      </c>
      <c r="S47" s="320"/>
      <c r="T47" s="447"/>
    </row>
    <row r="48" spans="1:20" ht="28.5" hidden="1" outlineLevel="1">
      <c r="A48" s="337">
        <f>IF(P48&lt;&gt;0,MAX($A$23:A47)+1,)</f>
        <v>0</v>
      </c>
      <c r="B48" s="388" t="str">
        <f>NS!B23</f>
        <v>Chi phí đo đạt đánh giá hiện trạng công trình phục vụ thiết kế sửa chữa, cải tạo nâng cấp, mở rộng</v>
      </c>
      <c r="C48" s="394">
        <f t="shared" si="4"/>
        <v>0</v>
      </c>
      <c r="D48" s="436" t="s">
        <v>123</v>
      </c>
      <c r="E48" s="437"/>
      <c r="F48" s="431"/>
      <c r="G48" s="445"/>
      <c r="H48" s="433"/>
      <c r="I48" s="433"/>
      <c r="J48" s="433"/>
      <c r="K48" s="433"/>
      <c r="L48" s="433"/>
      <c r="M48" s="433"/>
      <c r="N48" s="434"/>
      <c r="O48" s="446"/>
      <c r="P48" s="438"/>
      <c r="Q48" s="435"/>
      <c r="R48" s="392"/>
    </row>
    <row r="49" spans="1:21" hidden="1" outlineLevel="1">
      <c r="A49" s="337">
        <f>IF(P49&lt;&gt;0,MAX($A$23:A48)+1,)</f>
        <v>0</v>
      </c>
      <c r="B49" s="388" t="str">
        <f>NS!B24</f>
        <v>Chi phí thi tuyển thiết kế kiến trúc</v>
      </c>
      <c r="C49" s="394">
        <f t="shared" si="4"/>
        <v>0</v>
      </c>
      <c r="D49" s="436" t="s">
        <v>134</v>
      </c>
      <c r="E49" s="437"/>
      <c r="F49" s="431"/>
      <c r="G49" s="445"/>
      <c r="H49" s="433"/>
      <c r="I49" s="433"/>
      <c r="J49" s="433"/>
      <c r="K49" s="433"/>
      <c r="L49" s="433"/>
      <c r="M49" s="433"/>
      <c r="N49" s="434"/>
      <c r="O49" s="446"/>
      <c r="P49" s="438"/>
      <c r="Q49" s="435"/>
      <c r="R49" s="392">
        <f>SUM(P49:Q49)</f>
        <v>0</v>
      </c>
    </row>
    <row r="50" spans="1:21" hidden="1" outlineLevel="1">
      <c r="A50" s="337">
        <f>IF(P50&lt;&gt;0,MAX($A$23:A49)+1,)</f>
        <v>0</v>
      </c>
      <c r="B50" s="388" t="s">
        <v>135</v>
      </c>
      <c r="C50" s="394">
        <f t="shared" si="4"/>
        <v>0</v>
      </c>
      <c r="D50" s="429" t="s">
        <v>95</v>
      </c>
      <c r="E50" s="437"/>
      <c r="F50" s="439" t="e">
        <f>NS!I22</f>
        <v>#REF!</v>
      </c>
      <c r="G50" s="440" t="s">
        <v>104</v>
      </c>
      <c r="H50" s="441">
        <f>IF(I50&lt;&gt;0,"*",)</f>
        <v>0</v>
      </c>
      <c r="I50" s="441">
        <f>IF($E$174="CL",1.2,IF($E$174="KCL",1.1,IF($E$174="CLM",1.3,IF($E$174="MRN",1.15,0))))</f>
        <v>0</v>
      </c>
      <c r="J50" s="441">
        <f>IF(K50&lt;&gt;0,"*",)</f>
        <v>0</v>
      </c>
      <c r="K50" s="441">
        <f>IF(AND($C$156=3,OR($C$154="dd",$C$154="GT",$C$154="TL",$C$154="HTKT")),(1+55%),IF(AND($C$156=3,$C$154="CN"),(1+60%),0))</f>
        <v>0</v>
      </c>
      <c r="L50" s="441"/>
      <c r="M50" s="441"/>
      <c r="N50" s="442">
        <v>0.1</v>
      </c>
      <c r="O50" s="443"/>
      <c r="P50" s="435"/>
      <c r="Q50" s="435">
        <f t="shared" ref="Q50:Q59" si="8">ROUND(P50*10%,0)</f>
        <v>0</v>
      </c>
      <c r="R50" s="392">
        <f t="shared" ref="R50:R59" si="9">SUM(P50:Q50)</f>
        <v>0</v>
      </c>
      <c r="S50" s="320"/>
      <c r="T50" s="447">
        <f>R50/1.1/1.05*3.5%</f>
        <v>0</v>
      </c>
    </row>
    <row r="51" spans="1:21" hidden="1" outlineLevel="1">
      <c r="A51" s="337">
        <f>IF(P51&lt;&gt;0,MAX($A$23:A50)+1,)</f>
        <v>0</v>
      </c>
      <c r="B51" s="388" t="s">
        <v>136</v>
      </c>
      <c r="C51" s="394">
        <f t="shared" si="4"/>
        <v>0</v>
      </c>
      <c r="D51" s="429" t="s">
        <v>95</v>
      </c>
      <c r="E51" s="437"/>
      <c r="F51" s="439">
        <f>NS!I23</f>
        <v>0</v>
      </c>
      <c r="G51" s="440" t="s">
        <v>104</v>
      </c>
      <c r="H51" s="441">
        <f>IF(I51&lt;&gt;0,"*",)</f>
        <v>0</v>
      </c>
      <c r="I51" s="441">
        <f>IF($E$174="CL",1.2,IF($E$174="KCL",1.1,IF($E$174="CLM",1.3,IF($E$174="MRN",1.15,0))))</f>
        <v>0</v>
      </c>
      <c r="J51" s="441">
        <f>IF(K51&lt;&gt;0,"*",)</f>
        <v>0</v>
      </c>
      <c r="K51" s="441">
        <f>IF(AND($C$156=3,OR($C$154="dd",$C$154="GT",$C$154="TL",$C$154="HTKT")),(1+55%),IF(AND($C$156=3,$C$154="CN"),(1+60%),0))</f>
        <v>0</v>
      </c>
      <c r="L51" s="441"/>
      <c r="M51" s="441"/>
      <c r="N51" s="442">
        <v>0.1</v>
      </c>
      <c r="O51" s="443"/>
      <c r="P51" s="435"/>
      <c r="Q51" s="435">
        <f t="shared" si="8"/>
        <v>0</v>
      </c>
      <c r="R51" s="392">
        <f t="shared" si="9"/>
        <v>0</v>
      </c>
      <c r="S51" s="320"/>
      <c r="T51" s="447">
        <f>R51/1.1/1.05*3.5%</f>
        <v>0</v>
      </c>
    </row>
    <row r="52" spans="1:21" hidden="1" outlineLevel="1">
      <c r="A52" s="337">
        <f>IF(P52&lt;&gt;0,MAX($A$23:A51)+1,)</f>
        <v>0</v>
      </c>
      <c r="B52" s="388" t="s">
        <v>137</v>
      </c>
      <c r="C52" s="394">
        <f t="shared" si="4"/>
        <v>0</v>
      </c>
      <c r="D52" s="448" t="s">
        <v>110</v>
      </c>
      <c r="E52" s="449"/>
      <c r="F52" s="439"/>
      <c r="G52" s="440"/>
      <c r="H52" s="441"/>
      <c r="I52" s="441"/>
      <c r="J52" s="441"/>
      <c r="K52" s="441"/>
      <c r="L52" s="441"/>
      <c r="M52" s="441"/>
      <c r="N52" s="442"/>
      <c r="O52" s="443"/>
      <c r="P52" s="435"/>
      <c r="Q52" s="435">
        <f t="shared" si="8"/>
        <v>0</v>
      </c>
      <c r="R52" s="392">
        <f t="shared" si="9"/>
        <v>0</v>
      </c>
      <c r="S52" s="320"/>
    </row>
    <row r="53" spans="1:21" hidden="1" outlineLevel="1">
      <c r="A53" s="337">
        <f>IF(P53&lt;&gt;0,MAX($A$23:A52)+1,)</f>
        <v>0</v>
      </c>
      <c r="B53" s="388" t="s">
        <v>125</v>
      </c>
      <c r="C53" s="337">
        <f t="shared" si="4"/>
        <v>0</v>
      </c>
      <c r="D53" s="429" t="s">
        <v>114</v>
      </c>
      <c r="E53" s="449"/>
      <c r="F53" s="439"/>
      <c r="G53" s="440"/>
      <c r="H53" s="441"/>
      <c r="I53" s="441"/>
      <c r="J53" s="441"/>
      <c r="K53" s="441"/>
      <c r="L53" s="441"/>
      <c r="M53" s="441"/>
      <c r="N53" s="442"/>
      <c r="O53" s="443"/>
      <c r="P53" s="435"/>
      <c r="Q53" s="435">
        <f t="shared" si="8"/>
        <v>0</v>
      </c>
      <c r="R53" s="392">
        <f t="shared" si="9"/>
        <v>0</v>
      </c>
      <c r="S53" s="320"/>
    </row>
    <row r="54" spans="1:21" ht="28.5" hidden="1" outlineLevel="1">
      <c r="A54" s="337" t="e">
        <f>IF(P54&lt;&gt;0,MAX($A$23:A53)+1,)</f>
        <v>#REF!</v>
      </c>
      <c r="B54" s="388" t="s">
        <v>138</v>
      </c>
      <c r="C54" s="337" t="e">
        <f t="shared" si="4"/>
        <v>#REF!</v>
      </c>
      <c r="D54" s="414" t="e">
        <f>C58&amp;"*"</f>
        <v>#REF!</v>
      </c>
      <c r="E54" s="444" t="s">
        <v>139</v>
      </c>
      <c r="F54" s="439"/>
      <c r="G54" s="440"/>
      <c r="H54" s="441"/>
      <c r="I54" s="441"/>
      <c r="J54" s="441"/>
      <c r="K54" s="441"/>
      <c r="L54" s="441"/>
      <c r="M54" s="441"/>
      <c r="N54" s="442"/>
      <c r="O54" s="443"/>
      <c r="P54" s="435" t="e">
        <f>0.2%*P58*0</f>
        <v>#REF!</v>
      </c>
      <c r="Q54" s="435" t="e">
        <f t="shared" si="8"/>
        <v>#REF!</v>
      </c>
      <c r="R54" s="392" t="e">
        <f t="shared" si="9"/>
        <v>#REF!</v>
      </c>
      <c r="S54" s="320"/>
    </row>
    <row r="55" spans="1:21" ht="28.5" hidden="1" outlineLevel="1">
      <c r="A55" s="337">
        <f>IF(P55&lt;&gt;0,MAX($A$23:A54)+1,)</f>
        <v>0</v>
      </c>
      <c r="B55" s="388" t="s">
        <v>140</v>
      </c>
      <c r="C55" s="337">
        <f t="shared" si="4"/>
        <v>0</v>
      </c>
      <c r="D55" s="429" t="s">
        <v>114</v>
      </c>
      <c r="E55" s="449"/>
      <c r="F55" s="439"/>
      <c r="G55" s="440"/>
      <c r="H55" s="441"/>
      <c r="I55" s="441"/>
      <c r="J55" s="441"/>
      <c r="K55" s="441"/>
      <c r="L55" s="441"/>
      <c r="M55" s="441"/>
      <c r="N55" s="442"/>
      <c r="O55" s="443"/>
      <c r="P55" s="435"/>
      <c r="Q55" s="435">
        <f>ROUND(P55*10%,0)</f>
        <v>0</v>
      </c>
      <c r="R55" s="392">
        <f>SUM(P55:Q55)</f>
        <v>0</v>
      </c>
      <c r="S55" s="320"/>
    </row>
    <row r="56" spans="1:21" ht="28.5" hidden="1" outlineLevel="1">
      <c r="A56" s="337">
        <f>IF(P56&lt;&gt;0,MAX($A$23:A55)+1,)</f>
        <v>0</v>
      </c>
      <c r="B56" s="388" t="s">
        <v>141</v>
      </c>
      <c r="C56" s="394">
        <f t="shared" si="1"/>
        <v>0</v>
      </c>
      <c r="D56" s="429" t="s">
        <v>142</v>
      </c>
      <c r="E56" s="449"/>
      <c r="F56" s="439"/>
      <c r="G56" s="440"/>
      <c r="H56" s="441"/>
      <c r="I56" s="441"/>
      <c r="J56" s="441"/>
      <c r="K56" s="441"/>
      <c r="L56" s="441"/>
      <c r="M56" s="441"/>
      <c r="N56" s="442"/>
      <c r="O56" s="443"/>
      <c r="P56" s="435"/>
      <c r="Q56" s="435">
        <f>ROUND(P56*5%,0)</f>
        <v>0</v>
      </c>
      <c r="R56" s="392">
        <f t="shared" si="9"/>
        <v>0</v>
      </c>
      <c r="S56" s="320"/>
    </row>
    <row r="57" spans="1:21" ht="28.5" outlineLevel="1">
      <c r="A57" s="337" t="e">
        <f>IF(P57&lt;&gt;0,MAX($A$23:A55)+1,)</f>
        <v>#REF!</v>
      </c>
      <c r="B57" s="634" t="s">
        <v>143</v>
      </c>
      <c r="C57" s="635" t="e">
        <f>IF(P57&lt;&gt;0,"Gtv"&amp;A57,)</f>
        <v>#REF!</v>
      </c>
      <c r="D57" s="636" t="s">
        <v>144</v>
      </c>
      <c r="E57" s="637"/>
      <c r="F57" s="638">
        <f>NS!I24</f>
        <v>0</v>
      </c>
      <c r="G57" s="639" t="s">
        <v>104</v>
      </c>
      <c r="H57" s="640">
        <f>IF(I57&lt;&gt;0,"*",)</f>
        <v>0</v>
      </c>
      <c r="I57" s="640">
        <f>IF($E$174="CL",1.2,IF($E$174="KCL",1.1,IF($E$174="CLM",1.3,IF($E$174="MRN",1.15,0))))</f>
        <v>0</v>
      </c>
      <c r="J57" s="640">
        <f>IF(K57&lt;&gt;0,"*",)</f>
        <v>0</v>
      </c>
      <c r="K57" s="640">
        <f>IF(AND($C$156=3,OR($C$154="dd",$C$154="GT",$C$154="TL",$C$154="HTKT")),(1+55%),IF(AND($C$156=3,$C$154="CN"),(1+60%),0))</f>
        <v>0</v>
      </c>
      <c r="L57" s="640"/>
      <c r="M57" s="640"/>
      <c r="N57" s="641">
        <v>0.1</v>
      </c>
      <c r="O57" s="642"/>
      <c r="P57" s="644">
        <f>1634207300/1.1</f>
        <v>1485642999.9999998</v>
      </c>
      <c r="Q57" s="644">
        <f>ROUND(P57*10%,0)</f>
        <v>148564300</v>
      </c>
      <c r="R57" s="645">
        <f>SUM(P57:Q57)</f>
        <v>1634207299.9999998</v>
      </c>
      <c r="S57" s="320" t="s">
        <v>133</v>
      </c>
      <c r="T57" s="447">
        <f>R57/1.1*5%/1.05</f>
        <v>70744904.761904746</v>
      </c>
      <c r="U57" s="359" t="e">
        <f>GTT*1.0183/100*1.55*1.05*1.2</f>
        <v>#REF!</v>
      </c>
    </row>
    <row r="58" spans="1:21" ht="42.75" hidden="1" outlineLevel="1">
      <c r="A58" s="337" t="e">
        <f>IF(P58&lt;&gt;0,MAX($A$23:A56)+1,)</f>
        <v>#REF!</v>
      </c>
      <c r="B58" s="388" t="s">
        <v>145</v>
      </c>
      <c r="C58" s="337" t="e">
        <f t="shared" si="1"/>
        <v>#REF!</v>
      </c>
      <c r="D58" s="414" t="s">
        <v>146</v>
      </c>
      <c r="E58" s="444" t="e">
        <f>IF(AND(I58&lt;&gt;0,K58&lt;&gt;0),F58&amp;G58&amp;H58&amp;I58&amp;J58&amp;K58&amp;"*(1+10%)",IF(AND(I58&lt;&gt;0,K58=0),F58&amp;G58&amp;H58&amp;I58&amp;"*(1+10%)",IF(AND(I58=0,K58&lt;&gt;0),F58&amp;G58&amp;J58&amp;K58&amp;"*1,2*(1+10%)*1,05",IF(AND(I58=0,K58=0),F58&amp;G58&amp;"*(1+10%)*1,05"))))</f>
        <v>#REF!</v>
      </c>
      <c r="F58" s="439" t="e">
        <f>NS!I25</f>
        <v>#REF!</v>
      </c>
      <c r="G58" s="440" t="s">
        <v>104</v>
      </c>
      <c r="H58" s="441">
        <f>IF(I58&lt;&gt;0,"*",)</f>
        <v>0</v>
      </c>
      <c r="I58" s="441">
        <f>IF($E$174="CL",1.2,IF($E$174="KCL",1.1,IF($E$174="CLM",1.3,IF($E$174="MRN",1.15,0))))</f>
        <v>0</v>
      </c>
      <c r="J58" s="441">
        <f>IF(K58&lt;&gt;0,"*",)</f>
        <v>0</v>
      </c>
      <c r="K58" s="441">
        <f>IF(AND($C$156=3,OR($C$154="dd",$C$154="GT",$C$154="TL",$C$154="HTKT")),(1+55%),IF(AND($C$156=3,$C$154="CN"),(1+60%),0))</f>
        <v>0</v>
      </c>
      <c r="L58" s="441"/>
      <c r="M58" s="441"/>
      <c r="N58" s="442">
        <v>0.1</v>
      </c>
      <c r="O58" s="443"/>
      <c r="P58" s="435" t="e">
        <f>ROUND((SUM($P$12:$P$12))*IF(AND(I58&lt;&gt;0,K58&lt;&gt;0),F58/100*I58*K58,IF(AND(I58&lt;&gt;0,K58=0),F58/100*I58,IF(AND(I58=0,K58&lt;&gt;0),F58/100*K58,IF(AND(I58=0,K58=0),F58/100))))*1.05,0)*0</f>
        <v>#REF!</v>
      </c>
      <c r="Q58" s="435" t="e">
        <f t="shared" si="8"/>
        <v>#REF!</v>
      </c>
      <c r="R58" s="392" t="e">
        <f t="shared" si="9"/>
        <v>#REF!</v>
      </c>
      <c r="S58" s="320" t="s">
        <v>133</v>
      </c>
      <c r="T58" s="447" t="e">
        <f>R58/1.1*5%/1.05</f>
        <v>#REF!</v>
      </c>
      <c r="U58" s="359" t="e">
        <f>GTT*1.0183/100*1.55*1.05*1.2</f>
        <v>#REF!</v>
      </c>
    </row>
    <row r="59" spans="1:21" ht="28.5" hidden="1" outlineLevel="1">
      <c r="A59" s="337">
        <f>IF(P59&lt;&gt;0,MAX($A$23:A58)+1,)</f>
        <v>0</v>
      </c>
      <c r="B59" s="388" t="s">
        <v>147</v>
      </c>
      <c r="C59" s="337">
        <f t="shared" si="1"/>
        <v>0</v>
      </c>
      <c r="D59" s="414" t="s">
        <v>148</v>
      </c>
      <c r="E59" s="444" t="e">
        <f>IF(AND(I59&lt;&gt;0,K59&lt;&gt;0),F59&amp;G59&amp;H59&amp;I59&amp;J59&amp;K59&amp;"*(1+10%)",IF(AND(I59&lt;&gt;0,K59=0),F59&amp;G59&amp;H59&amp;I59&amp;"*(1+10%)",IF(AND(I59=0,K59&lt;&gt;0),F59&amp;G59&amp;J59&amp;K59&amp;"*(1+10%)*1,05",IF(AND(I59=0,K59=0),F59&amp;G59&amp;"*(1+10%)*1,05"))))</f>
        <v>#REF!</v>
      </c>
      <c r="F59" s="439" t="e">
        <f>NS!I27</f>
        <v>#REF!</v>
      </c>
      <c r="G59" s="440" t="s">
        <v>104</v>
      </c>
      <c r="H59" s="441">
        <f>IF(I59&lt;&gt;0,"*",)</f>
        <v>0</v>
      </c>
      <c r="I59" s="441">
        <f>IF($E$174="CL",1.2,IF($E$174="KCL",1.1,IF($E$174="CLM",1.3,IF($E$174="MRN",1.15,0))))</f>
        <v>0</v>
      </c>
      <c r="J59" s="441">
        <f>IF(K59&lt;&gt;0,"*",)</f>
        <v>0</v>
      </c>
      <c r="K59" s="441"/>
      <c r="L59" s="441"/>
      <c r="M59" s="441"/>
      <c r="N59" s="442">
        <v>0.1</v>
      </c>
      <c r="O59" s="443"/>
      <c r="P59" s="435"/>
      <c r="Q59" s="435">
        <f t="shared" si="8"/>
        <v>0</v>
      </c>
      <c r="R59" s="392">
        <f t="shared" si="9"/>
        <v>0</v>
      </c>
      <c r="S59" s="320" t="s">
        <v>133</v>
      </c>
      <c r="T59" s="447">
        <f>R59/1.1/1.05*3.5%</f>
        <v>0</v>
      </c>
    </row>
    <row r="60" spans="1:21" ht="28.5" hidden="1" outlineLevel="1">
      <c r="A60" s="337">
        <f>IF(P60&lt;&gt;0,MAX($A$23:A59)+1,)</f>
        <v>0</v>
      </c>
      <c r="B60" s="388" t="str">
        <f>NS!B28</f>
        <v>Chi phí thiết kế di dời, thiết kế biện pháp tháo dỡ công trình</v>
      </c>
      <c r="C60" s="337">
        <f t="shared" si="1"/>
        <v>0</v>
      </c>
      <c r="D60" s="436" t="s">
        <v>123</v>
      </c>
      <c r="E60" s="449"/>
      <c r="F60" s="439"/>
      <c r="G60" s="440"/>
      <c r="H60" s="441"/>
      <c r="I60" s="441"/>
      <c r="J60" s="441"/>
      <c r="K60" s="441"/>
      <c r="L60" s="441"/>
      <c r="M60" s="441"/>
      <c r="N60" s="442"/>
      <c r="O60" s="443"/>
      <c r="P60" s="450"/>
      <c r="Q60" s="435"/>
      <c r="R60" s="392"/>
    </row>
    <row r="61" spans="1:21" hidden="1" outlineLevel="1">
      <c r="A61" s="337">
        <f>IF(P61&lt;&gt;0,MAX($A$23:A60)+1,)</f>
        <v>0</v>
      </c>
      <c r="B61" s="388" t="str">
        <f>NS!B29</f>
        <v>Chi phí thiết kế chế tạo thiết bị</v>
      </c>
      <c r="C61" s="337">
        <f t="shared" si="1"/>
        <v>0</v>
      </c>
      <c r="D61" s="436" t="s">
        <v>123</v>
      </c>
      <c r="E61" s="449"/>
      <c r="F61" s="439"/>
      <c r="G61" s="440"/>
      <c r="H61" s="441"/>
      <c r="I61" s="441"/>
      <c r="J61" s="441"/>
      <c r="K61" s="441"/>
      <c r="L61" s="441"/>
      <c r="M61" s="441"/>
      <c r="N61" s="442"/>
      <c r="O61" s="443"/>
      <c r="P61" s="450"/>
      <c r="Q61" s="450"/>
      <c r="R61" s="392"/>
    </row>
    <row r="62" spans="1:21" hidden="1" outlineLevel="1">
      <c r="A62" s="337">
        <f>IF(P62&lt;&gt;0,MAX($A$23:A61)+1,)</f>
        <v>0</v>
      </c>
      <c r="B62" s="388" t="str">
        <f>NS!B30</f>
        <v>Chi phí làm mô hình công trình</v>
      </c>
      <c r="C62" s="337">
        <f t="shared" si="1"/>
        <v>0</v>
      </c>
      <c r="D62" s="436" t="s">
        <v>123</v>
      </c>
      <c r="E62" s="449"/>
      <c r="F62" s="439"/>
      <c r="G62" s="440"/>
      <c r="H62" s="441"/>
      <c r="I62" s="441"/>
      <c r="J62" s="441"/>
      <c r="K62" s="441"/>
      <c r="L62" s="441"/>
      <c r="M62" s="441"/>
      <c r="N62" s="442"/>
      <c r="O62" s="443"/>
      <c r="P62" s="450"/>
      <c r="Q62" s="450"/>
      <c r="R62" s="392"/>
    </row>
    <row r="63" spans="1:21" ht="28.5" hidden="1" outlineLevel="1">
      <c r="A63" s="337">
        <f>IF(P63&lt;&gt;0,MAX($A$23:A62)+1,)</f>
        <v>0</v>
      </c>
      <c r="B63" s="388" t="str">
        <f>NS!B31</f>
        <v>Chi phí mô tả địa chất trong quá trình xây dựng công trình thủy điện</v>
      </c>
      <c r="C63" s="337">
        <f t="shared" si="1"/>
        <v>0</v>
      </c>
      <c r="D63" s="436" t="s">
        <v>123</v>
      </c>
      <c r="E63" s="449"/>
      <c r="F63" s="439"/>
      <c r="G63" s="440"/>
      <c r="H63" s="441"/>
      <c r="I63" s="441"/>
      <c r="J63" s="441"/>
      <c r="K63" s="441"/>
      <c r="L63" s="441"/>
      <c r="M63" s="441"/>
      <c r="N63" s="442"/>
      <c r="O63" s="443"/>
      <c r="P63" s="450"/>
      <c r="Q63" s="450"/>
      <c r="R63" s="392"/>
    </row>
    <row r="64" spans="1:21" hidden="1" outlineLevel="1">
      <c r="A64" s="337">
        <f>IF(P64&lt;&gt;0,MAX($A$23:A63)+1,)</f>
        <v>0</v>
      </c>
      <c r="B64" s="388" t="str">
        <f>NS!B32</f>
        <v>Chi phí mua bản quyền trí tuệ thiết kế</v>
      </c>
      <c r="C64" s="337">
        <f t="shared" si="1"/>
        <v>0</v>
      </c>
      <c r="D64" s="436" t="s">
        <v>123</v>
      </c>
      <c r="E64" s="449"/>
      <c r="F64" s="439"/>
      <c r="G64" s="440"/>
      <c r="H64" s="441"/>
      <c r="I64" s="441"/>
      <c r="J64" s="441"/>
      <c r="K64" s="441"/>
      <c r="L64" s="441"/>
      <c r="M64" s="441"/>
      <c r="N64" s="442"/>
      <c r="O64" s="443"/>
      <c r="P64" s="450"/>
      <c r="Q64" s="450"/>
      <c r="R64" s="392"/>
    </row>
    <row r="65" spans="1:21" hidden="1" outlineLevel="1">
      <c r="A65" s="337">
        <f>IF(P65&lt;&gt;0,MAX($A$23:A64)+1,)</f>
        <v>0</v>
      </c>
      <c r="B65" s="388" t="s">
        <v>149</v>
      </c>
      <c r="C65" s="337">
        <f t="shared" si="1"/>
        <v>0</v>
      </c>
      <c r="D65" s="429" t="s">
        <v>150</v>
      </c>
      <c r="E65" s="437"/>
      <c r="F65" s="439"/>
      <c r="G65" s="440"/>
      <c r="H65" s="441"/>
      <c r="I65" s="441"/>
      <c r="J65" s="441"/>
      <c r="K65" s="441"/>
      <c r="L65" s="441"/>
      <c r="M65" s="441"/>
      <c r="N65" s="442"/>
      <c r="O65" s="443"/>
      <c r="P65" s="435"/>
      <c r="Q65" s="435">
        <f>ROUND(P65*10%,0)</f>
        <v>0</v>
      </c>
      <c r="R65" s="392">
        <f>SUM(P65:Q65)</f>
        <v>0</v>
      </c>
    </row>
    <row r="66" spans="1:21" s="657" customFormat="1" ht="28.5" outlineLevel="1">
      <c r="A66" s="635" t="e">
        <f>IF(P66&lt;&gt;0,MAX($A$23:A65)+1,)</f>
        <v>#REF!</v>
      </c>
      <c r="B66" s="634" t="s">
        <v>151</v>
      </c>
      <c r="C66" s="635" t="e">
        <f t="shared" si="1"/>
        <v>#REF!</v>
      </c>
      <c r="D66" s="652" t="s">
        <v>146</v>
      </c>
      <c r="E66" s="653" t="e">
        <f>IF(AND(I66&lt;&gt;0,K66&lt;&gt;0),F66&amp;G66&amp;H66&amp;I66&amp;J66&amp;K66&amp;"*(1+10%)",IF(AND(I66&lt;&gt;0,K66=0),F66&amp;G66&amp;H66&amp;I66&amp;"*(1+10%)",IF(AND(I66=0,K66&lt;&gt;0),F66&amp;G66&amp;J66&amp;K66&amp;"*(1+10%)",IF(AND(I66=0,K66=0),F66&amp;G66&amp;"*(1+10%)"))))</f>
        <v>#REF!</v>
      </c>
      <c r="F66" s="638" t="e">
        <f>NS!I33</f>
        <v>#REF!</v>
      </c>
      <c r="G66" s="639" t="s">
        <v>104</v>
      </c>
      <c r="H66" s="640">
        <f t="shared" ref="H66:H71" si="10">IF(I66&lt;&gt;0,"*",)</f>
        <v>0</v>
      </c>
      <c r="I66" s="640"/>
      <c r="J66" s="640">
        <f t="shared" ref="J66:J71" si="11">IF(K66&lt;&gt;0,"*",)</f>
        <v>0</v>
      </c>
      <c r="K66" s="640"/>
      <c r="L66" s="640"/>
      <c r="M66" s="640"/>
      <c r="N66" s="641">
        <v>0.1</v>
      </c>
      <c r="O66" s="642"/>
      <c r="P66" s="644" t="e">
        <f>ROUND((SUM($P$12:$P$12))*IF(AND(I66&lt;&gt;0,K66&lt;&gt;0),F66/100*I66*K66,IF(AND(I66&lt;&gt;0,K66=0),F66/100*I66,IF(AND(I66=0,K66&lt;&gt;0),F66/100*K66,IF(AND(I66=0,K66=0),F66/100)))),0)</f>
        <v>#REF!</v>
      </c>
      <c r="Q66" s="644" t="e">
        <f>ROUND(P66*10%,0)</f>
        <v>#REF!</v>
      </c>
      <c r="R66" s="645" t="e">
        <f t="shared" ref="R66:R87" si="12">SUM(P66:Q66)</f>
        <v>#REF!</v>
      </c>
      <c r="U66" s="658"/>
    </row>
    <row r="67" spans="1:21" ht="28.5" hidden="1" outlineLevel="1">
      <c r="A67" s="337" t="e">
        <f>IF(P67&lt;&gt;0,MAX($A$23:A66)+1,)</f>
        <v>#REF!</v>
      </c>
      <c r="B67" s="388" t="str">
        <f>NS!B34</f>
        <v>Chi phí thẩm tra thiết kế bản vẽ thi công công trình (TK 3 bước)</v>
      </c>
      <c r="C67" s="337" t="e">
        <f t="shared" si="1"/>
        <v>#REF!</v>
      </c>
      <c r="D67" s="448" t="e">
        <f>"Tạm tính = "&amp;C66&amp;"*40%*(1+10%)"</f>
        <v>#REF!</v>
      </c>
      <c r="E67" s="449"/>
      <c r="F67" s="439">
        <f>NS!I34</f>
        <v>0</v>
      </c>
      <c r="G67" s="440" t="s">
        <v>104</v>
      </c>
      <c r="H67" s="441">
        <f t="shared" si="10"/>
        <v>0</v>
      </c>
      <c r="I67" s="441">
        <f>IF($E$174="CL",1.2,IF($E$174="KCL",1.1,IF($E$174="CLM",1.3,IF($E$174="MRN",1.15,0))))</f>
        <v>0</v>
      </c>
      <c r="J67" s="441">
        <f t="shared" si="11"/>
        <v>0</v>
      </c>
      <c r="K67" s="441"/>
      <c r="L67" s="441"/>
      <c r="M67" s="441"/>
      <c r="N67" s="442"/>
      <c r="O67" s="443"/>
      <c r="P67" s="435" t="e">
        <f>P66*40%*0</f>
        <v>#REF!</v>
      </c>
      <c r="Q67" s="435" t="e">
        <f>ROUND(P67*10%,0)</f>
        <v>#REF!</v>
      </c>
      <c r="R67" s="392" t="e">
        <f t="shared" si="12"/>
        <v>#REF!</v>
      </c>
    </row>
    <row r="68" spans="1:21" s="657" customFormat="1" ht="28.5" outlineLevel="1">
      <c r="A68" s="635" t="e">
        <f>IF(P68&lt;&gt;0,MAX($A$23:A67)+1,)</f>
        <v>#REF!</v>
      </c>
      <c r="B68" s="634" t="s">
        <v>152</v>
      </c>
      <c r="C68" s="635" t="e">
        <f t="shared" si="1"/>
        <v>#REF!</v>
      </c>
      <c r="D68" s="652" t="s">
        <v>146</v>
      </c>
      <c r="E68" s="653" t="e">
        <f>IF(AND(I68&lt;&gt;0,K68&lt;&gt;0),F68&amp;G68&amp;H68&amp;I68&amp;J68&amp;K68&amp;"*(1+10%)",IF(AND(I68&lt;&gt;0,K68=0),F68&amp;G68&amp;H68&amp;I68&amp;"*(1+10%)",IF(AND(I68=0,K68&lt;&gt;0),F68&amp;G68&amp;J68&amp;K68&amp;"*(1+10%)",IF(AND(I68=0,K68=0),F68&amp;G68&amp;"*(1+10%)"))))</f>
        <v>#REF!</v>
      </c>
      <c r="F68" s="638" t="e">
        <f>NS!I35</f>
        <v>#REF!</v>
      </c>
      <c r="G68" s="639" t="s">
        <v>104</v>
      </c>
      <c r="H68" s="640">
        <f t="shared" si="10"/>
        <v>0</v>
      </c>
      <c r="I68" s="640"/>
      <c r="J68" s="640">
        <f t="shared" si="11"/>
        <v>0</v>
      </c>
      <c r="K68" s="640"/>
      <c r="L68" s="640"/>
      <c r="M68" s="640"/>
      <c r="N68" s="641">
        <v>0.1</v>
      </c>
      <c r="O68" s="642"/>
      <c r="P68" s="644" t="e">
        <f>ROUND((SUM($P$12:$P$12))*IF(AND(I68&lt;&gt;0,K68&lt;&gt;0),F68/100*I68*K68,IF(AND(I68&lt;&gt;0,K68=0),F68/100*I68,IF(AND(I68=0,K68&lt;&gt;0),F68/100*K68,IF(AND(I68=0,K68=0),F68/100)))),0)</f>
        <v>#REF!</v>
      </c>
      <c r="Q68" s="644" t="e">
        <f t="shared" ref="Q68:Q88" si="13">ROUND(P68*10%,0)</f>
        <v>#REF!</v>
      </c>
      <c r="R68" s="645" t="e">
        <f t="shared" si="12"/>
        <v>#REF!</v>
      </c>
      <c r="U68" s="658"/>
    </row>
    <row r="69" spans="1:21" ht="42.75" hidden="1" outlineLevel="1">
      <c r="A69" s="337">
        <f>IF(P69&lt;&gt;0,MAX($A$23:A68)+1,)</f>
        <v>0</v>
      </c>
      <c r="B69" s="388" t="s">
        <v>153</v>
      </c>
      <c r="C69" s="337">
        <f t="shared" si="1"/>
        <v>0</v>
      </c>
      <c r="D69" s="414" t="s">
        <v>148</v>
      </c>
      <c r="E69" s="444" t="e">
        <f>IF(AND(I69&lt;&gt;0,K69&lt;&gt;0),F69&amp;G69&amp;H69&amp;I69&amp;J69&amp;K69&amp;"*(1+10%)",IF(AND(I69&lt;&gt;0,K69=0),F69&amp;G69&amp;H69&amp;I69&amp;"*(1+10%)",IF(AND(I69=0,K69&lt;&gt;0),F69&amp;G69&amp;J69&amp;K69&amp;"*(1+10%)*1,05",IF(AND(I69=0,K69=0),F69&amp;G69&amp;"*(1+10%)*1,05  (min 2.000.000đ)"))))</f>
        <v>#REF!</v>
      </c>
      <c r="F69" s="439" t="e">
        <f>NS!I36</f>
        <v>#REF!</v>
      </c>
      <c r="G69" s="440" t="s">
        <v>104</v>
      </c>
      <c r="H69" s="441">
        <f t="shared" si="10"/>
        <v>0</v>
      </c>
      <c r="I69" s="441">
        <f>IF($E$174="CL",1.2,IF($E$174="KCL",1.1,IF($E$174="CLM",1.3,IF($E$174="MRN",1.15,0))))</f>
        <v>0</v>
      </c>
      <c r="J69" s="441">
        <f t="shared" si="11"/>
        <v>0</v>
      </c>
      <c r="K69" s="441"/>
      <c r="L69" s="441"/>
      <c r="M69" s="441"/>
      <c r="N69" s="442">
        <v>0.1</v>
      </c>
      <c r="O69" s="443"/>
      <c r="P69" s="435"/>
      <c r="Q69" s="435">
        <f>ROUND(P69*10%,0)</f>
        <v>0</v>
      </c>
      <c r="R69" s="392">
        <f t="shared" si="12"/>
        <v>0</v>
      </c>
      <c r="S69" s="359"/>
    </row>
    <row r="70" spans="1:21" ht="28.5" hidden="1" outlineLevel="1">
      <c r="A70" s="337">
        <f>IF(P70&lt;&gt;0,MAX($A$23:A69)+1,)</f>
        <v>0</v>
      </c>
      <c r="B70" s="388" t="s">
        <v>154</v>
      </c>
      <c r="C70" s="337">
        <f t="shared" si="1"/>
        <v>0</v>
      </c>
      <c r="D70" s="414" t="s">
        <v>148</v>
      </c>
      <c r="E70" s="444" t="e">
        <f>IF(AND(I70&lt;&gt;0,K70&lt;&gt;0),F70&amp;G70&amp;H70&amp;I70&amp;J70&amp;K70&amp;"*(1+10%)",IF(AND(I70&lt;&gt;0,K70=0),F70&amp;G70&amp;H70&amp;I70&amp;"*(1+10%)",IF(AND(I70=0,K70&lt;&gt;0),F70&amp;G70&amp;J70&amp;K70&amp;"*(1+10%)*1,05",IF(AND(I70=0,K70=0),F70&amp;G70&amp;"*(1+10%)*1,05  (min 2.000.000đ)"))))</f>
        <v>#REF!</v>
      </c>
      <c r="F70" s="439" t="e">
        <f>NS!I37</f>
        <v>#REF!</v>
      </c>
      <c r="G70" s="440" t="s">
        <v>104</v>
      </c>
      <c r="H70" s="441">
        <f t="shared" si="10"/>
        <v>0</v>
      </c>
      <c r="I70" s="441">
        <f>IF($E$174="CL",1.2,IF($E$174="KCL",1.1,IF($E$174="CLM",1.3,IF($E$174="MRN",1.15,0))))</f>
        <v>0</v>
      </c>
      <c r="J70" s="441">
        <f t="shared" si="11"/>
        <v>0</v>
      </c>
      <c r="K70" s="441"/>
      <c r="L70" s="441"/>
      <c r="M70" s="441"/>
      <c r="N70" s="442">
        <v>0.1</v>
      </c>
      <c r="O70" s="443"/>
      <c r="P70" s="435"/>
      <c r="Q70" s="435">
        <f>ROUND(P70*10%,0)</f>
        <v>0</v>
      </c>
      <c r="R70" s="392">
        <f t="shared" si="12"/>
        <v>0</v>
      </c>
    </row>
    <row r="71" spans="1:21" hidden="1" outlineLevel="1">
      <c r="A71" s="337">
        <f>IF(P71&lt;&gt;0,MAX($A$23:A70)+1,)</f>
        <v>0</v>
      </c>
      <c r="B71" s="388" t="s">
        <v>155</v>
      </c>
      <c r="C71" s="337">
        <f>IF(P71&lt;&gt;0,"Gtv"&amp;A71,)</f>
        <v>0</v>
      </c>
      <c r="D71" s="429" t="s">
        <v>110</v>
      </c>
      <c r="E71" s="430"/>
      <c r="F71" s="439">
        <v>0.18779999999999999</v>
      </c>
      <c r="G71" s="440" t="s">
        <v>104</v>
      </c>
      <c r="H71" s="441">
        <f t="shared" si="10"/>
        <v>0</v>
      </c>
      <c r="I71" s="441"/>
      <c r="J71" s="441">
        <f t="shared" si="11"/>
        <v>0</v>
      </c>
      <c r="K71" s="441"/>
      <c r="L71" s="441"/>
      <c r="M71" s="441"/>
      <c r="N71" s="442">
        <v>0.1</v>
      </c>
      <c r="O71" s="443"/>
      <c r="P71" s="435"/>
      <c r="Q71" s="435">
        <f>ROUND(P71*10%,0)</f>
        <v>0</v>
      </c>
      <c r="R71" s="392">
        <f>SUM(P71:Q71)</f>
        <v>0</v>
      </c>
    </row>
    <row r="72" spans="1:21" hidden="1" outlineLevel="1">
      <c r="A72" s="337">
        <f>IF(P72&lt;&gt;0,MAX($A$23:A71)+1,)</f>
        <v>0</v>
      </c>
      <c r="B72" s="393" t="str">
        <f>NS!B38</f>
        <v>Chi phí đưa tim, mốc thiết kế công trình ra thực địa</v>
      </c>
      <c r="C72" s="337">
        <f t="shared" si="1"/>
        <v>0</v>
      </c>
      <c r="D72" s="429" t="s">
        <v>110</v>
      </c>
      <c r="E72" s="449"/>
      <c r="F72" s="451"/>
      <c r="G72" s="451"/>
      <c r="H72" s="452"/>
      <c r="I72" s="452"/>
      <c r="J72" s="452"/>
      <c r="K72" s="453"/>
      <c r="L72" s="453"/>
      <c r="M72" s="453"/>
      <c r="N72" s="453"/>
      <c r="O72" s="453"/>
      <c r="P72" s="435">
        <f>2500000/1.1*0</f>
        <v>0</v>
      </c>
      <c r="Q72" s="435">
        <f t="shared" si="13"/>
        <v>0</v>
      </c>
      <c r="R72" s="392">
        <f t="shared" si="12"/>
        <v>0</v>
      </c>
    </row>
    <row r="73" spans="1:21" ht="57" hidden="1" outlineLevel="1">
      <c r="A73" s="337" t="e">
        <f>IF(P73&lt;&gt;0,MAX($A$23:A72)+1,)</f>
        <v>#REF!</v>
      </c>
      <c r="B73" s="388" t="s">
        <v>156</v>
      </c>
      <c r="C73" s="337" t="e">
        <f t="shared" si="1"/>
        <v>#REF!</v>
      </c>
      <c r="D73" s="414" t="s">
        <v>157</v>
      </c>
      <c r="E73" s="444" t="s">
        <v>139</v>
      </c>
      <c r="F73" s="439">
        <v>0.14849999999999999</v>
      </c>
      <c r="G73" s="440" t="s">
        <v>104</v>
      </c>
      <c r="H73" s="441">
        <f>IF(I73&lt;&gt;0,"*",)</f>
        <v>0</v>
      </c>
      <c r="I73" s="441"/>
      <c r="J73" s="441">
        <f>IF(K73&lt;&gt;0,"*",)</f>
        <v>0</v>
      </c>
      <c r="K73" s="441"/>
      <c r="L73" s="441"/>
      <c r="M73" s="441"/>
      <c r="N73" s="442">
        <v>0.1</v>
      </c>
      <c r="O73" s="443"/>
      <c r="P73" s="435" t="e">
        <f>IF((GXD+GTB)*(0.2%)&lt;=2000000,2000000,(IF(AND((GXD+GTB)*(0.2%)&lt;100000000,(GXD+GTB)*(0.2%)&gt;2000000),(GXD+GTB)*(0.2%),100000000)))*0</f>
        <v>#REF!</v>
      </c>
      <c r="Q73" s="435" t="e">
        <f t="shared" si="13"/>
        <v>#REF!</v>
      </c>
      <c r="R73" s="392" t="e">
        <f t="shared" si="12"/>
        <v>#REF!</v>
      </c>
      <c r="S73" s="185" t="e">
        <f>GXD+GTB</f>
        <v>#REF!</v>
      </c>
      <c r="T73" s="359" t="e">
        <f>S73*0.15%</f>
        <v>#REF!</v>
      </c>
    </row>
    <row r="74" spans="1:21" ht="42.75" hidden="1" outlineLevel="1">
      <c r="A74" s="337" t="e">
        <f>IF(P74&lt;&gt;0,MAX($A$23:A73)+1,)</f>
        <v>#REF!</v>
      </c>
      <c r="B74" s="388" t="str">
        <f>NS!B40</f>
        <v>Chi phí lập hồ sơ mời thầu, đánh giá hồ sơ dự thầu cung cấp vật tư thiết bị (Quyết định số 957/QĐ-BXD ngày 29-09-2009)</v>
      </c>
      <c r="C74" s="337" t="e">
        <f t="shared" si="1"/>
        <v>#REF!</v>
      </c>
      <c r="D74" s="414" t="s">
        <v>158</v>
      </c>
      <c r="E74" s="444" t="str">
        <f>IF(AND(I74&lt;&gt;0,K74&lt;&gt;0),F74&amp;G74&amp;H74&amp;I74&amp;J74&amp;K74&amp;"*(1+10%)",IF(AND(I74&lt;&gt;0,K74=0),F74&amp;G74&amp;H74&amp;I74&amp;"*(1+10%)",IF(AND(I74=0,K74&lt;&gt;0),F74&amp;G74&amp;J74&amp;K74&amp;"*(1+10%)",IF(AND(I74=0,K74=0),F74&amp;G74&amp;"*(1+10%)"))))</f>
        <v>0,287%*(1+10%)</v>
      </c>
      <c r="F74" s="439">
        <v>0.28699999999999998</v>
      </c>
      <c r="G74" s="440" t="s">
        <v>104</v>
      </c>
      <c r="H74" s="441">
        <f>IF(I74&lt;&gt;0,"*",)</f>
        <v>0</v>
      </c>
      <c r="I74" s="441"/>
      <c r="J74" s="441">
        <f>IF(K74&lt;&gt;0,"*",)</f>
        <v>0</v>
      </c>
      <c r="K74" s="441"/>
      <c r="L74" s="441"/>
      <c r="M74" s="441"/>
      <c r="N74" s="442">
        <v>0.1</v>
      </c>
      <c r="O74" s="443"/>
      <c r="P74" s="435" t="e">
        <f>ROUND(SUM(TBL)*IF(AND(I74&lt;&gt;0,K74&lt;&gt;0),F74/100*I74*K74,IF(AND(I74&lt;&gt;0,K74=0),F74/100*I74,IF(AND(I74=0,K74&lt;&gt;0),F74/100*K74,IF(AND(I74=0,K74=0),F74/100)))),0)*0</f>
        <v>#REF!</v>
      </c>
      <c r="Q74" s="435" t="e">
        <f t="shared" si="13"/>
        <v>#REF!</v>
      </c>
      <c r="R74" s="392" t="e">
        <f t="shared" si="12"/>
        <v>#REF!</v>
      </c>
    </row>
    <row r="75" spans="1:21" ht="71.25" hidden="1" outlineLevel="1">
      <c r="A75" s="337" t="e">
        <f>IF(P75&lt;&gt;0,MAX($A$23:A74)+1,)</f>
        <v>#REF!</v>
      </c>
      <c r="B75" s="388" t="s">
        <v>159</v>
      </c>
      <c r="C75" s="337" t="e">
        <f t="shared" si="1"/>
        <v>#REF!</v>
      </c>
      <c r="D75" s="414" t="s">
        <v>157</v>
      </c>
      <c r="E75" s="454">
        <v>1E-3</v>
      </c>
      <c r="F75" s="439">
        <v>0.05</v>
      </c>
      <c r="G75" s="440" t="s">
        <v>104</v>
      </c>
      <c r="H75" s="441">
        <f>IF(I75&lt;&gt;0,"*",)</f>
        <v>0</v>
      </c>
      <c r="I75" s="441"/>
      <c r="J75" s="441">
        <f>IF(K75&lt;&gt;0,"*",)</f>
        <v>0</v>
      </c>
      <c r="K75" s="441"/>
      <c r="L75" s="441"/>
      <c r="M75" s="441"/>
      <c r="N75" s="442">
        <v>0.1</v>
      </c>
      <c r="O75" s="443"/>
      <c r="P75" s="435" t="e">
        <f>IF((GXD+GTB)*(0.1%)&lt;=2000000,2000000,(IF(AND((GXD+GTB)*(0.1%)&lt;100000000,(GXD+GTB)*(0.1%)&gt;2000000),(GXD+GTB)*(0.1%),100000000)))*0</f>
        <v>#REF!</v>
      </c>
      <c r="Q75" s="435" t="e">
        <f>ROUND(P75*10%,0)*0</f>
        <v>#REF!</v>
      </c>
      <c r="R75" s="392" t="e">
        <f>SUM(P75:Q75)</f>
        <v>#REF!</v>
      </c>
    </row>
    <row r="76" spans="1:21" ht="28.5" hidden="1" outlineLevel="1">
      <c r="A76" s="337">
        <f>IF(P76&lt;&gt;0,MAX($A$23:A75)+1,)</f>
        <v>0</v>
      </c>
      <c r="B76" s="388" t="s">
        <v>160</v>
      </c>
      <c r="C76" s="337"/>
      <c r="D76" s="429" t="s">
        <v>161</v>
      </c>
      <c r="E76" s="430"/>
      <c r="F76" s="451"/>
      <c r="G76" s="451"/>
      <c r="H76" s="452"/>
      <c r="I76" s="452"/>
      <c r="J76" s="452"/>
      <c r="K76" s="453"/>
      <c r="L76" s="453"/>
      <c r="M76" s="453"/>
      <c r="N76" s="453"/>
      <c r="O76" s="453"/>
      <c r="P76" s="435">
        <f>46180000/1.1*0</f>
        <v>0</v>
      </c>
      <c r="Q76" s="435">
        <f>ROUND(P76*10%,0)</f>
        <v>0</v>
      </c>
      <c r="R76" s="392">
        <f>SUM(P76:Q76)</f>
        <v>0</v>
      </c>
    </row>
    <row r="77" spans="1:21" ht="28.5" hidden="1" outlineLevel="1">
      <c r="A77" s="337">
        <f>IF(P77&lt;&gt;0,MAX($A$23:A76)+1,)</f>
        <v>0</v>
      </c>
      <c r="B77" s="388" t="s">
        <v>162</v>
      </c>
      <c r="C77" s="337"/>
      <c r="D77" s="429" t="s">
        <v>161</v>
      </c>
      <c r="E77" s="430"/>
      <c r="F77" s="451"/>
      <c r="G77" s="451"/>
      <c r="H77" s="452"/>
      <c r="I77" s="452"/>
      <c r="J77" s="452"/>
      <c r="K77" s="453"/>
      <c r="L77" s="453"/>
      <c r="M77" s="453"/>
      <c r="N77" s="453"/>
      <c r="O77" s="453"/>
      <c r="P77" s="435">
        <f>36641000/1.1*0</f>
        <v>0</v>
      </c>
      <c r="Q77" s="435">
        <f>ROUND(P77*10%,0)</f>
        <v>0</v>
      </c>
      <c r="R77" s="392">
        <f>SUM(P77:Q77)</f>
        <v>0</v>
      </c>
    </row>
    <row r="78" spans="1:21" ht="42.75" hidden="1" outlineLevel="1">
      <c r="A78" s="337" t="e">
        <f>IF(P78&lt;&gt;0,MAX($A$23:A77)+1,)</f>
        <v>#REF!</v>
      </c>
      <c r="B78" s="388" t="s">
        <v>163</v>
      </c>
      <c r="C78" s="337" t="e">
        <f t="shared" si="1"/>
        <v>#REF!</v>
      </c>
      <c r="D78" s="414" t="s">
        <v>146</v>
      </c>
      <c r="E78" s="444" t="e">
        <f>IF(AND(I78&lt;&gt;0,K78&lt;&gt;0),F78&amp;G78&amp;H78&amp;I78&amp;J78&amp;K78&amp;"*(1+10%)",IF(AND(I78&lt;&gt;0,K78=0),F78&amp;G78&amp;H78&amp;I78&amp;"*(1+10%)",IF(AND(I78=0,K78&lt;&gt;0),F78&amp;G78&amp;J78&amp;K78&amp;"*(1+10%)",IF(AND(I78=0,K78=0),F78&amp;G78&amp;"*(1+10%)"))))</f>
        <v>#REF!</v>
      </c>
      <c r="F78" s="439" t="e">
        <f>NS!I39</f>
        <v>#REF!</v>
      </c>
      <c r="G78" s="440" t="s">
        <v>104</v>
      </c>
      <c r="H78" s="441">
        <f t="shared" ref="H78:H84" si="14">IF(I78&lt;&gt;0,"*",)</f>
        <v>0</v>
      </c>
      <c r="I78" s="441"/>
      <c r="J78" s="441">
        <f t="shared" ref="J78:J84" si="15">IF(K78&lt;&gt;0,"*",)</f>
        <v>0</v>
      </c>
      <c r="K78" s="441"/>
      <c r="L78" s="441"/>
      <c r="M78" s="441"/>
      <c r="N78" s="442">
        <v>0.1</v>
      </c>
      <c r="O78" s="443"/>
      <c r="P78" s="435" t="e">
        <f>ROUND((SUM($P$12:$P$12))*IF(AND(I78&lt;&gt;0,K78&lt;&gt;0),F78/100*I78*K78,IF(AND(I78&lt;&gt;0,K78=0),F78/100*I78,IF(AND(I78=0,K78&lt;&gt;0),F78/100*K78,IF(AND(I78=0,K78=0),F78/100)))),0)*0</f>
        <v>#REF!</v>
      </c>
      <c r="Q78" s="435" t="e">
        <f t="shared" si="13"/>
        <v>#REF!</v>
      </c>
      <c r="R78" s="392" t="e">
        <f t="shared" si="12"/>
        <v>#REF!</v>
      </c>
    </row>
    <row r="79" spans="1:21" ht="42.75" hidden="1" outlineLevel="1">
      <c r="A79" s="337" t="e">
        <f>IF(P79&lt;&gt;0,MAX($A$23:A78)+1,)</f>
        <v>#REF!</v>
      </c>
      <c r="B79" s="388" t="str">
        <f>NS!B40</f>
        <v>Chi phí lập hồ sơ mời thầu, đánh giá hồ sơ dự thầu cung cấp vật tư thiết bị (Quyết định số 957/QĐ-BXD ngày 29-09-2009)</v>
      </c>
      <c r="C79" s="337" t="e">
        <f t="shared" si="1"/>
        <v>#REF!</v>
      </c>
      <c r="D79" s="414" t="s">
        <v>158</v>
      </c>
      <c r="E79" s="444" t="e">
        <f>IF(AND(I79&lt;&gt;0,K79&lt;&gt;0),F79&amp;G79&amp;H79&amp;I79&amp;J79&amp;K79&amp;"*(1+10%)",IF(AND(I79&lt;&gt;0,K79=0),F79&amp;G79&amp;H79&amp;I79&amp;"*(1+10%)",IF(AND(I79=0,K79&lt;&gt;0),F79&amp;G79&amp;J79&amp;K79&amp;"*(1+10%)",IF(AND(I79=0,K79=0),F79&amp;G79&amp;"*(1+10%)"))))</f>
        <v>#REF!</v>
      </c>
      <c r="F79" s="439" t="e">
        <f>NS!I40</f>
        <v>#REF!</v>
      </c>
      <c r="G79" s="440" t="s">
        <v>104</v>
      </c>
      <c r="H79" s="441">
        <f t="shared" si="14"/>
        <v>0</v>
      </c>
      <c r="I79" s="441"/>
      <c r="J79" s="441">
        <f t="shared" si="15"/>
        <v>0</v>
      </c>
      <c r="K79" s="441"/>
      <c r="L79" s="441"/>
      <c r="M79" s="441"/>
      <c r="N79" s="442">
        <v>0.1</v>
      </c>
      <c r="O79" s="443"/>
      <c r="P79" s="435" t="e">
        <f>ROUND(SUM(TBL)*IF(AND(I79&lt;&gt;0,K79&lt;&gt;0),F79/100*I79*K79,IF(AND(I79&lt;&gt;0,K79=0),F79/100*I79,IF(AND(I79=0,K79&lt;&gt;0),F79/100*K79,IF(AND(I79=0,K79=0),F79/100)))),0)*0</f>
        <v>#REF!</v>
      </c>
      <c r="Q79" s="435" t="e">
        <f t="shared" si="13"/>
        <v>#REF!</v>
      </c>
      <c r="R79" s="392" t="e">
        <f t="shared" si="12"/>
        <v>#REF!</v>
      </c>
    </row>
    <row r="80" spans="1:21" ht="28.5" hidden="1" outlineLevel="1">
      <c r="A80" s="337" t="e">
        <f>IF(P80&lt;&gt;0,MAX($A$23:A79)+1,)</f>
        <v>#REF!</v>
      </c>
      <c r="B80" s="388" t="s">
        <v>164</v>
      </c>
      <c r="C80" s="337" t="e">
        <f>IF(P80&lt;&gt;0,"Gtv"&amp;A80,)</f>
        <v>#REF!</v>
      </c>
      <c r="D80" s="414" t="s">
        <v>103</v>
      </c>
      <c r="E80" s="444" t="str">
        <f>IF(AND(I80&lt;&gt;0,K80&lt;&gt;0),F80&amp;G80&amp;H80&amp;I80&amp;J80&amp;K80&amp;"*(1+10%)",IF(AND(I80&lt;&gt;0,K80=0),F80&amp;G80&amp;H80&amp;I80&amp;"*(1+10%)",IF(AND(I80=0,K80&lt;&gt;0),F80&amp;G80&amp;J80&amp;K80&amp;"*(1+10%)",IF(AND(I80=0,K80=0),F80&amp;G80&amp;"*(1+10%)"))))</f>
        <v>0,05%*(1+10%)</v>
      </c>
      <c r="F80" s="439">
        <v>0.05</v>
      </c>
      <c r="G80" s="440" t="s">
        <v>104</v>
      </c>
      <c r="H80" s="441">
        <f t="shared" si="14"/>
        <v>0</v>
      </c>
      <c r="I80" s="441"/>
      <c r="J80" s="441">
        <f t="shared" si="15"/>
        <v>0</v>
      </c>
      <c r="K80" s="441"/>
      <c r="L80" s="441"/>
      <c r="M80" s="441"/>
      <c r="N80" s="442">
        <v>0.1</v>
      </c>
      <c r="O80" s="443"/>
      <c r="P80" s="435" t="e">
        <f>ROUND(SUM(GTT,TBL)*IF(AND(I80&lt;&gt;0,K80&lt;&gt;0),F80/100*I80*K80,IF(AND(I80&lt;&gt;0,K80=0),F80/100*I80,IF(AND(I80=0,K80&lt;&gt;0),F80/100*K80,IF(AND(I80=0,K80=0),F80/100)))),0)*0</f>
        <v>#REF!</v>
      </c>
      <c r="Q80" s="435" t="e">
        <f>ROUND(P80*10%,0)</f>
        <v>#REF!</v>
      </c>
      <c r="R80" s="392" t="e">
        <f>SUM(P80:Q80)</f>
        <v>#REF!</v>
      </c>
    </row>
    <row r="81" spans="1:21" ht="28.5" hidden="1" outlineLevel="1">
      <c r="A81" s="337" t="e">
        <f>IF(P81&lt;&gt;0,MAX($A$23:A80)+1,)</f>
        <v>#REF!</v>
      </c>
      <c r="B81" s="388" t="s">
        <v>165</v>
      </c>
      <c r="C81" s="337" t="e">
        <f>IF(P81&lt;&gt;0,"Gtv"&amp;A81,)</f>
        <v>#REF!</v>
      </c>
      <c r="D81" s="414" t="e">
        <f>"("&amp;C82&amp;"+"&amp;C84&amp;")*"</f>
        <v>#REF!</v>
      </c>
      <c r="E81" s="444" t="s">
        <v>139</v>
      </c>
      <c r="F81" s="439"/>
      <c r="G81" s="440"/>
      <c r="H81" s="441"/>
      <c r="I81" s="441"/>
      <c r="J81" s="441"/>
      <c r="K81" s="441"/>
      <c r="L81" s="441"/>
      <c r="M81" s="441"/>
      <c r="N81" s="442"/>
      <c r="O81" s="443"/>
      <c r="P81" s="435" t="e">
        <f>0.2%*(P84+P82)*0</f>
        <v>#REF!</v>
      </c>
      <c r="Q81" s="435" t="e">
        <f>ROUND(P81*10%,0)</f>
        <v>#REF!</v>
      </c>
      <c r="R81" s="392" t="e">
        <f>SUM(P81:Q81)</f>
        <v>#REF!</v>
      </c>
      <c r="S81" s="320"/>
    </row>
    <row r="82" spans="1:21" s="657" customFormat="1" ht="28.5" outlineLevel="1">
      <c r="A82" s="635" t="e">
        <f>IF(P82&lt;&gt;0,MAX($A$23:A81)+1,)</f>
        <v>#REF!</v>
      </c>
      <c r="B82" s="634" t="s">
        <v>166</v>
      </c>
      <c r="C82" s="635" t="e">
        <f>IF(P82&lt;&gt;0,"Gtv"&amp;A82,)</f>
        <v>#REF!</v>
      </c>
      <c r="D82" s="652" t="s">
        <v>146</v>
      </c>
      <c r="E82" s="653" t="e">
        <f>IF(AND(I82&lt;&gt;0,K82&lt;&gt;0),F82&amp;G82&amp;H82&amp;I82&amp;J82&amp;K82&amp;"*(1+10%)",IF(AND(I82&lt;&gt;0,K82=0),F82&amp;G82&amp;H82&amp;I82&amp;"*(1+10%)",IF(AND(I82=0,K82&lt;&gt;0),F82&amp;G82&amp;J82&amp;K82&amp;"*(1+10%)",IF(AND(I82=0,K82=0),F82&amp;G82&amp;"*(1+10%)"))))</f>
        <v>#REF!</v>
      </c>
      <c r="F82" s="638" t="e">
        <f>NS!I41</f>
        <v>#REF!</v>
      </c>
      <c r="G82" s="639" t="s">
        <v>104</v>
      </c>
      <c r="H82" s="640">
        <f t="shared" si="14"/>
        <v>0</v>
      </c>
      <c r="I82" s="640"/>
      <c r="J82" s="640">
        <f t="shared" si="15"/>
        <v>0</v>
      </c>
      <c r="K82" s="640"/>
      <c r="L82" s="640"/>
      <c r="M82" s="640"/>
      <c r="N82" s="641">
        <v>0.1</v>
      </c>
      <c r="O82" s="642"/>
      <c r="P82" s="644" t="e">
        <f>ROUND((SUM($P$12:$P$12))*IF(AND(I82&lt;&gt;0,K82&lt;&gt;0),F82/100*I82*K82,IF(AND(I82&lt;&gt;0,K82=0),F82/100*I82,IF(AND(I82=0,K82&lt;&gt;0),F82/100*K82,IF(AND(I82=0,K82=0),F82/100)))),0)</f>
        <v>#REF!</v>
      </c>
      <c r="Q82" s="644" t="e">
        <f t="shared" si="13"/>
        <v>#REF!</v>
      </c>
      <c r="R82" s="645" t="e">
        <f>SUM(P82:Q82)</f>
        <v>#REF!</v>
      </c>
      <c r="S82" s="658" t="e">
        <f>ROUND(SUM($P$12:$P$13)*IF(AND(I82&lt;&gt;0,K82&lt;&gt;0),F82/100*I82*K82,IF(AND(I82&lt;&gt;0,K82=0),F82/100*I82,IF(AND(I82=0,K82&lt;&gt;0),F82/100*K82,IF(AND(I82=0,K82=0),F82/100)))),0)</f>
        <v>#REF!</v>
      </c>
      <c r="U82" s="658"/>
    </row>
    <row r="83" spans="1:21" ht="28.5" hidden="1" outlineLevel="1">
      <c r="A83" s="337">
        <f>IF(P83&lt;&gt;0,MAX($A$23:A82)+1,)</f>
        <v>0</v>
      </c>
      <c r="B83" s="388" t="s">
        <v>167</v>
      </c>
      <c r="C83" s="337">
        <f>IF(P83&lt;&gt;0,"Gtv"&amp;A83,)</f>
        <v>0</v>
      </c>
      <c r="D83" s="414" t="str">
        <f>C52&amp;"*"</f>
        <v>0*</v>
      </c>
      <c r="E83" s="444" t="s">
        <v>168</v>
      </c>
      <c r="F83" s="439" t="e">
        <f>NS!I42</f>
        <v>#REF!</v>
      </c>
      <c r="G83" s="440" t="s">
        <v>104</v>
      </c>
      <c r="H83" s="441">
        <f t="shared" si="14"/>
        <v>0</v>
      </c>
      <c r="I83" s="441"/>
      <c r="J83" s="441">
        <f t="shared" si="15"/>
        <v>0</v>
      </c>
      <c r="K83" s="441"/>
      <c r="L83" s="441"/>
      <c r="M83" s="441"/>
      <c r="N83" s="442">
        <v>0.1</v>
      </c>
      <c r="O83" s="443"/>
      <c r="P83" s="435">
        <f>P52*2.806%</f>
        <v>0</v>
      </c>
      <c r="Q83" s="435">
        <f t="shared" si="13"/>
        <v>0</v>
      </c>
      <c r="R83" s="392">
        <f>SUM(P83:Q83)</f>
        <v>0</v>
      </c>
      <c r="S83" s="359" t="e">
        <f>ROUND(SUM($P$12:$P$13)*IF(AND(I83&lt;&gt;0,K83&lt;&gt;0),F83/100*I83*K83,IF(AND(I83&lt;&gt;0,K83=0),F83/100*I83,IF(AND(I83=0,K83&lt;&gt;0),F83/100*K83,IF(AND(I83=0,K83=0),F83/100)))),0)</f>
        <v>#REF!</v>
      </c>
    </row>
    <row r="84" spans="1:21" s="657" customFormat="1" ht="28.5" outlineLevel="1">
      <c r="A84" s="635" t="e">
        <f>IF(P84&lt;&gt;0,MAX($A$23:A83)+1,)</f>
        <v>#REF!</v>
      </c>
      <c r="B84" s="634" t="s">
        <v>169</v>
      </c>
      <c r="C84" s="635" t="e">
        <f t="shared" si="1"/>
        <v>#REF!</v>
      </c>
      <c r="D84" s="652" t="s">
        <v>158</v>
      </c>
      <c r="E84" s="653" t="e">
        <f>IF(AND(I84&lt;&gt;0,K84&lt;&gt;0),F84&amp;G84&amp;H84&amp;I84&amp;J84&amp;K84&amp;"*(1+10%)",IF(AND(I84&lt;&gt;0,K84=0),F84&amp;G84&amp;H84&amp;I84&amp;"*(1+10%)",IF(AND(I84=0,K84&lt;&gt;0),F84&amp;G84&amp;J84&amp;K84&amp;"*(1+10%)",IF(AND(I84=0,K84=0),F84&amp;G84&amp;"*(1+10%)"))))</f>
        <v>#REF!</v>
      </c>
      <c r="F84" s="638" t="e">
        <f>NS!I42</f>
        <v>#REF!</v>
      </c>
      <c r="G84" s="639" t="s">
        <v>104</v>
      </c>
      <c r="H84" s="640">
        <f t="shared" si="14"/>
        <v>0</v>
      </c>
      <c r="I84" s="640"/>
      <c r="J84" s="640">
        <f t="shared" si="15"/>
        <v>0</v>
      </c>
      <c r="K84" s="640"/>
      <c r="L84" s="640"/>
      <c r="M84" s="640"/>
      <c r="N84" s="641">
        <v>0.1</v>
      </c>
      <c r="O84" s="642"/>
      <c r="P84" s="644" t="e">
        <f>ROUND((SUM(TBL))*IF(AND(I84&lt;&gt;0,K84&lt;&gt;0),F84/100*I84*K84,IF(AND(I84&lt;&gt;0,K84=0),F84/100*I84,IF(AND(I84=0,K84&lt;&gt;0),F84/100*K84,IF(AND(I84=0,K84=0),F84/100)))),0)</f>
        <v>#REF!</v>
      </c>
      <c r="Q84" s="644" t="e">
        <f t="shared" si="13"/>
        <v>#REF!</v>
      </c>
      <c r="R84" s="645" t="e">
        <f t="shared" si="12"/>
        <v>#REF!</v>
      </c>
      <c r="U84" s="658"/>
    </row>
    <row r="85" spans="1:21" s="657" customFormat="1" outlineLevel="1">
      <c r="A85" s="635" t="e">
        <f>IF(P85&lt;&gt;0,MAX($A$23:A84)+1,)</f>
        <v>#REF!</v>
      </c>
      <c r="B85" s="634" t="s">
        <v>170</v>
      </c>
      <c r="C85" s="635" t="e">
        <f t="shared" si="1"/>
        <v>#REF!</v>
      </c>
      <c r="D85" s="652" t="s">
        <v>171</v>
      </c>
      <c r="E85" s="659" t="s">
        <v>172</v>
      </c>
      <c r="F85" s="638"/>
      <c r="G85" s="639"/>
      <c r="H85" s="640"/>
      <c r="I85" s="640"/>
      <c r="J85" s="640"/>
      <c r="K85" s="640"/>
      <c r="L85" s="640"/>
      <c r="M85" s="640"/>
      <c r="N85" s="641"/>
      <c r="O85" s="642"/>
      <c r="P85" s="643" t="e">
        <f>TBL*0.23%</f>
        <v>#REF!</v>
      </c>
      <c r="Q85" s="644" t="e">
        <f t="shared" si="13"/>
        <v>#REF!</v>
      </c>
      <c r="R85" s="645" t="e">
        <f>SUM(P85:Q85)</f>
        <v>#REF!</v>
      </c>
      <c r="S85" s="657">
        <f>103950000+11117000</f>
        <v>115067000</v>
      </c>
      <c r="T85" s="657">
        <f>103950000+11117000</f>
        <v>115067000</v>
      </c>
    </row>
    <row r="86" spans="1:21" hidden="1" outlineLevel="1">
      <c r="A86" s="337" t="e">
        <f>IF(P86&lt;&gt;0,MAX($A$23:A85)+1,)</f>
        <v>#REF!</v>
      </c>
      <c r="B86" s="388" t="s">
        <v>173</v>
      </c>
      <c r="C86" s="337" t="e">
        <f t="shared" si="1"/>
        <v>#REF!</v>
      </c>
      <c r="D86" s="414" t="s">
        <v>174</v>
      </c>
      <c r="E86" s="444" t="e">
        <f>"("&amp;C32&amp;"+"&amp;C82&amp;"+"&amp;C84&amp;")"</f>
        <v>#REF!</v>
      </c>
      <c r="F86" s="439"/>
      <c r="G86" s="440"/>
      <c r="H86" s="441"/>
      <c r="I86" s="441"/>
      <c r="J86" s="441"/>
      <c r="K86" s="441"/>
      <c r="L86" s="441"/>
      <c r="M86" s="441"/>
      <c r="N86" s="442"/>
      <c r="O86" s="443"/>
      <c r="P86" s="435" t="e">
        <f>20%*(P32+P82+P84)*0</f>
        <v>#REF!</v>
      </c>
      <c r="Q86" s="435" t="e">
        <f>ROUND(P86*10%,0)</f>
        <v>#REF!</v>
      </c>
      <c r="R86" s="392" t="e">
        <f>SUM(P86:Q86)</f>
        <v>#REF!</v>
      </c>
    </row>
    <row r="87" spans="1:21" hidden="1" outlineLevel="1">
      <c r="A87" s="337">
        <f>IF(P87&lt;&gt;0,MAX($A$23:A84)+1,)</f>
        <v>0</v>
      </c>
      <c r="B87" s="393" t="str">
        <f>NS!B43</f>
        <v>Chi phí lập báo cáo đánh giá tác động môi trường</v>
      </c>
      <c r="C87" s="394">
        <f t="shared" si="1"/>
        <v>0</v>
      </c>
      <c r="D87" s="429" t="s">
        <v>110</v>
      </c>
      <c r="E87" s="437"/>
      <c r="F87" s="432"/>
      <c r="G87" s="432"/>
      <c r="H87" s="455"/>
      <c r="I87" s="455"/>
      <c r="J87" s="455"/>
      <c r="K87" s="407"/>
      <c r="L87" s="407"/>
      <c r="M87" s="407"/>
      <c r="N87" s="407"/>
      <c r="O87" s="407"/>
      <c r="P87" s="435">
        <f>35000000*0</f>
        <v>0</v>
      </c>
      <c r="Q87" s="435">
        <f t="shared" si="13"/>
        <v>0</v>
      </c>
      <c r="R87" s="392">
        <f t="shared" si="12"/>
        <v>0</v>
      </c>
    </row>
    <row r="88" spans="1:21" hidden="1" outlineLevel="1">
      <c r="A88" s="337">
        <f>IF(P88&lt;&gt;0,MAX($A$23:A87)+1,)</f>
        <v>0</v>
      </c>
      <c r="B88" s="393" t="s">
        <v>175</v>
      </c>
      <c r="C88" s="394">
        <f>IF(P88&lt;&gt;0,"Gtv"&amp;A88,)</f>
        <v>0</v>
      </c>
      <c r="D88" s="429" t="s">
        <v>95</v>
      </c>
      <c r="E88" s="437"/>
      <c r="F88" s="432"/>
      <c r="G88" s="432"/>
      <c r="H88" s="455"/>
      <c r="I88" s="455"/>
      <c r="J88" s="455"/>
      <c r="K88" s="407"/>
      <c r="L88" s="407"/>
      <c r="M88" s="407"/>
      <c r="N88" s="407"/>
      <c r="O88" s="407"/>
      <c r="P88" s="435"/>
      <c r="Q88" s="435">
        <f t="shared" si="13"/>
        <v>0</v>
      </c>
      <c r="R88" s="392">
        <f>SUM(P88:Q88)</f>
        <v>0</v>
      </c>
    </row>
    <row r="89" spans="1:21" hidden="1" outlineLevel="1">
      <c r="A89" s="337">
        <f>IF(P89&lt;&gt;0,MAX($A$23:A88)+1,)</f>
        <v>0</v>
      </c>
      <c r="B89" s="393" t="str">
        <f>NS!B44</f>
        <v>Chi phí lập báo cáo đánh giá khoán sản trong khu vực ảnh hưởng của công trình</v>
      </c>
      <c r="C89" s="394">
        <f t="shared" si="1"/>
        <v>0</v>
      </c>
      <c r="D89" s="436" t="s">
        <v>123</v>
      </c>
      <c r="E89" s="437"/>
      <c r="F89" s="432"/>
      <c r="G89" s="432"/>
      <c r="H89" s="455"/>
      <c r="I89" s="455"/>
      <c r="J89" s="455"/>
      <c r="K89" s="407"/>
      <c r="L89" s="407"/>
      <c r="M89" s="407"/>
      <c r="N89" s="407"/>
      <c r="O89" s="407"/>
      <c r="P89" s="402"/>
      <c r="Q89" s="402"/>
      <c r="R89" s="392"/>
    </row>
    <row r="90" spans="1:21" hidden="1" outlineLevel="1">
      <c r="A90" s="337">
        <f>IF(P90&lt;&gt;0,MAX($A$23:A89)+1,)</f>
        <v>0</v>
      </c>
      <c r="B90" s="393" t="str">
        <f>NS!B45</f>
        <v>Chi phí lập định mức xây dựng công trình</v>
      </c>
      <c r="C90" s="394">
        <f t="shared" si="1"/>
        <v>0</v>
      </c>
      <c r="D90" s="436" t="s">
        <v>123</v>
      </c>
      <c r="E90" s="437"/>
      <c r="F90" s="432"/>
      <c r="G90" s="432"/>
      <c r="H90" s="455"/>
      <c r="I90" s="455"/>
      <c r="J90" s="455"/>
      <c r="K90" s="407"/>
      <c r="L90" s="407"/>
      <c r="M90" s="407"/>
      <c r="N90" s="407"/>
      <c r="O90" s="407"/>
      <c r="P90" s="402"/>
      <c r="Q90" s="402"/>
      <c r="R90" s="392"/>
    </row>
    <row r="91" spans="1:21" hidden="1" outlineLevel="1">
      <c r="A91" s="337">
        <f>IF(P91&lt;&gt;0,MAX($A$23:A90)+1,)</f>
        <v>0</v>
      </c>
      <c r="B91" s="393" t="str">
        <f>NS!B46</f>
        <v>Chi phí lập đơn giá xây dựng công trình</v>
      </c>
      <c r="C91" s="394">
        <f t="shared" si="1"/>
        <v>0</v>
      </c>
      <c r="D91" s="436" t="s">
        <v>123</v>
      </c>
      <c r="E91" s="437"/>
      <c r="F91" s="432"/>
      <c r="G91" s="432"/>
      <c r="H91" s="455"/>
      <c r="I91" s="455"/>
      <c r="J91" s="455"/>
      <c r="K91" s="407"/>
      <c r="L91" s="407"/>
      <c r="M91" s="407"/>
      <c r="N91" s="407"/>
      <c r="O91" s="407"/>
      <c r="P91" s="402"/>
      <c r="Q91" s="402"/>
      <c r="R91" s="392"/>
    </row>
    <row r="92" spans="1:21" hidden="1" outlineLevel="1">
      <c r="A92" s="337">
        <f>IF(P92&lt;&gt;0,MAX($A$23:A91)+1,)</f>
        <v>0</v>
      </c>
      <c r="B92" s="393" t="str">
        <f>NS!B47</f>
        <v>Chi phí quản lý chi phí đầu tư xây dựng</v>
      </c>
      <c r="C92" s="394">
        <f t="shared" si="1"/>
        <v>0</v>
      </c>
      <c r="D92" s="436" t="s">
        <v>123</v>
      </c>
      <c r="E92" s="437"/>
      <c r="F92" s="432"/>
      <c r="G92" s="432"/>
      <c r="H92" s="455"/>
      <c r="I92" s="455"/>
      <c r="J92" s="455"/>
      <c r="K92" s="407"/>
      <c r="L92" s="407"/>
      <c r="M92" s="407"/>
      <c r="N92" s="407"/>
      <c r="O92" s="407"/>
      <c r="P92" s="402"/>
      <c r="Q92" s="402"/>
      <c r="R92" s="392"/>
    </row>
    <row r="93" spans="1:21" hidden="1" outlineLevel="1">
      <c r="A93" s="337">
        <f>IF(P93&lt;&gt;0,MAX($A$23:A92)+1,)</f>
        <v>0</v>
      </c>
      <c r="B93" s="393" t="str">
        <f>NS!B48</f>
        <v>Chi phí tư vấn quản lý dự án</v>
      </c>
      <c r="C93" s="394">
        <f t="shared" si="1"/>
        <v>0</v>
      </c>
      <c r="D93" s="436" t="s">
        <v>123</v>
      </c>
      <c r="E93" s="437"/>
      <c r="F93" s="432"/>
      <c r="G93" s="432"/>
      <c r="H93" s="455"/>
      <c r="I93" s="455"/>
      <c r="J93" s="455"/>
      <c r="K93" s="407"/>
      <c r="L93" s="407"/>
      <c r="M93" s="407"/>
      <c r="N93" s="407"/>
      <c r="O93" s="407"/>
      <c r="P93" s="402"/>
      <c r="Q93" s="402"/>
      <c r="R93" s="392"/>
    </row>
    <row r="94" spans="1:21" hidden="1" outlineLevel="1">
      <c r="A94" s="337">
        <f>IF(P94&lt;&gt;0,MAX($A$23:A93)+1,)</f>
        <v>0</v>
      </c>
      <c r="B94" s="393" t="str">
        <f>NS!B49</f>
        <v>Chi phí kiểm tra chất lượng vật liệu theo yêu cầu của chủ đầu tư</v>
      </c>
      <c r="C94" s="394">
        <f t="shared" si="1"/>
        <v>0</v>
      </c>
      <c r="D94" s="429" t="s">
        <v>110</v>
      </c>
      <c r="E94" s="437"/>
      <c r="F94" s="432"/>
      <c r="G94" s="432"/>
      <c r="H94" s="455"/>
      <c r="I94" s="455"/>
      <c r="J94" s="455"/>
      <c r="K94" s="407"/>
      <c r="L94" s="407"/>
      <c r="M94" s="407"/>
      <c r="N94" s="407"/>
      <c r="O94" s="407"/>
      <c r="P94" s="402"/>
      <c r="Q94" s="402"/>
      <c r="R94" s="392"/>
    </row>
    <row r="95" spans="1:21" ht="28.5" hidden="1" outlineLevel="1">
      <c r="A95" s="337" t="e">
        <f>IF(P95&lt;&gt;0,MAX($A$23:A94)+1,)</f>
        <v>#REF!</v>
      </c>
      <c r="B95" s="388" t="s">
        <v>176</v>
      </c>
      <c r="C95" s="394" t="e">
        <f t="shared" si="1"/>
        <v>#REF!</v>
      </c>
      <c r="D95" s="448" t="e">
        <f>C82&amp;"*35%*(1+10%)*60%"</f>
        <v>#REF!</v>
      </c>
      <c r="E95" s="456"/>
      <c r="F95" s="432"/>
      <c r="G95" s="432"/>
      <c r="H95" s="455"/>
      <c r="I95" s="455"/>
      <c r="J95" s="455"/>
      <c r="K95" s="407"/>
      <c r="L95" s="407"/>
      <c r="M95" s="407"/>
      <c r="N95" s="407"/>
      <c r="O95" s="407"/>
      <c r="P95" s="435" t="e">
        <f>(P82)*35%*60%*0</f>
        <v>#REF!</v>
      </c>
      <c r="Q95" s="435" t="e">
        <f>ROUND(P95*10%,0)</f>
        <v>#REF!</v>
      </c>
      <c r="R95" s="392" t="e">
        <f>SUM(P95:Q95)</f>
        <v>#REF!</v>
      </c>
    </row>
    <row r="96" spans="1:21" ht="42.75" hidden="1" outlineLevel="1">
      <c r="A96" s="337" t="e">
        <f>IF(P96&lt;&gt;0,MAX($A$23:A95)+1,)</f>
        <v>#REF!</v>
      </c>
      <c r="B96" s="388" t="str">
        <f>NS!B51</f>
        <v>Chi phí kiểm tra và chứng nhận sự phù hợp về chất lượng công trình (TT 11/2005/TT-BXD ngày 14-07-2005)</v>
      </c>
      <c r="C96" s="394" t="e">
        <f t="shared" si="1"/>
        <v>#REF!</v>
      </c>
      <c r="D96" s="436" t="e">
        <f>"("&amp;C82&amp;"+"&amp;C84&amp;")*20%*(1+10%)"</f>
        <v>#REF!</v>
      </c>
      <c r="E96" s="437"/>
      <c r="F96" s="432"/>
      <c r="G96" s="432"/>
      <c r="H96" s="455"/>
      <c r="I96" s="455"/>
      <c r="J96" s="455"/>
      <c r="K96" s="407"/>
      <c r="L96" s="407"/>
      <c r="M96" s="407"/>
      <c r="N96" s="407"/>
      <c r="O96" s="407"/>
      <c r="P96" s="435" t="e">
        <f>(P82+P84)*20%*0</f>
        <v>#REF!</v>
      </c>
      <c r="Q96" s="435" t="e">
        <f>ROUND(P96*10%,0)</f>
        <v>#REF!</v>
      </c>
      <c r="R96" s="392" t="e">
        <f>SUM(P96:Q96)</f>
        <v>#REF!</v>
      </c>
    </row>
    <row r="97" spans="1:21" ht="28.5" hidden="1" outlineLevel="1">
      <c r="A97" s="394">
        <f>IF(P97&lt;&gt;0,MAX($A$23:A96)+1,)</f>
        <v>0</v>
      </c>
      <c r="B97" s="388" t="str">
        <f>NS!B52</f>
        <v>Chi phí quy đổi vốn đầu tư xây dựng công trình đối với dự án có thời gian thực hiện trên 3 năm</v>
      </c>
      <c r="C97" s="394">
        <f t="shared" si="1"/>
        <v>0</v>
      </c>
      <c r="D97" s="436" t="s">
        <v>123</v>
      </c>
      <c r="E97" s="437"/>
      <c r="F97" s="432"/>
      <c r="G97" s="432"/>
      <c r="H97" s="455"/>
      <c r="I97" s="455"/>
      <c r="J97" s="455"/>
      <c r="K97" s="407"/>
      <c r="L97" s="407"/>
      <c r="M97" s="407"/>
      <c r="N97" s="407"/>
      <c r="O97" s="407"/>
      <c r="P97" s="435"/>
      <c r="Q97" s="402"/>
      <c r="R97" s="392">
        <f>SUM(P97:Q97)</f>
        <v>0</v>
      </c>
    </row>
    <row r="98" spans="1:21" hidden="1" outlineLevel="1">
      <c r="A98" s="394" t="e">
        <f>IF(P98&lt;&gt;0,MAX($A$23:A97)+1,)</f>
        <v>#REF!</v>
      </c>
      <c r="B98" s="393" t="str">
        <f>NS!B53</f>
        <v>Chi phí thực hiện các công việc tư vấn khác</v>
      </c>
      <c r="C98" s="394" t="e">
        <f t="shared" si="1"/>
        <v>#REF!</v>
      </c>
      <c r="D98" s="436" t="s">
        <v>177</v>
      </c>
      <c r="E98" s="437"/>
      <c r="F98" s="432"/>
      <c r="G98" s="432"/>
      <c r="H98" s="455"/>
      <c r="I98" s="455"/>
      <c r="J98" s="455"/>
      <c r="K98" s="407"/>
      <c r="L98" s="407"/>
      <c r="M98" s="407"/>
      <c r="N98" s="407"/>
      <c r="O98" s="407"/>
      <c r="P98" s="435" t="e">
        <f>(GTT+P13)*1.5%*0</f>
        <v>#REF!</v>
      </c>
      <c r="Q98" s="435" t="e">
        <f>ROUND(P98*10%,0)</f>
        <v>#REF!</v>
      </c>
      <c r="R98" s="392" t="e">
        <f>SUM(P98:Q98)</f>
        <v>#REF!</v>
      </c>
    </row>
    <row r="99" spans="1:21" collapsed="1">
      <c r="A99" s="380" t="e">
        <f>IF(MAX(O11,O15,O20,O23,O24)=1,"II - ",IF(MAX(O11,O15,O20,O23,O24)=2,"III - ",IF(MAX(O11,O15,O20,O23,O24)=3,"IV - ",IF(MAX(O11,O15,O20,O23,O24)=4,"V - ",IF(MAX(O11,O15,O20,O23,O24)=5,"VI - ")))))</f>
        <v>#REF!</v>
      </c>
      <c r="B99" s="381" t="s">
        <v>178</v>
      </c>
      <c r="C99" s="333" t="s">
        <v>179</v>
      </c>
      <c r="D99" s="422" t="e">
        <f>IF(MAX($A$101:$A$139)=0,"Không có chi phí tư vấn đầu tư xây dựng",IF(MAX($A$101:$A$139)=1,"Gk"&amp;MAX($A$101:$A$139),IF(MAX($A$101:$A$139)=2,"Gk1+Gk"&amp;MAX($A$101:$A$139),IF(MAX($A$101:$A$139)&gt;2,"Gk1 + … + Gk"&amp;MAX($A$101:$A$139)))))</f>
        <v>#REF!</v>
      </c>
      <c r="E99" s="423"/>
      <c r="F99" s="425"/>
      <c r="G99" s="425"/>
      <c r="H99" s="457"/>
      <c r="I99" s="457"/>
      <c r="J99" s="457"/>
      <c r="K99" s="333"/>
      <c r="L99" s="333"/>
      <c r="M99" s="333"/>
      <c r="N99" s="333"/>
      <c r="O99" s="333" t="e">
        <f>IF(P99&lt;&gt;0,MAX($O$9:$O98)+1,0)</f>
        <v>#REF!</v>
      </c>
      <c r="P99" s="385" t="e">
        <f>SUM(P101:P139)</f>
        <v>#REF!</v>
      </c>
      <c r="Q99" s="385" t="e">
        <f>SUM(Q101:Q139)</f>
        <v>#REF!</v>
      </c>
      <c r="R99" s="383" t="e">
        <f>Q99+P99</f>
        <v>#REF!</v>
      </c>
      <c r="S99" s="359">
        <v>67934000</v>
      </c>
    </row>
    <row r="100" spans="1:21" hidden="1" outlineLevel="1">
      <c r="A100" s="394" t="e">
        <f>IF(P100&lt;&gt;0,MAX($A$99:A99)+1,)</f>
        <v>#REF!</v>
      </c>
      <c r="B100" s="393" t="str">
        <f>NS!B55</f>
        <v>Chi phí thẩm tra tổng mức đầu tư (TT109/2000/TT-BTC)</v>
      </c>
      <c r="C100" s="394" t="e">
        <f>IF(P100&lt;&gt;0,"Gk"&amp;A100,)</f>
        <v>#REF!</v>
      </c>
      <c r="D100" s="458" t="s">
        <v>132</v>
      </c>
      <c r="E100" s="459" t="str">
        <f>IF(AND(I100&lt;&gt;0,K100&lt;&gt;0),F100&amp;G100&amp;H100&amp;I100&amp;J100&amp;K100&amp;"*(1+10%)",IF(AND(I100&lt;&gt;0,K100=0),F100&amp;G100&amp;H100&amp;I100&amp;"*(1+10%)",IF(AND(I100=0,K100&lt;&gt;0),F100&amp;G100&amp;J100&amp;K100&amp;"*(1+10%)",IF(AND(I100=0,K100=0),F100&amp;G100&amp;"*(1+10%)"))))</f>
        <v>0,0106%*(1+10%)</v>
      </c>
      <c r="F100" s="431">
        <f>NS!I55</f>
        <v>1.06E-2</v>
      </c>
      <c r="G100" s="445" t="s">
        <v>104</v>
      </c>
      <c r="H100" s="433">
        <f>IF(I100&lt;&gt;0,"*",)</f>
        <v>0</v>
      </c>
      <c r="I100" s="433"/>
      <c r="J100" s="433">
        <f>IF(K100&lt;&gt;0,"*",)</f>
        <v>0</v>
      </c>
      <c r="K100" s="433"/>
      <c r="L100" s="433"/>
      <c r="M100" s="433"/>
      <c r="N100" s="434">
        <v>0.1</v>
      </c>
      <c r="O100" s="446"/>
      <c r="P100" s="438" t="e">
        <f>ROUND(SUM($P$12:$P$13,$P$15)*IF(AND(I100&lt;&gt;0,K100&lt;&gt;0),F100/100*I100*K100,IF(AND(I100&lt;&gt;0,K100=0),F100/100*I100,IF(AND(I100=0,K100&lt;&gt;0),F100/100*K100,IF(AND(I100=0,K100=0),F100/100)))),0)*0</f>
        <v>#REF!</v>
      </c>
      <c r="Q100" s="438" t="e">
        <f>ROUND(P100*10%,0)</f>
        <v>#REF!</v>
      </c>
      <c r="R100" s="322" t="e">
        <f t="shared" ref="R100:R114" si="16">SUM(P100:Q100)</f>
        <v>#REF!</v>
      </c>
      <c r="S100" s="320"/>
      <c r="T100" s="447">
        <f>S100*F100/100*K100*1.05</f>
        <v>0</v>
      </c>
    </row>
    <row r="101" spans="1:21" ht="28.5" outlineLevel="1">
      <c r="A101" s="337" t="e">
        <f>IF(P101&lt;&gt;0,MAX($A$99:A100)+1,)</f>
        <v>#REF!</v>
      </c>
      <c r="B101" s="393" t="str">
        <f>NS!B56</f>
        <v>Chi phí rà phá bom mìn, vật nổ</v>
      </c>
      <c r="C101" s="337" t="e">
        <f>IF(P101&lt;&gt;0,"Gk"&amp;A101,)</f>
        <v>#REF!</v>
      </c>
      <c r="D101" s="636" t="s">
        <v>130</v>
      </c>
      <c r="E101" s="437"/>
      <c r="F101" s="432"/>
      <c r="G101" s="432"/>
      <c r="H101" s="455"/>
      <c r="I101" s="455"/>
      <c r="J101" s="455"/>
      <c r="K101" s="407"/>
      <c r="L101" s="407"/>
      <c r="M101" s="407"/>
      <c r="N101" s="407"/>
      <c r="O101" s="407"/>
      <c r="P101" s="644">
        <v>90886000</v>
      </c>
      <c r="Q101" s="435">
        <f>ROUND(P101*10%,0)*0</f>
        <v>0</v>
      </c>
      <c r="R101" s="392">
        <f t="shared" si="16"/>
        <v>90886000</v>
      </c>
    </row>
    <row r="102" spans="1:21" outlineLevel="1">
      <c r="A102" s="337" t="e">
        <f>IF(P102&lt;&gt;0,MAX($A$99:A101)+1,)</f>
        <v>#REF!</v>
      </c>
      <c r="B102" s="388" t="s">
        <v>180</v>
      </c>
      <c r="C102" s="337" t="e">
        <f t="shared" ref="C102:C137" si="17">IF(P102&lt;&gt;0,"Gk"&amp;A102,)</f>
        <v>#REF!</v>
      </c>
      <c r="D102" s="636" t="s">
        <v>181</v>
      </c>
      <c r="E102" s="637"/>
      <c r="F102" s="439">
        <f>NS!I63</f>
        <v>0.34620000000000001</v>
      </c>
      <c r="G102" s="440" t="s">
        <v>104</v>
      </c>
      <c r="H102" s="441">
        <f>IF(I102&lt;&gt;0,"*",)</f>
        <v>0</v>
      </c>
      <c r="I102" s="441"/>
      <c r="J102" s="441">
        <f>IF(K102&lt;&gt;0,"*",)</f>
        <v>0</v>
      </c>
      <c r="K102" s="441"/>
      <c r="L102" s="441"/>
      <c r="M102" s="441"/>
      <c r="N102" s="442"/>
      <c r="O102" s="443"/>
      <c r="P102" s="322">
        <f>2000000</f>
        <v>2000000</v>
      </c>
      <c r="Q102" s="322"/>
      <c r="R102" s="392">
        <f t="shared" ref="R102:R107" si="18">SUM(P102:Q102)</f>
        <v>2000000</v>
      </c>
    </row>
    <row r="103" spans="1:21" outlineLevel="1">
      <c r="A103" s="337" t="e">
        <f>IF(P103&lt;&gt;0,MAX($A$99:A102)+1,)</f>
        <v>#REF!</v>
      </c>
      <c r="B103" s="634" t="s">
        <v>182</v>
      </c>
      <c r="C103" s="635" t="e">
        <f t="shared" si="17"/>
        <v>#REF!</v>
      </c>
      <c r="D103" s="636" t="s">
        <v>183</v>
      </c>
      <c r="E103" s="637"/>
      <c r="F103" s="638">
        <f>NS!I63</f>
        <v>0.34620000000000001</v>
      </c>
      <c r="G103" s="639" t="s">
        <v>104</v>
      </c>
      <c r="H103" s="640">
        <f>IF(I103&lt;&gt;0,"*",)</f>
        <v>0</v>
      </c>
      <c r="I103" s="640"/>
      <c r="J103" s="640">
        <f>IF(K103&lt;&gt;0,"*",)</f>
        <v>0</v>
      </c>
      <c r="K103" s="640"/>
      <c r="L103" s="640"/>
      <c r="M103" s="640"/>
      <c r="N103" s="641"/>
      <c r="O103" s="642"/>
      <c r="P103" s="643">
        <v>14288000</v>
      </c>
      <c r="Q103" s="644"/>
      <c r="R103" s="645">
        <f t="shared" si="18"/>
        <v>14288000</v>
      </c>
      <c r="T103" s="359"/>
      <c r="U103" s="185"/>
    </row>
    <row r="104" spans="1:21" ht="71.25" outlineLevel="1">
      <c r="A104" s="337" t="e">
        <f>IF(P104&lt;&gt;0,MAX($A$99:A103)+1,)</f>
        <v>#REF!</v>
      </c>
      <c r="B104" s="634" t="s">
        <v>159</v>
      </c>
      <c r="C104" s="635" t="e">
        <f t="shared" si="17"/>
        <v>#REF!</v>
      </c>
      <c r="D104" s="652" t="s">
        <v>157</v>
      </c>
      <c r="E104" s="660">
        <v>1E-3</v>
      </c>
      <c r="F104" s="638">
        <v>0.05</v>
      </c>
      <c r="G104" s="639" t="s">
        <v>104</v>
      </c>
      <c r="H104" s="640">
        <f>IF(I104&lt;&gt;0,"*",)</f>
        <v>0</v>
      </c>
      <c r="I104" s="640"/>
      <c r="J104" s="640">
        <f>IF(K104&lt;&gt;0,"*",)</f>
        <v>0</v>
      </c>
      <c r="K104" s="640"/>
      <c r="L104" s="640"/>
      <c r="M104" s="640"/>
      <c r="N104" s="641">
        <v>0.1</v>
      </c>
      <c r="O104" s="642"/>
      <c r="P104" s="644" t="e">
        <f>IF((GXD+GTB)*(0.1%)&lt;=2000000,2000000,(IF(AND((GXD+GTB)*(0.1%)&lt;100000000,(GXD+GTB)*(0.1%)&gt;2000000),(GXD+GTB)*(0.1%),100000000)))</f>
        <v>#REF!</v>
      </c>
      <c r="Q104" s="644" t="e">
        <f>ROUND(P104*10%,0)*0</f>
        <v>#REF!</v>
      </c>
      <c r="R104" s="645" t="e">
        <f t="shared" si="18"/>
        <v>#REF!</v>
      </c>
    </row>
    <row r="105" spans="1:21" ht="28.5" hidden="1" outlineLevel="1">
      <c r="A105" s="337" t="e">
        <f>IF(P105&lt;&gt;0,MAX($A$99:A101)+1,)</f>
        <v>#REF!</v>
      </c>
      <c r="B105" s="388" t="s">
        <v>184</v>
      </c>
      <c r="C105" s="337" t="e">
        <f t="shared" si="17"/>
        <v>#REF!</v>
      </c>
      <c r="D105" s="414" t="s">
        <v>132</v>
      </c>
      <c r="E105" s="444" t="e">
        <f>IF(AND(I105&lt;&gt;0,K105&lt;&gt;0),F105&amp;G105&amp;H105&amp;I105&amp;J105&amp;K105&amp;"*(1+10%)",IF(AND(I105&lt;&gt;0,K105=0),F105&amp;G105&amp;H105&amp;I105&amp;"*(1+10%)",IF(AND(I105=0,K105&lt;&gt;0),F105&amp;G105&amp;J105&amp;K105&amp;"*(1+10%)",IF(AND(I105=0,K105=0),F105&amp;G105&amp;"*0,4"))))</f>
        <v>#REF!</v>
      </c>
      <c r="F105" s="439" t="e">
        <f>NS!I65</f>
        <v>#REF!</v>
      </c>
      <c r="G105" s="440" t="s">
        <v>104</v>
      </c>
      <c r="H105" s="441">
        <f>IF(I105&lt;&gt;0,"*",)</f>
        <v>0</v>
      </c>
      <c r="I105" s="441"/>
      <c r="J105" s="441">
        <f>IF(K105&lt;&gt;0,"*",)</f>
        <v>0</v>
      </c>
      <c r="K105" s="441"/>
      <c r="L105" s="441"/>
      <c r="M105" s="441"/>
      <c r="N105" s="442"/>
      <c r="O105" s="443"/>
      <c r="P105" s="322" t="e">
        <f>ROUND(SUM($P$12,$P$15)*IF(AND(I105&lt;&gt;0,K105&lt;&gt;0),F105/100*I105*K105,IF(AND(I105&lt;&gt;0,K105=0),F105/100*I105,IF(AND(I105=0,K105&lt;&gt;0),F105/100*K105,IF(AND(I105=0,K105=0),F105/100))))*0.4,0)*0</f>
        <v>#REF!</v>
      </c>
      <c r="Q105" s="322"/>
      <c r="R105" s="392" t="e">
        <f t="shared" si="18"/>
        <v>#REF!</v>
      </c>
    </row>
    <row r="106" spans="1:21" hidden="1" outlineLevel="1">
      <c r="A106" s="337">
        <f>IF(P106&lt;&gt;0,MAX($A$99:A105)+1,)</f>
        <v>0</v>
      </c>
      <c r="B106" s="388" t="s">
        <v>180</v>
      </c>
      <c r="C106" s="337">
        <f t="shared" si="17"/>
        <v>0</v>
      </c>
      <c r="D106" s="429" t="s">
        <v>185</v>
      </c>
      <c r="E106" s="430"/>
      <c r="F106" s="439"/>
      <c r="G106" s="440"/>
      <c r="H106" s="441"/>
      <c r="I106" s="441"/>
      <c r="J106" s="441"/>
      <c r="K106" s="441"/>
      <c r="L106" s="441"/>
      <c r="M106" s="441"/>
      <c r="N106" s="442"/>
      <c r="O106" s="443"/>
      <c r="P106" s="322">
        <f>2000000*0</f>
        <v>0</v>
      </c>
      <c r="Q106" s="322"/>
      <c r="R106" s="392">
        <f t="shared" si="18"/>
        <v>0</v>
      </c>
    </row>
    <row r="107" spans="1:21" ht="28.5" hidden="1" outlineLevel="1">
      <c r="A107" s="337">
        <f>IF(P107&lt;&gt;0,MAX($A$99:A106)+1,)</f>
        <v>0</v>
      </c>
      <c r="B107" s="388" t="s">
        <v>186</v>
      </c>
      <c r="C107" s="337">
        <f t="shared" si="17"/>
        <v>0</v>
      </c>
      <c r="D107" s="429" t="s">
        <v>187</v>
      </c>
      <c r="E107" s="437"/>
      <c r="F107" s="439"/>
      <c r="G107" s="440"/>
      <c r="H107" s="441"/>
      <c r="I107" s="441"/>
      <c r="J107" s="441"/>
      <c r="K107" s="441"/>
      <c r="L107" s="441"/>
      <c r="M107" s="441"/>
      <c r="N107" s="442"/>
      <c r="O107" s="443"/>
      <c r="P107" s="322">
        <f>5000000*0</f>
        <v>0</v>
      </c>
      <c r="Q107" s="322"/>
      <c r="R107" s="392">
        <f t="shared" si="18"/>
        <v>0</v>
      </c>
    </row>
    <row r="108" spans="1:21" ht="28.5" hidden="1" outlineLevel="1">
      <c r="A108" s="337">
        <f>IF(P108&lt;&gt;0,MAX($A$99:A107)+1,)</f>
        <v>0</v>
      </c>
      <c r="B108" s="388" t="s">
        <v>188</v>
      </c>
      <c r="C108" s="337">
        <f t="shared" si="17"/>
        <v>0</v>
      </c>
      <c r="D108" s="414" t="s">
        <v>189</v>
      </c>
      <c r="E108" s="444" t="str">
        <f>IF(AND(I108&lt;&gt;0,K108&lt;&gt;0),F108&amp;G108&amp;H108&amp;I108&amp;J108&amp;K108&amp;"*(1+10%)",IF(AND(I108&lt;&gt;0,K108=0),F108&amp;G108&amp;H108&amp;I108&amp;"*(1+10%)",IF(AND(I108=0,K108&lt;&gt;0),F108&amp;G108&amp;J108&amp;K108&amp;"*(1+10%)",IF(AND(I108=0,K108=0),F108&amp;G108))))</f>
        <v>0,0106%</v>
      </c>
      <c r="F108" s="439">
        <f>NS!I55</f>
        <v>1.06E-2</v>
      </c>
      <c r="G108" s="440" t="s">
        <v>104</v>
      </c>
      <c r="H108" s="441">
        <f>IF(I108&lt;&gt;0,"*",)</f>
        <v>0</v>
      </c>
      <c r="I108" s="441"/>
      <c r="J108" s="441">
        <f>IF(K108&lt;&gt;0,"*",)</f>
        <v>0</v>
      </c>
      <c r="K108" s="441"/>
      <c r="L108" s="441"/>
      <c r="M108" s="441"/>
      <c r="N108" s="442"/>
      <c r="O108" s="443"/>
      <c r="P108" s="322">
        <f>ROUND(TMÑT*IF(AND(I108&lt;&gt;0,K108&lt;&gt;0),F108/100*I108*K108,IF(AND(I108&lt;&gt;0,K108=0),F108/100*I108,IF(AND(I108=0,K108&lt;&gt;0),F108/100*K108,IF(AND(I108=0,K108=0),F108/100)))),0)*0</f>
        <v>0</v>
      </c>
      <c r="Q108" s="435"/>
      <c r="R108" s="392">
        <f t="shared" si="16"/>
        <v>0</v>
      </c>
      <c r="T108" s="359"/>
      <c r="U108" s="185"/>
    </row>
    <row r="109" spans="1:21" ht="28.5" hidden="1" outlineLevel="1">
      <c r="A109" s="337" t="e">
        <f>IF(P109&lt;&gt;0,MAX($A$99:A108)+1,)</f>
        <v>#REF!</v>
      </c>
      <c r="B109" s="388" t="s">
        <v>190</v>
      </c>
      <c r="C109" s="337" t="e">
        <f t="shared" si="17"/>
        <v>#REF!</v>
      </c>
      <c r="D109" s="414" t="s">
        <v>157</v>
      </c>
      <c r="E109" s="460">
        <v>1E-4</v>
      </c>
      <c r="F109" s="439"/>
      <c r="G109" s="440"/>
      <c r="H109" s="441"/>
      <c r="I109" s="441"/>
      <c r="J109" s="441"/>
      <c r="K109" s="441"/>
      <c r="L109" s="441"/>
      <c r="M109" s="441"/>
      <c r="N109" s="442"/>
      <c r="O109" s="443"/>
      <c r="P109" s="322" t="e">
        <f>(GXD+GTB)*0.01%*0</f>
        <v>#REF!</v>
      </c>
      <c r="Q109" s="435"/>
      <c r="R109" s="392" t="e">
        <f t="shared" si="16"/>
        <v>#REF!</v>
      </c>
      <c r="T109" s="359"/>
      <c r="U109" s="185"/>
    </row>
    <row r="110" spans="1:21" ht="28.5" hidden="1" outlineLevel="1">
      <c r="A110" s="337">
        <f>IF(P110&lt;&gt;0,MAX($A$99:A109)+1,)</f>
        <v>0</v>
      </c>
      <c r="B110" s="388" t="s">
        <v>191</v>
      </c>
      <c r="C110" s="337">
        <f t="shared" si="17"/>
        <v>0</v>
      </c>
      <c r="D110" s="461" t="s">
        <v>95</v>
      </c>
      <c r="E110" s="462"/>
      <c r="F110" s="463"/>
      <c r="G110" s="463"/>
      <c r="H110" s="464"/>
      <c r="I110" s="464"/>
      <c r="J110" s="464"/>
      <c r="K110" s="464"/>
      <c r="L110" s="464"/>
      <c r="M110" s="464"/>
      <c r="N110" s="465"/>
      <c r="O110" s="466"/>
      <c r="P110" s="322"/>
      <c r="Q110" s="467"/>
      <c r="R110" s="392">
        <f t="shared" si="16"/>
        <v>0</v>
      </c>
      <c r="T110" s="359"/>
      <c r="U110" s="185"/>
    </row>
    <row r="111" spans="1:21" ht="28.5" hidden="1" outlineLevel="1">
      <c r="A111" s="337">
        <f>IF(P111&lt;&gt;0,MAX($A$99:A110)+1,)</f>
        <v>0</v>
      </c>
      <c r="B111" s="388" t="s">
        <v>192</v>
      </c>
      <c r="C111" s="337">
        <f t="shared" si="17"/>
        <v>0</v>
      </c>
      <c r="D111" s="461" t="s">
        <v>95</v>
      </c>
      <c r="E111" s="462"/>
      <c r="F111" s="463"/>
      <c r="G111" s="463"/>
      <c r="H111" s="464"/>
      <c r="I111" s="464"/>
      <c r="J111" s="464"/>
      <c r="K111" s="464"/>
      <c r="L111" s="464"/>
      <c r="M111" s="464"/>
      <c r="N111" s="465"/>
      <c r="O111" s="466"/>
      <c r="P111" s="322"/>
      <c r="Q111" s="467"/>
      <c r="R111" s="392">
        <f t="shared" si="16"/>
        <v>0</v>
      </c>
      <c r="T111" s="359"/>
      <c r="U111" s="185"/>
    </row>
    <row r="112" spans="1:21" outlineLevel="1">
      <c r="A112" s="337" t="e">
        <f>IF(P112&lt;&gt;0,MAX($A$99:A111)+1,)</f>
        <v>#REF!</v>
      </c>
      <c r="B112" s="388" t="s">
        <v>193</v>
      </c>
      <c r="C112" s="337" t="e">
        <f t="shared" si="17"/>
        <v>#REF!</v>
      </c>
      <c r="D112" s="458" t="s">
        <v>103</v>
      </c>
      <c r="E112" s="444" t="str">
        <f>IF(AND(I112&lt;&gt;0,K112&lt;&gt;0),F112&amp;G112&amp;H112&amp;I112&amp;J112&amp;K112&amp;"*(1+10%)",IF(AND(I112&lt;&gt;0,K112=0),F112&amp;G112&amp;H112&amp;I112&amp;"*(1+10%)",IF(AND(I112=0,K112&lt;&gt;0),F112&amp;G112&amp;J112&amp;K112&amp;"*(1+10%)",IF(AND(I112=0,K112=0),F112&amp;G112&amp;"*(1+10%)"))))</f>
        <v>0,285%*(1+10%)</v>
      </c>
      <c r="F112" s="439">
        <v>0.28499999999999998</v>
      </c>
      <c r="G112" s="440" t="s">
        <v>104</v>
      </c>
      <c r="H112" s="441">
        <f>IF(I112&lt;&gt;0,"*",)</f>
        <v>0</v>
      </c>
      <c r="I112" s="441"/>
      <c r="J112" s="441">
        <f>IF(K112&lt;&gt;0,"*",)</f>
        <v>0</v>
      </c>
      <c r="K112" s="441"/>
      <c r="L112" s="441"/>
      <c r="M112" s="441"/>
      <c r="N112" s="442">
        <v>0.1</v>
      </c>
      <c r="O112" s="443"/>
      <c r="P112" s="435" t="e">
        <f>ROUND(SUM(GTT,TBL)*IF(AND(I112&lt;&gt;0,K112&lt;&gt;0),F112/100*I112*K112,IF(AND(I112&lt;&gt;0,K112=0),F112/100*I112,IF(AND(I112=0,K112&lt;&gt;0),F112/100*K112,IF(AND(I112=0,K112=0),F112/100)))),0)</f>
        <v>#REF!</v>
      </c>
      <c r="Q112" s="392" t="e">
        <f>ROUND(P112*10%,0)</f>
        <v>#REF!</v>
      </c>
      <c r="R112" s="392" t="e">
        <f>SUM(P112:Q112)</f>
        <v>#REF!</v>
      </c>
    </row>
    <row r="113" spans="1:21" hidden="1" outlineLevel="1">
      <c r="A113" s="337" t="e">
        <f>IF(P113&lt;&gt;0,MAX($A$99:A112)+1,)</f>
        <v>#REF!</v>
      </c>
      <c r="B113" s="388" t="s">
        <v>194</v>
      </c>
      <c r="C113" s="337" t="e">
        <f t="shared" si="17"/>
        <v>#REF!</v>
      </c>
      <c r="D113" s="414" t="s">
        <v>195</v>
      </c>
      <c r="E113" s="444" t="str">
        <f>IF(AND(I113&lt;&gt;0,K113&lt;&gt;0),F113&amp;G113&amp;H113&amp;I113&amp;J113&amp;K113&amp;"*(1+10%)",IF(AND(I113&lt;&gt;0,K113=0),F113&amp;G113&amp;H113&amp;I113&amp;"*(1+10%)",IF(AND(I113=0,K113&lt;&gt;0),F113&amp;G113&amp;J113&amp;K113&amp;"*(1+10%)",IF(AND(I113=0,K113=0),F113&amp;G113&amp;"*(1+10%)"))))</f>
        <v>0,285%*(1+10%)</v>
      </c>
      <c r="F113" s="439">
        <f>NS!I57</f>
        <v>0.28499999999999998</v>
      </c>
      <c r="G113" s="440" t="s">
        <v>104</v>
      </c>
      <c r="H113" s="441">
        <f>IF(I113&lt;&gt;0,"*",)</f>
        <v>0</v>
      </c>
      <c r="I113" s="441"/>
      <c r="J113" s="441">
        <f>IF(K113&lt;&gt;0,"*",)</f>
        <v>0</v>
      </c>
      <c r="K113" s="441"/>
      <c r="L113" s="441"/>
      <c r="M113" s="441"/>
      <c r="N113" s="442">
        <v>0.1</v>
      </c>
      <c r="O113" s="443"/>
      <c r="P113" s="392" t="e">
        <f>ROUND(SUM($P$12:$P$13)*IF(AND(I113&lt;&gt;0,K113&lt;&gt;0),F113/100*I113*K113,IF(AND(I113&lt;&gt;0,K113=0),F113/100*I113,IF(AND(I113=0,K113&lt;&gt;0),F113/100*K113,IF(AND(I113=0,K113=0),F113/100)))),0)*0</f>
        <v>#REF!</v>
      </c>
      <c r="Q113" s="392" t="e">
        <f>ROUND(P113*10%,0)</f>
        <v>#REF!</v>
      </c>
      <c r="R113" s="392" t="e">
        <f t="shared" si="16"/>
        <v>#REF!</v>
      </c>
    </row>
    <row r="114" spans="1:21" hidden="1" outlineLevel="1">
      <c r="A114" s="337" t="e">
        <f>IF(P114&lt;&gt;0,MAX($A$99:A113)+1,)</f>
        <v>#REF!</v>
      </c>
      <c r="B114" s="388" t="s">
        <v>196</v>
      </c>
      <c r="C114" s="337" t="e">
        <f t="shared" si="17"/>
        <v>#REF!</v>
      </c>
      <c r="D114" s="414" t="s">
        <v>158</v>
      </c>
      <c r="E114" s="444" t="str">
        <f>IF(AND(I114&lt;&gt;0,K114&lt;&gt;0),F114&amp;G114&amp;H114&amp;I114&amp;J114&amp;K114&amp;"*(1+10%)",IF(AND(I114&lt;&gt;0,K114=0),F114&amp;G114&amp;H114&amp;I114&amp;"*(1+10%)",IF(AND(I114=0,K114&lt;&gt;0),F114&amp;G114&amp;J114&amp;K114&amp;"*(1+10%)",IF(AND(I114=0,K114=0),F114&amp;G114&amp;"*(1+10%)"))))</f>
        <v>0,285%*(1+10%)</v>
      </c>
      <c r="F114" s="439">
        <f>NS!I58</f>
        <v>0.28499999999999998</v>
      </c>
      <c r="G114" s="440" t="s">
        <v>104</v>
      </c>
      <c r="H114" s="441">
        <f>IF(I114&lt;&gt;0,"*",)</f>
        <v>0</v>
      </c>
      <c r="I114" s="441"/>
      <c r="J114" s="441">
        <f>IF(K114&lt;&gt;0,"*",)</f>
        <v>0</v>
      </c>
      <c r="K114" s="441"/>
      <c r="L114" s="441"/>
      <c r="M114" s="441"/>
      <c r="N114" s="442">
        <v>0.1</v>
      </c>
      <c r="O114" s="443"/>
      <c r="P114" s="392" t="e">
        <f>ROUND(SUM(TBL)*IF(AND(I114&lt;&gt;0,K114&lt;&gt;0),F114/100*I114*K114,IF(AND(I114&lt;&gt;0,K114=0),F114/100*I114,IF(AND(I114=0,K114&lt;&gt;0),F114/100*K114,IF(AND(I114=0,K114=0),F114/100)))),0)*0</f>
        <v>#REF!</v>
      </c>
      <c r="Q114" s="392" t="e">
        <f>ROUND(P114*10%,0)</f>
        <v>#REF!</v>
      </c>
      <c r="R114" s="392" t="e">
        <f t="shared" si="16"/>
        <v>#REF!</v>
      </c>
    </row>
    <row r="115" spans="1:21" ht="28.5" hidden="1" outlineLevel="1">
      <c r="A115" s="337">
        <f>IF(P115&lt;&gt;0,MAX($A$99:A114)+1,)</f>
        <v>0</v>
      </c>
      <c r="B115" s="388" t="str">
        <f>NS!B59</f>
        <v>Chi phí di chuyển thiết bị thi công và lực lượng lao động đến công trường</v>
      </c>
      <c r="C115" s="337">
        <f t="shared" si="17"/>
        <v>0</v>
      </c>
      <c r="D115" s="436" t="s">
        <v>197</v>
      </c>
      <c r="E115" s="468"/>
      <c r="F115" s="400"/>
      <c r="G115" s="400"/>
      <c r="H115" s="400"/>
      <c r="I115" s="400"/>
      <c r="J115" s="400"/>
      <c r="K115" s="401"/>
      <c r="L115" s="401"/>
      <c r="M115" s="401"/>
      <c r="N115" s="401"/>
      <c r="O115" s="401"/>
      <c r="P115" s="392"/>
      <c r="Q115" s="392">
        <f>P115*10%</f>
        <v>0</v>
      </c>
      <c r="R115" s="392">
        <f>P115+Q115</f>
        <v>0</v>
      </c>
    </row>
    <row r="116" spans="1:21" hidden="1" outlineLevel="1">
      <c r="A116" s="337">
        <f>IF(P116&lt;&gt;0,MAX($A$99:A115)+1,)</f>
        <v>0</v>
      </c>
      <c r="B116" s="388" t="str">
        <f>NS!B60</f>
        <v>Chi phí đăng kiểm, quan trắc biến dạng công trình</v>
      </c>
      <c r="C116" s="337">
        <f t="shared" si="17"/>
        <v>0</v>
      </c>
      <c r="D116" s="436" t="s">
        <v>198</v>
      </c>
      <c r="E116" s="468"/>
      <c r="F116" s="400"/>
      <c r="G116" s="400"/>
      <c r="H116" s="400"/>
      <c r="I116" s="400"/>
      <c r="J116" s="400"/>
      <c r="K116" s="401"/>
      <c r="L116" s="401"/>
      <c r="M116" s="401"/>
      <c r="N116" s="401"/>
      <c r="O116" s="401"/>
      <c r="P116" s="392">
        <f>200000000*0</f>
        <v>0</v>
      </c>
      <c r="Q116" s="392">
        <f>ROUND(P116*10%,0)</f>
        <v>0</v>
      </c>
      <c r="R116" s="392">
        <f>P116+Q116</f>
        <v>0</v>
      </c>
    </row>
    <row r="117" spans="1:21" ht="28.5" hidden="1" outlineLevel="1">
      <c r="A117" s="337">
        <f>IF(P117&lt;&gt;0,MAX($A$99:A116)+1,)</f>
        <v>0</v>
      </c>
      <c r="B117" s="388" t="s">
        <v>199</v>
      </c>
      <c r="C117" s="337">
        <f t="shared" si="17"/>
        <v>0</v>
      </c>
      <c r="D117" s="436" t="s">
        <v>198</v>
      </c>
      <c r="E117" s="468"/>
      <c r="F117" s="400"/>
      <c r="G117" s="400"/>
      <c r="H117" s="400"/>
      <c r="I117" s="400"/>
      <c r="J117" s="400"/>
      <c r="K117" s="401"/>
      <c r="L117" s="401"/>
      <c r="M117" s="401"/>
      <c r="N117" s="401"/>
      <c r="O117" s="401"/>
      <c r="P117" s="392">
        <f>300000000*0</f>
        <v>0</v>
      </c>
      <c r="Q117" s="392">
        <f>ROUND(P117*10%,0)</f>
        <v>0</v>
      </c>
      <c r="R117" s="392">
        <f>P117+Q117</f>
        <v>0</v>
      </c>
    </row>
    <row r="118" spans="1:21" ht="28.5" hidden="1" outlineLevel="1">
      <c r="A118" s="337">
        <f>IF(P118&lt;&gt;0,MAX($A$99:A117)+1,)</f>
        <v>0</v>
      </c>
      <c r="B118" s="388" t="str">
        <f>NS!B61</f>
        <v>Chi phí đảm bảo an toàn giao thông phục vụ thi công các công trình</v>
      </c>
      <c r="C118" s="337">
        <f t="shared" si="17"/>
        <v>0</v>
      </c>
      <c r="D118" s="436" t="s">
        <v>198</v>
      </c>
      <c r="E118" s="468"/>
      <c r="F118" s="400"/>
      <c r="G118" s="400"/>
      <c r="H118" s="400"/>
      <c r="I118" s="400"/>
      <c r="J118" s="400"/>
      <c r="K118" s="401"/>
      <c r="L118" s="401"/>
      <c r="M118" s="401"/>
      <c r="N118" s="401"/>
      <c r="O118" s="401"/>
      <c r="P118" s="392">
        <f>50000000*0</f>
        <v>0</v>
      </c>
      <c r="Q118" s="392">
        <f>P118*10%</f>
        <v>0</v>
      </c>
      <c r="R118" s="392">
        <f>P118+Q118</f>
        <v>0</v>
      </c>
    </row>
    <row r="119" spans="1:21" ht="28.5" outlineLevel="1">
      <c r="A119" s="337" t="e">
        <f>IF(P119&lt;&gt;0,MAX($A$99:A118)+1,)</f>
        <v>#REF!</v>
      </c>
      <c r="B119" s="388" t="str">
        <f>NS!B62</f>
        <v>Chi phí kiểm toán vốn đầu tư (Min = 1.100.000đvn) (Thông tư số 09/2016/BTC ngày 18-01-2016)</v>
      </c>
      <c r="C119" s="337" t="e">
        <f t="shared" si="17"/>
        <v>#REF!</v>
      </c>
      <c r="D119" s="414" t="s">
        <v>200</v>
      </c>
      <c r="E119" s="444" t="e">
        <f>IF(AND(I119&lt;&gt;0,K119&lt;&gt;0),F119&amp;G119&amp;H119&amp;I119&amp;J119&amp;K119&amp;"*(1+10%)",IF(AND(I119&lt;&gt;0,K119=0),F119&amp;G119&amp;H119&amp;I119&amp;"*(1+10%)",IF(AND(I119=0,K119&lt;&gt;0),F119&amp;G119&amp;J119&amp;K119&amp;"*(1+10%)",IF(AND(I119=0,K119=0),F119&amp;G119&amp;"*(1+10%)"))))</f>
        <v>#REF!</v>
      </c>
      <c r="F119" s="439">
        <f>NS!I62</f>
        <v>0.52659999999999996</v>
      </c>
      <c r="G119" s="440" t="s">
        <v>104</v>
      </c>
      <c r="H119" s="441" t="e">
        <f>IF(I119&lt;&gt;0,"*",)</f>
        <v>#REF!</v>
      </c>
      <c r="I119" s="441" t="e">
        <f>IF(GTB/TMÑT&gt;=51%,70%,0)</f>
        <v>#REF!</v>
      </c>
      <c r="J119" s="441">
        <f>IF(K119&lt;&gt;0,"*",)</f>
        <v>0</v>
      </c>
      <c r="K119" s="441"/>
      <c r="L119" s="441"/>
      <c r="M119" s="441"/>
      <c r="N119" s="442"/>
      <c r="O119" s="443"/>
      <c r="P119" s="392" t="e">
        <f>IF(ROUND(SUM(TMÑT)*IF(AND(I119&lt;&gt;0,K119&lt;&gt;0),F119/100*I119*K119,IF(AND(I119&lt;&gt;0,K119=0),F119/100*I119,IF(AND(I119=0,K119&lt;&gt;0),F119/100*K119,IF(AND(I119=0,K119=0),F119/100)))),0)&lt;1*10^6,1*10^6,ROUND(SUM(TMÑT)*IF(AND(I119&lt;&gt;0,K119&lt;&gt;0),F119/100*I119*K119,IF(AND(I119&lt;&gt;0,K119=0),F119/100*I119,IF(AND(I119=0,K119&lt;&gt;0),F119/100*K119,IF(AND(I119=0,K119=0),F119/100)))),0))</f>
        <v>#REF!</v>
      </c>
      <c r="Q119" s="392" t="e">
        <f>ROUND(P119*10%,0)</f>
        <v>#REF!</v>
      </c>
      <c r="R119" s="392" t="e">
        <f>SUM(P119:Q119)</f>
        <v>#REF!</v>
      </c>
    </row>
    <row r="120" spans="1:21" ht="42.75" outlineLevel="1">
      <c r="A120" s="337" t="e">
        <f>IF(P120&lt;&gt;0,MAX($A$99:A119)+1,)</f>
        <v>#REF!</v>
      </c>
      <c r="B120" s="388" t="str">
        <f>NS!B63</f>
        <v>Chi phí thẩm tra, phê duyệt quyết toán vốn đầu tư (Min = 500.000đvn) (Thông tư số 09/2016/BTC ngày 18-01-2016)</v>
      </c>
      <c r="C120" s="337" t="e">
        <f t="shared" si="17"/>
        <v>#REF!</v>
      </c>
      <c r="D120" s="414" t="s">
        <v>200</v>
      </c>
      <c r="E120" s="444" t="e">
        <f>IF(AND(I120&lt;&gt;0,K120&lt;&gt;0),F120&amp;G120&amp;H120&amp;I120&amp;J120&amp;K120,IF(AND(I120&lt;&gt;0,K120=0),F120&amp;G120&amp;H120&amp;I120,IF(AND(I120=0,K120&lt;&gt;0),F120&amp;G120&amp;J120&amp;K120,IF(AND(I120=0,K120=0),F120&amp;G120))))</f>
        <v>#REF!</v>
      </c>
      <c r="F120" s="439">
        <f>NS!I63</f>
        <v>0.34620000000000001</v>
      </c>
      <c r="G120" s="440" t="s">
        <v>104</v>
      </c>
      <c r="H120" s="441" t="e">
        <f>IF(I120&lt;&gt;0,"*",)</f>
        <v>#REF!</v>
      </c>
      <c r="I120" s="441" t="e">
        <f>IF(GTB/TMÑT&gt;=51%,70%,IF(AND($E$182=1,GTB/TMÑT&lt;51%),50%,))</f>
        <v>#REF!</v>
      </c>
      <c r="J120" s="441" t="e">
        <f>IF(K120&lt;&gt;0,"*",)</f>
        <v>#REF!</v>
      </c>
      <c r="K120" s="441" t="e">
        <f>IF(AND($E$182=1,GTB/TMÑT&gt;=51%),50%,)</f>
        <v>#REF!</v>
      </c>
      <c r="L120" s="441"/>
      <c r="M120" s="441"/>
      <c r="N120" s="442"/>
      <c r="O120" s="443"/>
      <c r="P120" s="392" t="e">
        <f>IF(ROUND(SUM(TMÑT)*IF(AND(I120&lt;&gt;0,K120&lt;&gt;0),F120/100*I120*K120,IF(AND(I120&lt;&gt;0,K120=0),F120/100*I120,IF(AND(I120=0,K120&lt;&gt;0),F120/100*K120,IF(AND(I120=0,K120=0),F120/100)))),0)&lt;1*10^6,1*10^6,ROUND(SUM(TMÑT)*IF(AND(I120&lt;&gt;0,K120&lt;&gt;0),F120/100*I120*K120,IF(AND(I120&lt;&gt;0,K120=0),F120/100*I120,IF(AND(I120=0,K120&lt;&gt;0),F120/100*K120,IF(AND(I120=0,K120=0),F120/100)))),0))</f>
        <v>#REF!</v>
      </c>
      <c r="Q120" s="435" t="e">
        <f>ROUND(P120*10%,0)*0</f>
        <v>#REF!</v>
      </c>
      <c r="R120" s="392" t="e">
        <f>SUM(P120:Q120)</f>
        <v>#REF!</v>
      </c>
    </row>
    <row r="121" spans="1:21" ht="28.5" hidden="1" outlineLevel="1">
      <c r="A121" s="337">
        <f>IF(P121&lt;&gt;0,MAX($A$99:A120)+1,)</f>
        <v>0</v>
      </c>
      <c r="B121" s="388" t="s">
        <v>201</v>
      </c>
      <c r="C121" s="337">
        <f t="shared" si="17"/>
        <v>0</v>
      </c>
      <c r="D121" s="429"/>
      <c r="E121" s="430"/>
      <c r="F121" s="439"/>
      <c r="G121" s="440"/>
      <c r="H121" s="441"/>
      <c r="I121" s="441"/>
      <c r="J121" s="441"/>
      <c r="K121" s="441"/>
      <c r="L121" s="441"/>
      <c r="M121" s="441"/>
      <c r="N121" s="442"/>
      <c r="O121" s="443"/>
      <c r="P121" s="322"/>
      <c r="Q121" s="435">
        <f>P121*10%</f>
        <v>0</v>
      </c>
      <c r="R121" s="322">
        <f>SUM(P121:Q121)</f>
        <v>0</v>
      </c>
      <c r="S121" s="185">
        <f>103950000+11117000</f>
        <v>115067000</v>
      </c>
      <c r="T121" s="185">
        <f>103950000+11117000</f>
        <v>115067000</v>
      </c>
      <c r="U121" s="185"/>
    </row>
    <row r="122" spans="1:21" ht="28.5" hidden="1" outlineLevel="1">
      <c r="A122" s="337" t="e">
        <f>IF(P122&lt;&gt;0,MAX($A$99:A121)+1,)</f>
        <v>#REF!</v>
      </c>
      <c r="B122" s="388" t="str">
        <f>NS!B65</f>
        <v>Lệ phí thẩm tra thiết kế (TT75/2014/TT-BTC ngày 12-06-2014)</v>
      </c>
      <c r="C122" s="337" t="e">
        <f t="shared" si="17"/>
        <v>#REF!</v>
      </c>
      <c r="D122" s="414" t="s">
        <v>132</v>
      </c>
      <c r="E122" s="444" t="e">
        <f>IF(AND(I122&lt;&gt;0,K122&lt;&gt;0),F122&amp;G122&amp;H122&amp;I122&amp;J122&amp;K122&amp;"*(1+10%)",IF(AND(I122&lt;&gt;0,K122=0),F122&amp;G122&amp;H122&amp;I122&amp;"*(1+10%)",IF(AND(I122=0,K122&lt;&gt;0),F122&amp;G122&amp;J122&amp;K122&amp;"*(1+10%)",IF(AND(I122=0,K122=0),F122&amp;G122))))</f>
        <v>#REF!</v>
      </c>
      <c r="F122" s="439" t="e">
        <f>NS!I65</f>
        <v>#REF!</v>
      </c>
      <c r="G122" s="440" t="s">
        <v>104</v>
      </c>
      <c r="H122" s="441">
        <f>IF(I122&lt;&gt;0,"*",)</f>
        <v>0</v>
      </c>
      <c r="I122" s="441"/>
      <c r="J122" s="441">
        <f>IF(K122&lt;&gt;0,"*",)</f>
        <v>0</v>
      </c>
      <c r="K122" s="441"/>
      <c r="L122" s="441"/>
      <c r="M122" s="441"/>
      <c r="N122" s="442">
        <v>0.1</v>
      </c>
      <c r="O122" s="443"/>
      <c r="P122" s="322" t="e">
        <f>ROUND(SUM(GTT)*IF(AND(I122&lt;&gt;0,K122&lt;&gt;0),F122/100*I122*K122,IF(AND(I122&lt;&gt;0,K122=0),F122/100*I122,IF(AND(I122=0,K122&lt;&gt;0),F122/100*K122,IF(AND(I122=0,K122=0),F122/100)))),0)*0</f>
        <v>#REF!</v>
      </c>
      <c r="Q122" s="322"/>
      <c r="R122" s="392" t="e">
        <f>SUM(P122:Q122)</f>
        <v>#REF!</v>
      </c>
    </row>
    <row r="123" spans="1:21" ht="28.5" hidden="1" outlineLevel="1">
      <c r="A123" s="337" t="e">
        <f>IF(P123&lt;&gt;0,MAX($A$99:A122)+1,)</f>
        <v>#REF!</v>
      </c>
      <c r="B123" s="388" t="str">
        <f>NS!B66</f>
        <v>Lệ phí thẩm tra dự toán (TT75/2014/TT-BTC ngày 12-06-2014)</v>
      </c>
      <c r="C123" s="337" t="e">
        <f t="shared" si="17"/>
        <v>#REF!</v>
      </c>
      <c r="D123" s="414" t="s">
        <v>132</v>
      </c>
      <c r="E123" s="444" t="e">
        <f>IF(AND(I123&lt;&gt;0,K123&lt;&gt;0),F123&amp;G123&amp;H123&amp;I123&amp;J123&amp;K123&amp;"*(1+10%)",IF(AND(I123&lt;&gt;0,K123=0),F123&amp;G123&amp;H123&amp;I123&amp;"*(1+10%)",IF(AND(I123=0,K123&lt;&gt;0),F123&amp;G123&amp;J123&amp;K123&amp;"*(1+10%)",IF(AND(I123=0,K123=0),F123&amp;G123))))</f>
        <v>#REF!</v>
      </c>
      <c r="F123" s="439" t="e">
        <f>NS!I66</f>
        <v>#REF!</v>
      </c>
      <c r="G123" s="440" t="s">
        <v>104</v>
      </c>
      <c r="H123" s="441">
        <f>IF(I123&lt;&gt;0,"*",)</f>
        <v>0</v>
      </c>
      <c r="I123" s="441"/>
      <c r="J123" s="441">
        <f>IF(K123&lt;&gt;0,"*",)</f>
        <v>0</v>
      </c>
      <c r="K123" s="441"/>
      <c r="L123" s="441"/>
      <c r="M123" s="441"/>
      <c r="N123" s="442">
        <v>0.1</v>
      </c>
      <c r="O123" s="443"/>
      <c r="P123" s="322" t="e">
        <f>ROUND(SUM(GTT)*IF(AND(I123&lt;&gt;0,K123&lt;&gt;0),F123/100*I123*K123,IF(AND(I123&lt;&gt;0,K123=0),F123/100*I123,IF(AND(I123=0,K123&lt;&gt;0),F123/100*K123,IF(AND(I123=0,K123=0),F123/100)))),0)*0</f>
        <v>#REF!</v>
      </c>
      <c r="Q123" s="322"/>
      <c r="R123" s="392" t="e">
        <f>SUM(P123:Q123)</f>
        <v>#REF!</v>
      </c>
    </row>
    <row r="124" spans="1:21" hidden="1" outlineLevel="1">
      <c r="A124" s="337"/>
      <c r="B124" s="388"/>
      <c r="C124" s="337">
        <f t="shared" si="17"/>
        <v>0</v>
      </c>
      <c r="D124" s="414"/>
      <c r="E124" s="444"/>
      <c r="F124" s="439"/>
      <c r="G124" s="440"/>
      <c r="H124" s="441"/>
      <c r="I124" s="441"/>
      <c r="J124" s="441"/>
      <c r="K124" s="441"/>
      <c r="L124" s="441"/>
      <c r="M124" s="441"/>
      <c r="N124" s="442"/>
      <c r="O124" s="443"/>
      <c r="P124" s="322"/>
      <c r="Q124" s="322"/>
      <c r="R124" s="392"/>
    </row>
    <row r="125" spans="1:21" ht="28.5" outlineLevel="1">
      <c r="A125" s="337" t="e">
        <f>IF(P125&lt;&gt;0,MAX($A$99:A124)+1,)</f>
        <v>#REF!</v>
      </c>
      <c r="B125" s="388" t="str">
        <f>NS!B68</f>
        <v>Lệ phí thẩm tra thiết kế (TT75/2014/TT-BTC ngày 12-06-2014)</v>
      </c>
      <c r="C125" s="337" t="e">
        <f t="shared" si="17"/>
        <v>#REF!</v>
      </c>
      <c r="D125" s="414" t="s">
        <v>202</v>
      </c>
      <c r="E125" s="444" t="e">
        <f>IF(AND(I125&lt;&gt;0,K125&lt;&gt;0),F125&amp;G125&amp;H125&amp;I125&amp;J125&amp;K125&amp;"*(1+10%)",IF(AND(I125&lt;&gt;0,K125=0),F125&amp;G125&amp;H125&amp;I125&amp;"*(1+10%)",IF(AND(I125=0,K125&lt;&gt;0),F125&amp;G125&amp;J125&amp;K125&amp;"*(1+10%)",IF(AND(I125=0,K125=0),F125&amp;G125))))</f>
        <v>#REF!</v>
      </c>
      <c r="F125" s="439" t="e">
        <f>NS!I68</f>
        <v>#REF!</v>
      </c>
      <c r="G125" s="440" t="s">
        <v>104</v>
      </c>
      <c r="H125" s="441">
        <f>IF(I125&lt;&gt;0,"*",)</f>
        <v>0</v>
      </c>
      <c r="I125" s="441"/>
      <c r="J125" s="441"/>
      <c r="K125" s="441"/>
      <c r="L125" s="441"/>
      <c r="M125" s="441"/>
      <c r="N125" s="442"/>
      <c r="O125" s="443"/>
      <c r="P125" s="322" t="e">
        <f>ROUND(SUM(GTT)*IF(AND(I125&lt;&gt;0,K125&lt;&gt;0),F125/100*I125*K125,IF(AND(I125&lt;&gt;0,K125=0),F125/100*I125,IF(AND(I125=0,K125&lt;&gt;0),F125/100*K125,IF(AND(I125=0,K125=0),F125/100)))),0)</f>
        <v>#REF!</v>
      </c>
      <c r="Q125" s="322"/>
      <c r="R125" s="392" t="e">
        <f>SUM(P125:Q125)</f>
        <v>#REF!</v>
      </c>
    </row>
    <row r="126" spans="1:21" ht="28.5" outlineLevel="1">
      <c r="A126" s="337" t="e">
        <f>IF(P126&lt;&gt;0,MAX($A$99:A125)+1,)</f>
        <v>#REF!</v>
      </c>
      <c r="B126" s="388" t="str">
        <f>NS!B69</f>
        <v>Lệ phí thẩm tra dự toán (TT75/2014/TT-BTC ngày 12-06-2014)</v>
      </c>
      <c r="C126" s="337" t="e">
        <f t="shared" si="17"/>
        <v>#REF!</v>
      </c>
      <c r="D126" s="414" t="s">
        <v>202</v>
      </c>
      <c r="E126" s="444" t="e">
        <f>IF(AND(I126&lt;&gt;0,K126&lt;&gt;0),F126&amp;G126&amp;H126&amp;I126&amp;J126&amp;K126&amp;"*(1+10%)",IF(AND(I126&lt;&gt;0,K126=0),F126&amp;G126&amp;H126&amp;I126&amp;"*(1+10%)",IF(AND(I126=0,K126&lt;&gt;0),F126&amp;G126&amp;J126&amp;K126&amp;"*(1+10%)",IF(AND(I126=0,K126=0),F126&amp;G126))))</f>
        <v>#REF!</v>
      </c>
      <c r="F126" s="439" t="e">
        <f>NS!I69</f>
        <v>#REF!</v>
      </c>
      <c r="G126" s="440" t="s">
        <v>104</v>
      </c>
      <c r="H126" s="441">
        <f>IF(I126&lt;&gt;0,"*",)</f>
        <v>0</v>
      </c>
      <c r="I126" s="441"/>
      <c r="J126" s="441"/>
      <c r="K126" s="441"/>
      <c r="L126" s="441"/>
      <c r="M126" s="441"/>
      <c r="N126" s="442"/>
      <c r="O126" s="443"/>
      <c r="P126" s="322" t="e">
        <f>ROUND(SUM(GTT)*IF(AND(I126&lt;&gt;0,K126&lt;&gt;0),F126/100*I126*K126,IF(AND(I126&lt;&gt;0,K126=0),F126/100*I126,IF(AND(I126=0,K126&lt;&gt;0),F126/100*K126,IF(AND(I126=0,K126=0),F126/100)))),0)</f>
        <v>#REF!</v>
      </c>
      <c r="Q126" s="322"/>
      <c r="R126" s="392" t="e">
        <f>SUM(P126:Q126)</f>
        <v>#REF!</v>
      </c>
    </row>
    <row r="127" spans="1:21" ht="28.5" hidden="1" outlineLevel="1">
      <c r="A127" s="337">
        <f>IF(P127&lt;&gt;0,MAX($A$99:A126)+1,)</f>
        <v>0</v>
      </c>
      <c r="B127" s="388" t="s">
        <v>203</v>
      </c>
      <c r="C127" s="337">
        <f t="shared" si="17"/>
        <v>0</v>
      </c>
      <c r="D127" s="414" t="str">
        <f>"("&amp;C27&amp;"+"&amp;C27&amp;")*"</f>
        <v>(0+0)*</v>
      </c>
      <c r="E127" s="444" t="s">
        <v>204</v>
      </c>
      <c r="F127" s="439"/>
      <c r="G127" s="440"/>
      <c r="H127" s="441"/>
      <c r="I127" s="441"/>
      <c r="J127" s="441"/>
      <c r="K127" s="441"/>
      <c r="L127" s="441"/>
      <c r="M127" s="441"/>
      <c r="N127" s="442"/>
      <c r="O127" s="443"/>
      <c r="P127" s="322">
        <f>(P27+P28)*0.165%*0</f>
        <v>0</v>
      </c>
      <c r="Q127" s="322"/>
      <c r="R127" s="392">
        <f>SUM(P127:Q127)</f>
        <v>0</v>
      </c>
    </row>
    <row r="128" spans="1:21" ht="28.5" hidden="1" outlineLevel="1">
      <c r="A128" s="337" t="e">
        <f>IF(P128&lt;&gt;0,MAX($A$99:A127)+1,)</f>
        <v>#REF!</v>
      </c>
      <c r="B128" s="388" t="str">
        <f>NS!B70</f>
        <v>Lệ phí thẩm tra thiết kế (TT75/2014/TT-BTC ngày 12-06-2014)</v>
      </c>
      <c r="C128" s="337" t="e">
        <f t="shared" si="17"/>
        <v>#REF!</v>
      </c>
      <c r="D128" s="414" t="s">
        <v>132</v>
      </c>
      <c r="E128" s="444" t="e">
        <f>IF(AND(I128&lt;&gt;0,K128&lt;&gt;0),F128&amp;G128&amp;H128&amp;I128&amp;J128&amp;K128&amp;"*(1+10%)",IF(AND(I128&lt;&gt;0,K128=0),F128&amp;G128&amp;H128&amp;I128&amp;"*(1+10%)",IF(AND(I128=0,K128&lt;&gt;0),F128&amp;G128&amp;J128&amp;K128&amp;"*(1+10%)",IF(AND(I128=0,K128=0),F128&amp;G128))))</f>
        <v>#REF!</v>
      </c>
      <c r="F128" s="439" t="e">
        <f>NS!I70</f>
        <v>#REF!</v>
      </c>
      <c r="G128" s="440" t="s">
        <v>104</v>
      </c>
      <c r="H128" s="441">
        <f>IF(I128&lt;&gt;0,"*",)</f>
        <v>0</v>
      </c>
      <c r="I128" s="441"/>
      <c r="J128" s="441"/>
      <c r="K128" s="441"/>
      <c r="L128" s="441"/>
      <c r="M128" s="441"/>
      <c r="N128" s="442"/>
      <c r="O128" s="443"/>
      <c r="P128" s="322" t="e">
        <f>ROUND(SUM(GTT)*IF(AND(I128&lt;&gt;0,K128&lt;&gt;0),F128/100*I128*K128,IF(AND(I128&lt;&gt;0,K128=0),F128/100*I128,IF(AND(I128=0,K128&lt;&gt;0),F128/100*K128,IF(AND(I128=0,K128=0),F128/100)))),0)*0</f>
        <v>#REF!</v>
      </c>
      <c r="Q128" s="322"/>
      <c r="R128" s="392" t="e">
        <f>SUM(P128:Q128)</f>
        <v>#REF!</v>
      </c>
    </row>
    <row r="129" spans="1:21" hidden="1" outlineLevel="1">
      <c r="A129" s="337">
        <f>IF(P129&lt;&gt;0,MAX($A$99:A128)+1,)</f>
        <v>0</v>
      </c>
      <c r="B129" s="393" t="str">
        <f>NS!B72</f>
        <v>Chi phí nguyên cứu khoa học công nghệ liên quan dự án</v>
      </c>
      <c r="C129" s="337">
        <f t="shared" si="17"/>
        <v>0</v>
      </c>
      <c r="D129" s="436"/>
      <c r="E129" s="468"/>
      <c r="F129" s="400"/>
      <c r="G129" s="400"/>
      <c r="H129" s="400"/>
      <c r="I129" s="400"/>
      <c r="J129" s="400"/>
      <c r="K129" s="401"/>
      <c r="L129" s="401"/>
      <c r="M129" s="401"/>
      <c r="N129" s="401"/>
      <c r="O129" s="401"/>
      <c r="P129" s="392"/>
      <c r="Q129" s="392">
        <f>P129*10%</f>
        <v>0</v>
      </c>
      <c r="R129" s="392">
        <f t="shared" ref="R129:R139" si="19">P129+Q129</f>
        <v>0</v>
      </c>
    </row>
    <row r="130" spans="1:21" hidden="1" outlineLevel="1">
      <c r="A130" s="337">
        <f>IF(P130&lt;&gt;0,MAX($A$99:A129)+1,)</f>
        <v>0</v>
      </c>
      <c r="B130" s="393" t="str">
        <f>NS!B73</f>
        <v>Vốn lưu động ban đầu</v>
      </c>
      <c r="C130" s="337">
        <f t="shared" si="17"/>
        <v>0</v>
      </c>
      <c r="D130" s="436"/>
      <c r="E130" s="468"/>
      <c r="F130" s="400"/>
      <c r="G130" s="400"/>
      <c r="H130" s="400"/>
      <c r="I130" s="400"/>
      <c r="J130" s="400"/>
      <c r="K130" s="401"/>
      <c r="L130" s="401"/>
      <c r="M130" s="401"/>
      <c r="N130" s="401"/>
      <c r="O130" s="401"/>
      <c r="P130" s="392"/>
      <c r="Q130" s="392">
        <f>P130*10%</f>
        <v>0</v>
      </c>
      <c r="R130" s="392">
        <f t="shared" si="19"/>
        <v>0</v>
      </c>
    </row>
    <row r="131" spans="1:21" hidden="1" outlineLevel="1">
      <c r="A131" s="337">
        <f>IF(P131&lt;&gt;0,MAX($A$99:A130)+1,)</f>
        <v>0</v>
      </c>
      <c r="B131" s="393" t="str">
        <f>NS!B74</f>
        <v>Lãi vay trong thời gian xây dựng</v>
      </c>
      <c r="C131" s="337">
        <f t="shared" si="17"/>
        <v>0</v>
      </c>
      <c r="D131" s="436" t="s">
        <v>95</v>
      </c>
      <c r="E131" s="468"/>
      <c r="F131" s="400"/>
      <c r="G131" s="400"/>
      <c r="H131" s="400"/>
      <c r="I131" s="400"/>
      <c r="J131" s="400"/>
      <c r="K131" s="401"/>
      <c r="L131" s="401"/>
      <c r="M131" s="401"/>
      <c r="N131" s="401"/>
      <c r="O131" s="401"/>
      <c r="P131" s="392">
        <f>TMÑT*0.25*1.26%*30*0+21000000000*0</f>
        <v>0</v>
      </c>
      <c r="Q131" s="392"/>
      <c r="R131" s="392">
        <f t="shared" si="19"/>
        <v>0</v>
      </c>
    </row>
    <row r="132" spans="1:21" hidden="1" outlineLevel="1">
      <c r="A132" s="337">
        <f>IF(P132&lt;&gt;0,MAX($A$99:A131)+1,)</f>
        <v>0</v>
      </c>
      <c r="B132" s="393" t="str">
        <f>NS!B75</f>
        <v>Chi phí cho quá trình chạy thử không tải</v>
      </c>
      <c r="C132" s="337">
        <f t="shared" si="17"/>
        <v>0</v>
      </c>
      <c r="D132" s="436"/>
      <c r="E132" s="468"/>
      <c r="F132" s="400"/>
      <c r="G132" s="400"/>
      <c r="H132" s="400"/>
      <c r="I132" s="400"/>
      <c r="J132" s="400"/>
      <c r="K132" s="401"/>
      <c r="L132" s="401"/>
      <c r="M132" s="401"/>
      <c r="N132" s="401"/>
      <c r="O132" s="401"/>
      <c r="P132" s="392"/>
      <c r="Q132" s="392">
        <f>P132*10%</f>
        <v>0</v>
      </c>
      <c r="R132" s="392">
        <f t="shared" si="19"/>
        <v>0</v>
      </c>
    </row>
    <row r="133" spans="1:21" hidden="1" outlineLevel="1">
      <c r="A133" s="337">
        <f>IF(P133&lt;&gt;0,MAX($A$99:A132)+1,)</f>
        <v>0</v>
      </c>
      <c r="B133" s="393" t="str">
        <f>NS!B76</f>
        <v>Chi phí cho quá trình chạy thử có tảitheo qui trình công nghệ trước khi bàn giao trừ sản phẩm thu hồi được</v>
      </c>
      <c r="C133" s="337">
        <f t="shared" si="17"/>
        <v>0</v>
      </c>
      <c r="D133" s="436">
        <f>NS!T76</f>
        <v>0</v>
      </c>
      <c r="E133" s="468"/>
      <c r="F133" s="469">
        <f>NS!I76</f>
        <v>0</v>
      </c>
      <c r="G133" s="469"/>
      <c r="H133" s="469"/>
      <c r="I133" s="469"/>
      <c r="J133" s="469"/>
      <c r="K133" s="401"/>
      <c r="L133" s="401"/>
      <c r="M133" s="401"/>
      <c r="N133" s="401">
        <f>NS!S76</f>
        <v>0</v>
      </c>
      <c r="O133" s="401"/>
      <c r="P133" s="392"/>
      <c r="Q133" s="392">
        <f>P133*5%</f>
        <v>0</v>
      </c>
      <c r="R133" s="392">
        <f t="shared" si="19"/>
        <v>0</v>
      </c>
    </row>
    <row r="134" spans="1:21" ht="28.5" hidden="1" outlineLevel="1">
      <c r="A134" s="337">
        <f>IF(P134&lt;&gt;0,MAX($A$99:A133)+1,)</f>
        <v>0</v>
      </c>
      <c r="B134" s="388" t="s">
        <v>205</v>
      </c>
      <c r="C134" s="337">
        <f t="shared" si="17"/>
        <v>0</v>
      </c>
      <c r="D134" s="414" t="s">
        <v>189</v>
      </c>
      <c r="E134" s="444" t="str">
        <f>IF(AND(I134&lt;&gt;0,K134&lt;&gt;0),F134&amp;G134&amp;H134&amp;I134&amp;J134&amp;K134&amp;"*(1+10%)",IF(AND(I134&lt;&gt;0,K134=0),F134&amp;G134&amp;H134&amp;I134&amp;"*(1+10%)",IF(AND(I134=0,K134&lt;&gt;0),F134&amp;G134&amp;J134&amp;K134&amp;"*(1+10%)",IF(AND(I134=0,K134=0),F134&amp;G134))))</f>
        <v>0,0322%</v>
      </c>
      <c r="F134" s="469">
        <f>NS!I77</f>
        <v>3.2199999999999999E-2</v>
      </c>
      <c r="G134" s="440" t="s">
        <v>104</v>
      </c>
      <c r="H134" s="469"/>
      <c r="I134" s="469"/>
      <c r="J134" s="469"/>
      <c r="K134" s="401"/>
      <c r="L134" s="401"/>
      <c r="M134" s="401"/>
      <c r="N134" s="401"/>
      <c r="O134" s="401"/>
      <c r="P134" s="392">
        <f>IF(ROUND(SUM(TMÑT)*IF(AND(I134&lt;&gt;0,K134&lt;&gt;0),F134/100*I134*K134,IF(AND(I134&lt;&gt;0,K134=0),F134/100*I134,IF(AND(I134=0,K134&lt;&gt;0),F134/100*K134,IF(AND(I134=0,K134=0),F134/100)))),0)&lt;1*10^6,1*10^6,ROUND(SUM(TMÑT)*IF(AND(I134&lt;&gt;0,K134&lt;&gt;0),F134/100*I134*K134,IF(AND(I134&lt;&gt;0,K134=0),F134/100*I134,IF(AND(I134=0,K134&lt;&gt;0),F134/100*K134,IF(AND(I134=0,K134=0),F134/100)))),0))*0</f>
        <v>0</v>
      </c>
      <c r="Q134" s="392"/>
      <c r="R134" s="392">
        <f>SUM(P134:Q134)</f>
        <v>0</v>
      </c>
    </row>
    <row r="135" spans="1:21" ht="28.5" outlineLevel="1">
      <c r="A135" s="337" t="e">
        <f>IF(P135&lt;&gt;0,MAX($A$99:A134)+1,)</f>
        <v>#REF!</v>
      </c>
      <c r="B135" s="388" t="s">
        <v>205</v>
      </c>
      <c r="C135" s="337" t="e">
        <f t="shared" si="17"/>
        <v>#REF!</v>
      </c>
      <c r="D135" s="429" t="s">
        <v>206</v>
      </c>
      <c r="E135" s="437"/>
      <c r="F135" s="469"/>
      <c r="G135" s="440"/>
      <c r="H135" s="469"/>
      <c r="I135" s="469"/>
      <c r="J135" s="469"/>
      <c r="K135" s="401"/>
      <c r="L135" s="401"/>
      <c r="M135" s="401"/>
      <c r="N135" s="401"/>
      <c r="O135" s="401"/>
      <c r="P135" s="392">
        <f>29189937</f>
        <v>29189937</v>
      </c>
      <c r="Q135" s="392"/>
      <c r="R135" s="392">
        <f>SUM(P135:Q135)</f>
        <v>29189937</v>
      </c>
    </row>
    <row r="136" spans="1:21" hidden="1" outlineLevel="1">
      <c r="A136" s="337" t="e">
        <f>IF(P136&lt;&gt;0,MAX($A$99:A135)+1,)</f>
        <v>#REF!</v>
      </c>
      <c r="B136" s="388" t="s">
        <v>207</v>
      </c>
      <c r="C136" s="337" t="e">
        <f t="shared" si="17"/>
        <v>#REF!</v>
      </c>
      <c r="D136" s="414" t="s">
        <v>174</v>
      </c>
      <c r="E136" s="470" t="s">
        <v>208</v>
      </c>
      <c r="F136" s="439">
        <v>0.3004</v>
      </c>
      <c r="G136" s="440" t="s">
        <v>104</v>
      </c>
      <c r="H136" s="441">
        <f>IF(I136&lt;&gt;0,"*",)</f>
        <v>0</v>
      </c>
      <c r="I136" s="441"/>
      <c r="J136" s="441"/>
      <c r="K136" s="441" t="e">
        <f>IF(AND($E$194=1,GTB/TMÑT&gt;=51%),50%,)</f>
        <v>#REF!</v>
      </c>
      <c r="L136" s="441"/>
      <c r="M136" s="441"/>
      <c r="N136" s="442"/>
      <c r="O136" s="443"/>
      <c r="P136" s="392" t="e">
        <f>P23*20%*0</f>
        <v>#REF!</v>
      </c>
      <c r="Q136" s="392"/>
      <c r="R136" s="392" t="e">
        <f>SUM(P136:Q136)</f>
        <v>#REF!</v>
      </c>
    </row>
    <row r="137" spans="1:21" ht="28.5" outlineLevel="1">
      <c r="A137" s="337" t="e">
        <f>IF(P137&lt;&gt;0,MAX($A$99:A136)+1,)</f>
        <v>#REF!</v>
      </c>
      <c r="B137" s="388" t="s">
        <v>209</v>
      </c>
      <c r="C137" s="337" t="e">
        <f t="shared" si="17"/>
        <v>#REF!</v>
      </c>
      <c r="D137" s="429" t="s">
        <v>210</v>
      </c>
      <c r="E137" s="437"/>
      <c r="F137" s="439"/>
      <c r="G137" s="440"/>
      <c r="H137" s="441"/>
      <c r="I137" s="441"/>
      <c r="J137" s="441"/>
      <c r="K137" s="441"/>
      <c r="L137" s="441"/>
      <c r="M137" s="441"/>
      <c r="N137" s="442"/>
      <c r="O137" s="443"/>
      <c r="P137" s="392" t="e">
        <f>TGTHMUC!#REF!/1.1</f>
        <v>#REF!</v>
      </c>
      <c r="Q137" s="392" t="e">
        <f>ROUND(P137*10%,0)</f>
        <v>#REF!</v>
      </c>
      <c r="R137" s="392" t="e">
        <f>Q137+P137</f>
        <v>#REF!</v>
      </c>
    </row>
    <row r="138" spans="1:21" s="129" customFormat="1" ht="42.75" hidden="1" outlineLevel="1">
      <c r="A138" s="316" t="e">
        <f>IF(P138&lt;&gt;0,MAX($A$95:A136)+1,)</f>
        <v>#REF!</v>
      </c>
      <c r="B138" s="388" t="s">
        <v>211</v>
      </c>
      <c r="C138" s="316" t="e">
        <f>IF(P138&lt;&gt;0,"Gtv"&amp;A138,)</f>
        <v>#REF!</v>
      </c>
      <c r="D138" s="471" t="s">
        <v>212</v>
      </c>
      <c r="E138" s="471"/>
      <c r="F138" s="472"/>
      <c r="G138" s="472"/>
      <c r="H138" s="472"/>
      <c r="I138" s="472"/>
      <c r="J138" s="472"/>
      <c r="K138" s="473"/>
      <c r="L138" s="473"/>
      <c r="M138" s="473"/>
      <c r="N138" s="473"/>
      <c r="O138" s="473"/>
      <c r="P138" s="474" t="e">
        <f>GTT*1%*0</f>
        <v>#REF!</v>
      </c>
      <c r="Q138" s="474" t="e">
        <f>P138*10%</f>
        <v>#REF!</v>
      </c>
      <c r="R138" s="475" t="e">
        <f>SUM(P138:Q138)</f>
        <v>#REF!</v>
      </c>
      <c r="U138" s="130"/>
    </row>
    <row r="139" spans="1:21" hidden="1" outlineLevel="1">
      <c r="A139" s="394" t="e">
        <f>IF(P139&lt;&gt;0,MAX($A$99:A133)+1,)</f>
        <v>#REF!</v>
      </c>
      <c r="B139" s="393" t="str">
        <f>NS!B80</f>
        <v>Một số chi phí khác</v>
      </c>
      <c r="C139" s="394" t="e">
        <f>IF(P139&lt;&gt;0,"Gk"&amp;A139,)</f>
        <v>#REF!</v>
      </c>
      <c r="D139" s="436" t="s">
        <v>177</v>
      </c>
      <c r="E139" s="468"/>
      <c r="F139" s="469">
        <f>NS!I80</f>
        <v>0</v>
      </c>
      <c r="G139" s="469"/>
      <c r="H139" s="469"/>
      <c r="I139" s="469"/>
      <c r="J139" s="469"/>
      <c r="K139" s="401"/>
      <c r="L139" s="401"/>
      <c r="M139" s="401"/>
      <c r="N139" s="401">
        <f>NS!S80</f>
        <v>0</v>
      </c>
      <c r="O139" s="401"/>
      <c r="P139" s="392" t="e">
        <f>(GTT+P13)*1.5%*0</f>
        <v>#REF!</v>
      </c>
      <c r="Q139" s="392" t="e">
        <f>P139*10%</f>
        <v>#REF!</v>
      </c>
      <c r="R139" s="392" t="e">
        <f t="shared" si="19"/>
        <v>#REF!</v>
      </c>
    </row>
    <row r="140" spans="1:21" outlineLevel="1">
      <c r="A140" s="380" t="e">
        <f>IF(MAX($O$11,$O$15,$O$20,$O$23, $O$24,$O$99)=1,"II - ",IF(MAX($O$11,$O$15,$O$20,$O$23, $O$24,$O$99)=2,"III - ",IF(MAX($O$11,$O$15,$O$20,$O$23, $O$24,$O$99)=3,"IV - ",IF(MAX($O$11,$O$15,$O$20,$O$23, $O$24,$O$99)=4,"V - ",IF(MAX($O$11,$O$15,$O$20,$O$23, $O$24,$O$99)=5,"VI - ",IF(MAX($O$11,$O$15,$O$20,$O$23, $O$24,$O$99)=6,"VII - ",IF(MAX($O$11,$O$15,O$20,O$23,O$24,O$99)=7,"VIII - ")))))))</f>
        <v>#REF!</v>
      </c>
      <c r="B140" s="381" t="s">
        <v>213</v>
      </c>
      <c r="C140" s="394"/>
      <c r="D140" s="476" t="s">
        <v>214</v>
      </c>
      <c r="E140" s="468"/>
      <c r="F140" s="469"/>
      <c r="G140" s="469"/>
      <c r="H140" s="469"/>
      <c r="I140" s="469"/>
      <c r="J140" s="469"/>
      <c r="K140" s="401"/>
      <c r="L140" s="401"/>
      <c r="M140" s="401"/>
      <c r="N140" s="401"/>
      <c r="O140" s="333" t="e">
        <f>IF(P140&lt;&gt;0,MAX($O$9:$O139)+1,0)</f>
        <v>#REF!</v>
      </c>
      <c r="P140" s="384" t="e">
        <f>P11+TBL+P20+P23+P24+P99+P16</f>
        <v>#REF!</v>
      </c>
      <c r="Q140" s="384" t="e">
        <f>Q11+Q15+Q20+Q23+Q24+Q99+Q16</f>
        <v>#REF!</v>
      </c>
      <c r="R140" s="384" t="e">
        <f>Q140+P140</f>
        <v>#REF!</v>
      </c>
      <c r="S140" s="320"/>
    </row>
    <row r="141" spans="1:21" hidden="1" outlineLevel="1">
      <c r="A141" s="380" t="s">
        <v>215</v>
      </c>
      <c r="B141" s="381" t="s">
        <v>216</v>
      </c>
      <c r="C141" s="382" t="s">
        <v>217</v>
      </c>
      <c r="D141" s="382" t="s">
        <v>218</v>
      </c>
      <c r="E141" s="382"/>
      <c r="F141" s="469"/>
      <c r="G141" s="469"/>
      <c r="H141" s="469"/>
      <c r="I141" s="469"/>
      <c r="J141" s="469"/>
      <c r="K141" s="401"/>
      <c r="L141" s="401"/>
      <c r="M141" s="401"/>
      <c r="N141" s="401"/>
      <c r="O141" s="333"/>
      <c r="P141" s="384">
        <f>(TBA!D22+TBA!F22/1.1)*0</f>
        <v>0</v>
      </c>
      <c r="Q141" s="384">
        <f>(TBA!E22+TBA!F22/1.1*10%)*0</f>
        <v>0</v>
      </c>
      <c r="R141" s="384">
        <f>Q141+P141</f>
        <v>0</v>
      </c>
      <c r="S141" s="320"/>
    </row>
    <row r="142" spans="1:21">
      <c r="A142" s="380" t="s">
        <v>215</v>
      </c>
      <c r="B142" s="381" t="s">
        <v>219</v>
      </c>
      <c r="C142" s="333" t="s">
        <v>220</v>
      </c>
      <c r="D142" s="476" t="s">
        <v>221</v>
      </c>
      <c r="E142" s="437"/>
      <c r="F142" s="425"/>
      <c r="G142" s="425"/>
      <c r="H142" s="457"/>
      <c r="I142" s="457"/>
      <c r="J142" s="457"/>
      <c r="K142" s="333"/>
      <c r="L142" s="333"/>
      <c r="M142" s="333"/>
      <c r="N142" s="333"/>
      <c r="O142" s="333" t="e">
        <f>IF(P142&lt;&gt;0,MAX($O$9:$O140)+1,0)</f>
        <v>#REF!</v>
      </c>
      <c r="P142" s="384" t="e">
        <f>SUM(P143:P144)/SUM(R143:R144)*R336</f>
        <v>#REF!</v>
      </c>
      <c r="Q142" s="384" t="e">
        <f>SUM(Q143:Q144)/SUM(R143:R144)*R336</f>
        <v>#REF!</v>
      </c>
      <c r="R142" s="384" t="e">
        <f>Q142+P142</f>
        <v>#REF!</v>
      </c>
      <c r="S142" s="359"/>
    </row>
    <row r="143" spans="1:21" hidden="1">
      <c r="A143" s="394" t="e">
        <f>IF(P143&lt;&gt;0,MAX($A$142:A142)+1,)</f>
        <v>#REF!</v>
      </c>
      <c r="B143" s="393" t="str">
        <f>NS!B85</f>
        <v>Chi phí dự phòng cho yếu tố khối lượng phát sinh</v>
      </c>
      <c r="C143" s="407" t="s">
        <v>222</v>
      </c>
      <c r="D143" s="476" t="s">
        <v>223</v>
      </c>
      <c r="E143" s="468"/>
      <c r="F143" s="469"/>
      <c r="G143" s="469"/>
      <c r="H143" s="469"/>
      <c r="I143" s="469"/>
      <c r="J143" s="469"/>
      <c r="K143" s="401"/>
      <c r="L143" s="401"/>
      <c r="M143" s="401"/>
      <c r="N143" s="401"/>
      <c r="O143" s="401"/>
      <c r="P143" s="477" t="e">
        <f>(P140-P24-P99+SUM(P66:P85)+P112+P119+P120+P137)*5%</f>
        <v>#REF!</v>
      </c>
      <c r="Q143" s="477" t="e">
        <f>(Q140-Q24-Q99+SUM(Q66:Q85)+Q112+Q119+Q120+Q137)*5%</f>
        <v>#REF!</v>
      </c>
      <c r="R143" s="477" t="e">
        <f>P143+Q143</f>
        <v>#REF!</v>
      </c>
      <c r="S143" s="185">
        <v>7387179880</v>
      </c>
    </row>
    <row r="144" spans="1:21" hidden="1">
      <c r="A144" s="394" t="e">
        <f>IF(P144&lt;&gt;0,MAX($A$142:A143)+1,)</f>
        <v>#REF!</v>
      </c>
      <c r="B144" s="393" t="s">
        <v>224</v>
      </c>
      <c r="C144" s="407" t="s">
        <v>225</v>
      </c>
      <c r="D144" s="479" t="s">
        <v>226</v>
      </c>
      <c r="E144" s="468"/>
      <c r="F144" s="469"/>
      <c r="G144" s="469"/>
      <c r="H144" s="469"/>
      <c r="I144" s="469"/>
      <c r="J144" s="469"/>
      <c r="K144" s="401"/>
      <c r="L144" s="401"/>
      <c r="M144" s="401"/>
      <c r="N144" s="401"/>
      <c r="O144" s="401"/>
      <c r="P144" s="477" t="e">
        <f>'DP2'!H19</f>
        <v>#REF!</v>
      </c>
      <c r="Q144" s="477" t="e">
        <f>('DP2'!G19-'DP2'!H19)</f>
        <v>#REF!</v>
      </c>
      <c r="R144" s="478" t="e">
        <f>SUM(P144:Q144)</f>
        <v>#REF!</v>
      </c>
    </row>
    <row r="145" spans="1:20" hidden="1">
      <c r="A145" s="394" t="e">
        <f>IF(P145&lt;&gt;0,MAX($A$142:A143)+1,)</f>
        <v>#REF!</v>
      </c>
      <c r="B145" s="393" t="str">
        <f>NS!B86</f>
        <v>Chi phí dự phòng cho yếu tố trượt giá</v>
      </c>
      <c r="C145" s="407" t="s">
        <v>225</v>
      </c>
      <c r="D145" s="479" t="s">
        <v>227</v>
      </c>
      <c r="E145" s="468"/>
      <c r="F145" s="469"/>
      <c r="G145" s="469"/>
      <c r="H145" s="469"/>
      <c r="I145" s="469"/>
      <c r="J145" s="469"/>
      <c r="K145" s="401"/>
      <c r="L145" s="401"/>
      <c r="M145" s="401"/>
      <c r="N145" s="401"/>
      <c r="O145" s="401"/>
      <c r="P145" s="477" t="e">
        <f>(P11+TBL+P23+P24+P99-P131)*15%*0</f>
        <v>#REF!</v>
      </c>
      <c r="Q145" s="477" t="e">
        <f>(Q11+Q15+Q23+Q24+Q99-Q131)*15%*0</f>
        <v>#REF!</v>
      </c>
      <c r="R145" s="478" t="e">
        <f>SUM(P145:Q145)</f>
        <v>#REF!</v>
      </c>
    </row>
    <row r="146" spans="1:20">
      <c r="A146" s="380" t="s">
        <v>228</v>
      </c>
      <c r="B146" s="381" t="s">
        <v>229</v>
      </c>
      <c r="C146" s="333" t="s">
        <v>217</v>
      </c>
      <c r="D146" s="436" t="s">
        <v>230</v>
      </c>
      <c r="E146" s="437"/>
      <c r="F146" s="425"/>
      <c r="G146" s="425"/>
      <c r="H146" s="457"/>
      <c r="I146" s="457"/>
      <c r="J146" s="457"/>
      <c r="K146" s="333"/>
      <c r="L146" s="333"/>
      <c r="M146" s="333"/>
      <c r="N146" s="333"/>
      <c r="O146" s="333" t="e">
        <f>IF(P146&lt;&gt;0,MAX($O$9:$O144)+1,0)</f>
        <v>#REF!</v>
      </c>
      <c r="P146" s="384">
        <f>R146/1.1</f>
        <v>655542374.54545438</v>
      </c>
      <c r="Q146" s="384">
        <f>P146*10%</f>
        <v>65554237.454545438</v>
      </c>
      <c r="R146" s="384">
        <f>TBA!G22</f>
        <v>721096611.99999988</v>
      </c>
      <c r="S146" s="359"/>
    </row>
    <row r="147" spans="1:20">
      <c r="A147" s="493" t="s">
        <v>231</v>
      </c>
      <c r="B147" s="494" t="s">
        <v>232</v>
      </c>
      <c r="C147" s="453" t="s">
        <v>233</v>
      </c>
      <c r="D147" s="476" t="s">
        <v>234</v>
      </c>
      <c r="E147" s="468"/>
      <c r="F147" s="469"/>
      <c r="G147" s="469"/>
      <c r="H147" s="469"/>
      <c r="I147" s="469"/>
      <c r="J147" s="469"/>
      <c r="K147" s="401"/>
      <c r="L147" s="401"/>
      <c r="M147" s="401"/>
      <c r="N147" s="401"/>
      <c r="O147" s="401"/>
      <c r="P147" s="492" t="e">
        <f>P140+P142+P146</f>
        <v>#REF!</v>
      </c>
      <c r="Q147" s="492" t="e">
        <f>Q140+Q142+Q146</f>
        <v>#REF!</v>
      </c>
      <c r="R147" s="492" t="e">
        <f>R140+R142+R146</f>
        <v>#REF!</v>
      </c>
      <c r="S147" s="320">
        <f>S142+S99+S24+S23+S11</f>
        <v>67934000</v>
      </c>
    </row>
    <row r="148" spans="1:20">
      <c r="A148" s="480"/>
      <c r="B148" s="481"/>
      <c r="C148" s="482"/>
      <c r="D148" s="483"/>
      <c r="E148" s="484"/>
      <c r="F148" s="485"/>
      <c r="G148" s="485"/>
      <c r="H148" s="485"/>
      <c r="I148" s="485"/>
      <c r="J148" s="485"/>
      <c r="K148" s="482"/>
      <c r="L148" s="482"/>
      <c r="M148" s="482"/>
      <c r="N148" s="482"/>
      <c r="O148" s="482"/>
      <c r="P148" s="486"/>
      <c r="Q148" s="486"/>
      <c r="R148" s="486"/>
    </row>
    <row r="149" spans="1:20">
      <c r="A149" s="185" t="e">
        <f>IF(MAX($O$11:$O$144)=1,"II - ",IF(MAX($O$11:$O$144)=2,"III - ",IF(MAX($O$11:$O$144)=3,"IV - ",IF(MAX($O$11:$O$144)=4,"V - ",IF(MAX($O$11:$O$144)=5,"VI - ",IF(MAX($O$11:$O$144)=6,"VII - ",IF(MAX($O$11:$O$144)=7,"VIII - ")))))))*0</f>
        <v>#REF!</v>
      </c>
      <c r="D149" s="476" t="s">
        <v>221</v>
      </c>
      <c r="E149" s="437"/>
      <c r="S149" s="320"/>
    </row>
    <row r="150" spans="1:20">
      <c r="A150" s="380" t="e">
        <f>IF(MAX($O$11,$O$15,$O$20,$O$23, $O$24,$O$99,$O$140)=1,"II - ",IF(MAX($O$11,$O$15,$O$20,$O$23, $O$24,$O$99,$O$140)=2,"III - ",IF(MAX($O$11,$O$15,$O$20,$O$23, $O$24,$O$99,$O$140)=3,"IV - ",IF(MAX($O$11,$O$15,$O$20,$O$23, $O$24,$O$99,$O$140)=4,"V - ",IF(MAX($O$11,$O$15,$O$20,$O$23, $O$24,$O$99,$O$140)=5,"VI - ",IF(MAX($O$11,$O$15,$O$20,$O$23, $O$24,$O$99,$O$140)=6,"VII - ",IF(MAX($O$11,$O$15,O$20,O$23,O$24,O$99,$O$140)=7,"VIII - ")))))))</f>
        <v>#REF!</v>
      </c>
      <c r="D150" s="476" t="s">
        <v>235</v>
      </c>
      <c r="P150" s="386" t="e">
        <f>P143/5%</f>
        <v>#REF!</v>
      </c>
      <c r="Q150" s="386" t="e">
        <f>Q143/5%</f>
        <v>#REF!</v>
      </c>
      <c r="S150" s="359"/>
      <c r="T150" s="359"/>
    </row>
    <row r="151" spans="1:20">
      <c r="D151" s="476" t="s">
        <v>235</v>
      </c>
      <c r="P151" s="386"/>
      <c r="Q151" s="386"/>
      <c r="R151" s="633">
        <v>176863025646</v>
      </c>
      <c r="S151" s="386"/>
      <c r="T151" s="487"/>
    </row>
    <row r="152" spans="1:20">
      <c r="R152" s="359">
        <v>107022308686</v>
      </c>
      <c r="S152" s="320"/>
    </row>
    <row r="153" spans="1:20" hidden="1">
      <c r="S153" s="359" t="e">
        <f>R140/34700</f>
        <v>#REF!</v>
      </c>
    </row>
    <row r="154" spans="1:20" hidden="1">
      <c r="B154" s="488" t="s">
        <v>236</v>
      </c>
      <c r="C154" s="185" t="s">
        <v>237</v>
      </c>
      <c r="S154" s="359"/>
    </row>
    <row r="155" spans="1:20" hidden="1">
      <c r="B155" s="489" t="s">
        <v>238</v>
      </c>
      <c r="C155" s="185">
        <v>3</v>
      </c>
      <c r="D155" s="185">
        <v>1</v>
      </c>
      <c r="E155" s="185">
        <v>2</v>
      </c>
      <c r="P155" s="359">
        <v>3</v>
      </c>
      <c r="Q155" s="359">
        <v>4</v>
      </c>
    </row>
    <row r="156" spans="1:20" hidden="1">
      <c r="B156" s="489" t="s">
        <v>239</v>
      </c>
      <c r="C156" s="185">
        <v>2</v>
      </c>
      <c r="D156" s="185">
        <v>2</v>
      </c>
      <c r="E156" s="185">
        <v>3</v>
      </c>
    </row>
    <row r="157" spans="1:20" hidden="1">
      <c r="B157" s="489" t="s">
        <v>240</v>
      </c>
      <c r="C157" s="185">
        <v>0</v>
      </c>
      <c r="D157" s="185" t="s">
        <v>241</v>
      </c>
      <c r="E157" s="185">
        <v>1</v>
      </c>
      <c r="P157" s="359" t="s">
        <v>242</v>
      </c>
      <c r="Q157" s="359">
        <v>0</v>
      </c>
    </row>
    <row r="158" spans="1:20" hidden="1">
      <c r="B158" s="489" t="s">
        <v>243</v>
      </c>
      <c r="D158" s="185" t="s">
        <v>244</v>
      </c>
      <c r="E158" s="185">
        <v>1</v>
      </c>
      <c r="F158" s="359" t="s">
        <v>245</v>
      </c>
    </row>
    <row r="159" spans="1:20" hidden="1">
      <c r="B159" s="489" t="s">
        <v>243</v>
      </c>
      <c r="D159" s="185" t="s">
        <v>246</v>
      </c>
      <c r="E159" s="185">
        <v>1</v>
      </c>
      <c r="F159" s="359" t="s">
        <v>245</v>
      </c>
    </row>
    <row r="160" spans="1:20" hidden="1">
      <c r="B160" s="490" t="s">
        <v>247</v>
      </c>
      <c r="C160" s="185" t="s">
        <v>248</v>
      </c>
      <c r="D160" s="185" t="s">
        <v>249</v>
      </c>
      <c r="P160" s="359" t="s">
        <v>237</v>
      </c>
    </row>
    <row r="161" spans="2:16" hidden="1">
      <c r="B161" s="185" t="s">
        <v>250</v>
      </c>
      <c r="C161" s="185" t="s">
        <v>237</v>
      </c>
    </row>
    <row r="162" spans="2:16" hidden="1">
      <c r="B162" s="185" t="s">
        <v>251</v>
      </c>
      <c r="C162" s="185" t="s">
        <v>252</v>
      </c>
    </row>
    <row r="163" spans="2:16" hidden="1">
      <c r="B163" s="185" t="s">
        <v>253</v>
      </c>
      <c r="C163" s="185" t="s">
        <v>254</v>
      </c>
    </row>
    <row r="164" spans="2:16" hidden="1">
      <c r="B164" s="185" t="s">
        <v>255</v>
      </c>
      <c r="C164" s="185" t="s">
        <v>256</v>
      </c>
    </row>
    <row r="165" spans="2:16" hidden="1">
      <c r="B165" s="185" t="s">
        <v>257</v>
      </c>
      <c r="C165" s="185" t="s">
        <v>258</v>
      </c>
    </row>
    <row r="166" spans="2:16" hidden="1"/>
    <row r="167" spans="2:16" hidden="1"/>
    <row r="168" spans="2:16" hidden="1">
      <c r="B168" s="490" t="s">
        <v>259</v>
      </c>
      <c r="C168" s="185" t="s">
        <v>260</v>
      </c>
      <c r="D168" s="185" t="s">
        <v>261</v>
      </c>
      <c r="P168" s="359" t="s">
        <v>262</v>
      </c>
    </row>
    <row r="169" spans="2:16" hidden="1">
      <c r="B169" s="490" t="s">
        <v>263</v>
      </c>
      <c r="C169" s="185" t="s">
        <v>264</v>
      </c>
    </row>
    <row r="170" spans="2:16" hidden="1">
      <c r="B170" s="490" t="s">
        <v>265</v>
      </c>
      <c r="C170" s="185" t="s">
        <v>266</v>
      </c>
    </row>
    <row r="171" spans="2:16" hidden="1">
      <c r="B171" s="490" t="s">
        <v>267</v>
      </c>
      <c r="C171" s="185" t="s">
        <v>262</v>
      </c>
    </row>
    <row r="172" spans="2:16" hidden="1">
      <c r="B172" s="490" t="s">
        <v>268</v>
      </c>
      <c r="C172" s="185" t="s">
        <v>269</v>
      </c>
    </row>
    <row r="173" spans="2:16" hidden="1">
      <c r="B173" s="490" t="s">
        <v>270</v>
      </c>
    </row>
    <row r="174" spans="2:16" hidden="1">
      <c r="B174" s="491" t="s">
        <v>271</v>
      </c>
      <c r="C174" s="185" t="s">
        <v>272</v>
      </c>
      <c r="D174" s="185" t="s">
        <v>261</v>
      </c>
    </row>
    <row r="175" spans="2:16" hidden="1">
      <c r="B175" s="491" t="s">
        <v>273</v>
      </c>
      <c r="C175" s="185" t="s">
        <v>274</v>
      </c>
    </row>
    <row r="176" spans="2:16" hidden="1">
      <c r="B176" s="491" t="s">
        <v>275</v>
      </c>
      <c r="C176" s="185" t="s">
        <v>276</v>
      </c>
    </row>
    <row r="177" spans="2:6" hidden="1">
      <c r="B177" s="491" t="s">
        <v>277</v>
      </c>
      <c r="C177" s="185" t="s">
        <v>278</v>
      </c>
    </row>
    <row r="178" spans="2:6" hidden="1">
      <c r="B178" s="491" t="s">
        <v>279</v>
      </c>
      <c r="C178" s="185" t="s">
        <v>280</v>
      </c>
    </row>
    <row r="179" spans="2:6" hidden="1">
      <c r="B179" s="490" t="s">
        <v>281</v>
      </c>
      <c r="C179" s="185" t="s">
        <v>282</v>
      </c>
    </row>
    <row r="180" spans="2:6" hidden="1">
      <c r="B180" s="490"/>
    </row>
    <row r="181" spans="2:6" hidden="1"/>
    <row r="182" spans="2:6" hidden="1">
      <c r="B182" s="185" t="s">
        <v>283</v>
      </c>
      <c r="D182" s="185" t="s">
        <v>261</v>
      </c>
      <c r="E182" s="185">
        <v>1</v>
      </c>
      <c r="F182" s="359" t="s">
        <v>284</v>
      </c>
    </row>
    <row r="183" spans="2:6" hidden="1"/>
    <row r="184" spans="2:6" hidden="1">
      <c r="B184" s="185" t="s">
        <v>285</v>
      </c>
    </row>
    <row r="185" spans="2:6" hidden="1">
      <c r="B185" s="185" t="s">
        <v>286</v>
      </c>
      <c r="C185" s="185" t="s">
        <v>287</v>
      </c>
    </row>
    <row r="186" spans="2:6" hidden="1">
      <c r="B186" s="185" t="s">
        <v>288</v>
      </c>
      <c r="C186" s="185" t="s">
        <v>289</v>
      </c>
    </row>
    <row r="187" spans="2:6" hidden="1">
      <c r="B187" s="185" t="s">
        <v>290</v>
      </c>
    </row>
    <row r="188" spans="2:6" hidden="1">
      <c r="B188" s="185" t="s">
        <v>291</v>
      </c>
      <c r="C188" s="185" t="s">
        <v>292</v>
      </c>
    </row>
    <row r="189" spans="2:6" hidden="1">
      <c r="B189" s="185" t="s">
        <v>293</v>
      </c>
      <c r="C189" s="185" t="s">
        <v>294</v>
      </c>
    </row>
    <row r="190" spans="2:6" hidden="1">
      <c r="B190" s="185" t="s">
        <v>295</v>
      </c>
    </row>
    <row r="191" spans="2:6" hidden="1">
      <c r="B191" s="185" t="s">
        <v>296</v>
      </c>
    </row>
    <row r="192" spans="2:6" hidden="1">
      <c r="B192" s="185" t="s">
        <v>297</v>
      </c>
    </row>
    <row r="193" spans="2:2" hidden="1">
      <c r="B193" s="185" t="s">
        <v>298</v>
      </c>
    </row>
    <row r="194" spans="2:2" hidden="1">
      <c r="B194" s="185" t="s">
        <v>299</v>
      </c>
    </row>
    <row r="195" spans="2:2" hidden="1">
      <c r="B195" s="185" t="s">
        <v>300</v>
      </c>
    </row>
    <row r="196" spans="2:2" hidden="1">
      <c r="B196" s="185" t="s">
        <v>301</v>
      </c>
    </row>
    <row r="197" spans="2:2" hidden="1">
      <c r="B197" s="185" t="s">
        <v>302</v>
      </c>
    </row>
    <row r="198" spans="2:2" hidden="1"/>
    <row r="199" spans="2:2" hidden="1">
      <c r="B199" s="185" t="s">
        <v>303</v>
      </c>
    </row>
    <row r="200" spans="2:2" hidden="1"/>
    <row r="201" spans="2:2" hidden="1">
      <c r="B201" s="185" t="s">
        <v>304</v>
      </c>
    </row>
    <row r="202" spans="2:2" hidden="1">
      <c r="B202" s="185" t="s">
        <v>305</v>
      </c>
    </row>
    <row r="203" spans="2:2" hidden="1">
      <c r="B203" s="185" t="s">
        <v>306</v>
      </c>
    </row>
    <row r="204" spans="2:2" hidden="1">
      <c r="B204" s="185" t="s">
        <v>307</v>
      </c>
    </row>
    <row r="205" spans="2:2" hidden="1">
      <c r="B205" s="185" t="s">
        <v>308</v>
      </c>
    </row>
    <row r="206" spans="2:2" hidden="1">
      <c r="B206" s="185" t="s">
        <v>309</v>
      </c>
    </row>
    <row r="207" spans="2:2" hidden="1">
      <c r="B207" s="185" t="s">
        <v>310</v>
      </c>
    </row>
    <row r="208" spans="2:2" hidden="1"/>
    <row r="209" spans="2:2" hidden="1">
      <c r="B209" s="185" t="s">
        <v>311</v>
      </c>
    </row>
    <row r="210" spans="2:2" hidden="1">
      <c r="B210" s="185" t="s">
        <v>312</v>
      </c>
    </row>
    <row r="211" spans="2:2" hidden="1">
      <c r="B211" s="185" t="s">
        <v>313</v>
      </c>
    </row>
    <row r="212" spans="2:2" hidden="1">
      <c r="B212" s="185" t="s">
        <v>314</v>
      </c>
    </row>
    <row r="213" spans="2:2" hidden="1">
      <c r="B213" s="185" t="s">
        <v>315</v>
      </c>
    </row>
    <row r="214" spans="2:2" hidden="1">
      <c r="B214" s="185" t="s">
        <v>316</v>
      </c>
    </row>
    <row r="215" spans="2:2" hidden="1">
      <c r="B215" s="185" t="s">
        <v>317</v>
      </c>
    </row>
    <row r="216" spans="2:2" hidden="1">
      <c r="B216" s="185" t="s">
        <v>318</v>
      </c>
    </row>
    <row r="217" spans="2:2" hidden="1">
      <c r="B217" s="185" t="s">
        <v>319</v>
      </c>
    </row>
    <row r="218" spans="2:2" hidden="1"/>
    <row r="219" spans="2:2" hidden="1">
      <c r="B219" s="185" t="s">
        <v>320</v>
      </c>
    </row>
    <row r="220" spans="2:2" hidden="1">
      <c r="B220" s="185" t="s">
        <v>321</v>
      </c>
    </row>
    <row r="221" spans="2:2" hidden="1">
      <c r="B221" s="185" t="s">
        <v>322</v>
      </c>
    </row>
    <row r="222" spans="2:2" hidden="1"/>
    <row r="223" spans="2:2" hidden="1">
      <c r="B223" s="185" t="s">
        <v>323</v>
      </c>
    </row>
    <row r="224" spans="2:2" hidden="1">
      <c r="B224" s="185" t="s">
        <v>324</v>
      </c>
    </row>
    <row r="225" spans="2:2" hidden="1">
      <c r="B225" s="185" t="s">
        <v>325</v>
      </c>
    </row>
    <row r="226" spans="2:2" hidden="1">
      <c r="B226" s="185" t="s">
        <v>326</v>
      </c>
    </row>
    <row r="227" spans="2:2" hidden="1"/>
    <row r="228" spans="2:2" hidden="1">
      <c r="B228" s="185" t="s">
        <v>327</v>
      </c>
    </row>
    <row r="229" spans="2:2" hidden="1">
      <c r="B229" s="185" t="s">
        <v>328</v>
      </c>
    </row>
    <row r="230" spans="2:2" hidden="1">
      <c r="B230" s="185" t="s">
        <v>329</v>
      </c>
    </row>
    <row r="231" spans="2:2" hidden="1">
      <c r="B231" s="185" t="s">
        <v>330</v>
      </c>
    </row>
    <row r="232" spans="2:2" hidden="1">
      <c r="B232" s="185" t="s">
        <v>331</v>
      </c>
    </row>
    <row r="233" spans="2:2" hidden="1">
      <c r="B233" s="185" t="s">
        <v>332</v>
      </c>
    </row>
    <row r="234" spans="2:2" hidden="1">
      <c r="B234" s="185" t="s">
        <v>333</v>
      </c>
    </row>
    <row r="235" spans="2:2" hidden="1">
      <c r="B235" s="185" t="s">
        <v>334</v>
      </c>
    </row>
    <row r="236" spans="2:2" hidden="1">
      <c r="B236" s="185" t="s">
        <v>335</v>
      </c>
    </row>
    <row r="237" spans="2:2" hidden="1"/>
    <row r="238" spans="2:2" hidden="1">
      <c r="B238" s="185" t="s">
        <v>336</v>
      </c>
    </row>
    <row r="239" spans="2:2" hidden="1">
      <c r="B239" s="185" t="s">
        <v>324</v>
      </c>
    </row>
    <row r="240" spans="2:2" hidden="1">
      <c r="B240" s="185" t="s">
        <v>337</v>
      </c>
    </row>
    <row r="241" spans="2:2" hidden="1">
      <c r="B241" s="185" t="s">
        <v>338</v>
      </c>
    </row>
    <row r="242" spans="2:2" hidden="1"/>
    <row r="243" spans="2:2" hidden="1">
      <c r="B243" s="185" t="s">
        <v>339</v>
      </c>
    </row>
    <row r="244" spans="2:2" hidden="1">
      <c r="B244" s="185" t="s">
        <v>340</v>
      </c>
    </row>
    <row r="245" spans="2:2" hidden="1">
      <c r="B245" s="185" t="s">
        <v>341</v>
      </c>
    </row>
    <row r="246" spans="2:2" hidden="1">
      <c r="B246" s="185" t="s">
        <v>342</v>
      </c>
    </row>
    <row r="247" spans="2:2" hidden="1">
      <c r="B247" s="185" t="s">
        <v>343</v>
      </c>
    </row>
    <row r="248" spans="2:2" hidden="1">
      <c r="B248" s="185" t="s">
        <v>344</v>
      </c>
    </row>
    <row r="249" spans="2:2" hidden="1"/>
    <row r="250" spans="2:2" hidden="1">
      <c r="B250" s="185" t="s">
        <v>345</v>
      </c>
    </row>
    <row r="251" spans="2:2" hidden="1">
      <c r="B251" s="185" t="s">
        <v>346</v>
      </c>
    </row>
    <row r="252" spans="2:2" hidden="1">
      <c r="B252" s="185" t="s">
        <v>341</v>
      </c>
    </row>
    <row r="253" spans="2:2" hidden="1">
      <c r="B253" s="185" t="s">
        <v>342</v>
      </c>
    </row>
    <row r="254" spans="2:2" hidden="1">
      <c r="B254" s="185" t="s">
        <v>343</v>
      </c>
    </row>
    <row r="255" spans="2:2" hidden="1">
      <c r="B255" s="185" t="s">
        <v>347</v>
      </c>
    </row>
    <row r="256" spans="2:2" hidden="1"/>
    <row r="257" spans="2:2" hidden="1">
      <c r="B257" s="185" t="s">
        <v>348</v>
      </c>
    </row>
    <row r="258" spans="2:2" hidden="1">
      <c r="B258" s="185" t="s">
        <v>349</v>
      </c>
    </row>
    <row r="259" spans="2:2" hidden="1">
      <c r="B259" s="185" t="s">
        <v>350</v>
      </c>
    </row>
    <row r="260" spans="2:2" hidden="1"/>
    <row r="261" spans="2:2" hidden="1"/>
    <row r="262" spans="2:2" hidden="1"/>
    <row r="263" spans="2:2" hidden="1"/>
    <row r="264" spans="2:2" hidden="1"/>
    <row r="265" spans="2:2" hidden="1"/>
    <row r="266" spans="2:2" hidden="1"/>
    <row r="267" spans="2:2" hidden="1"/>
    <row r="268" spans="2:2" hidden="1"/>
    <row r="269" spans="2:2" hidden="1"/>
    <row r="270" spans="2:2" hidden="1"/>
    <row r="271" spans="2:2" hidden="1"/>
    <row r="272" spans="2: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spans="18:18" hidden="1"/>
    <row r="322" spans="18:18" hidden="1"/>
    <row r="323" spans="18:18" hidden="1"/>
    <row r="324" spans="18:18" hidden="1"/>
    <row r="325" spans="18:18" hidden="1"/>
    <row r="326" spans="18:18" hidden="1"/>
    <row r="327" spans="18:18" hidden="1"/>
    <row r="328" spans="18:18" hidden="1"/>
    <row r="329" spans="18:18" hidden="1"/>
    <row r="330" spans="18:18" hidden="1"/>
    <row r="331" spans="18:18" hidden="1"/>
    <row r="332" spans="18:18" hidden="1"/>
    <row r="333" spans="18:18" hidden="1"/>
    <row r="334" spans="18:18" hidden="1"/>
    <row r="335" spans="18:18" hidden="1"/>
    <row r="336" spans="18:18">
      <c r="R336" s="359" t="e">
        <f>R152-R140-R141-R146</f>
        <v>#REF!</v>
      </c>
    </row>
    <row r="338" spans="20:20">
      <c r="T338" s="185">
        <v>557568403.68487549</v>
      </c>
    </row>
    <row r="339" spans="20:20">
      <c r="T339" s="320" t="e">
        <f>T338-#REF!</f>
        <v>#REF!</v>
      </c>
    </row>
  </sheetData>
  <sheetProtection formatCells="0"/>
  <customSheetViews>
    <customSheetView guid="{C8104123-1D0A-4627-A11A-7A20656D499A}" zeroValues="0" hiddenColumns="1" showRuler="0">
      <selection activeCell="B14" sqref="B14"/>
      <pageMargins left="0" right="0" top="0" bottom="0" header="0" footer="0"/>
      <printOptions horizontalCentered="1"/>
      <pageSetup scale="80" orientation="landscape" verticalDpi="300" r:id="rId1"/>
      <headerFooter alignWithMargins="0">
        <oddHeader>&amp;L&amp;A&amp;R&amp;F</oddHeader>
        <oddFooter>&amp;CTRANG THU &amp;P/&amp;N</oddFooter>
      </headerFooter>
    </customSheetView>
  </customSheetViews>
  <phoneticPr fontId="9" type="noConversion"/>
  <printOptions horizontalCentered="1"/>
  <pageMargins left="0.70866141732283472" right="0.15748031496062992" top="0.39370078740157483" bottom="0.47244094488188981" header="0.15748031496062992" footer="0.23622047244094491"/>
  <pageSetup paperSize="9" scale="73" orientation="landscape" blackAndWhite="1" r:id="rId2"/>
  <headerFooter alignWithMargins="0">
    <oddHeader>&amp;L&amp;A&amp;R&amp;F</oddHeader>
    <oddFooter>&amp;CTRANG THU &amp;P/&amp;N</oddFooter>
  </headerFooter>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defaultRowHeight="14.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
  <sheetViews>
    <sheetView workbookViewId="0"/>
  </sheetViews>
  <sheetFormatPr defaultRowHeight="14.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
  <sheetViews>
    <sheetView workbookViewId="0"/>
  </sheetViews>
  <sheetFormatPr defaultRowHeight="14.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
  <sheetViews>
    <sheetView workbookViewId="0"/>
  </sheetViews>
  <sheetFormatPr defaultRowHeight="14.2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
  <sheetViews>
    <sheetView workbookViewId="0"/>
  </sheetViews>
  <sheetFormatPr defaultRowHeight="14.25"/>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
  <sheetViews>
    <sheetView workbookViewId="0"/>
  </sheetViews>
  <sheetFormatPr defaultRowHeight="14.2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
  <sheetViews>
    <sheetView workbookViewId="0"/>
  </sheetViews>
  <sheetFormatPr defaultRowHeight="14.25"/>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
  <sheetViews>
    <sheetView workbookViewId="0"/>
  </sheetViews>
  <sheetFormatPr defaultRowHeight="14.2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
  <sheetViews>
    <sheetView workbookViewId="0"/>
  </sheetViews>
  <sheetFormatPr defaultRowHeight="14.2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
  <sheetViews>
    <sheetView workbookViewId="0"/>
  </sheetViews>
  <sheetFormatPr defaultRowHeight="14.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J49"/>
  <sheetViews>
    <sheetView showZeros="0" view="pageBreakPreview" topLeftCell="A4" zoomScaleSheetLayoutView="100" workbookViewId="0">
      <selection activeCell="C13" sqref="C13:C34"/>
    </sheetView>
  </sheetViews>
  <sheetFormatPr defaultColWidth="9.140625" defaultRowHeight="14.25" outlineLevelRow="1"/>
  <cols>
    <col min="1" max="1" width="6.42578125" style="185" bestFit="1" customWidth="1"/>
    <col min="2" max="2" width="61.140625" style="185" customWidth="1"/>
    <col min="3" max="3" width="18" style="185" customWidth="1"/>
    <col min="4" max="4" width="15.42578125" style="185" bestFit="1" customWidth="1"/>
    <col min="5" max="5" width="17" style="185" customWidth="1"/>
    <col min="6" max="6" width="15.42578125" style="185" bestFit="1" customWidth="1"/>
    <col min="7" max="7" width="17.140625" style="185" customWidth="1"/>
    <col min="8" max="8" width="13.85546875" style="185" bestFit="1" customWidth="1"/>
    <col min="9" max="10" width="17.140625" style="185" customWidth="1"/>
    <col min="11" max="16384" width="9.140625" style="185"/>
  </cols>
  <sheetData>
    <row r="1" spans="1:10" ht="66">
      <c r="A1" s="495" t="s">
        <v>351</v>
      </c>
      <c r="B1" s="187"/>
      <c r="C1" s="187"/>
      <c r="D1" s="187"/>
      <c r="E1" s="187"/>
      <c r="F1" s="187"/>
      <c r="G1" s="187"/>
    </row>
    <row r="2" spans="1:10" ht="7.5" customHeight="1">
      <c r="A2" s="187"/>
      <c r="B2" s="187"/>
      <c r="C2" s="187"/>
      <c r="D2" s="187"/>
      <c r="E2" s="187"/>
      <c r="F2" s="187"/>
      <c r="G2" s="187"/>
    </row>
    <row r="3" spans="1:10" ht="20.25">
      <c r="A3" s="325" t="e">
        <f>#REF!</f>
        <v>#REF!</v>
      </c>
      <c r="B3" s="187"/>
      <c r="C3" s="187"/>
      <c r="D3" s="187"/>
      <c r="E3" s="187"/>
      <c r="F3" s="187"/>
      <c r="G3" s="187"/>
    </row>
    <row r="4" spans="1:10" ht="17.25">
      <c r="A4" s="326" t="e">
        <f>#REF!</f>
        <v>#REF!</v>
      </c>
      <c r="B4" s="187"/>
      <c r="C4" s="187"/>
      <c r="D4" s="187"/>
      <c r="E4" s="187"/>
      <c r="F4" s="187"/>
      <c r="G4" s="187"/>
    </row>
    <row r="5" spans="1:10" ht="17.25">
      <c r="A5" s="327" t="e">
        <f>#REF!</f>
        <v>#REF!</v>
      </c>
      <c r="B5" s="187"/>
      <c r="C5" s="187"/>
      <c r="D5" s="187"/>
      <c r="E5" s="187"/>
      <c r="F5" s="187"/>
      <c r="G5" s="187"/>
    </row>
    <row r="6" spans="1:10">
      <c r="A6" s="186"/>
      <c r="B6" s="186"/>
      <c r="C6" s="328"/>
      <c r="F6" s="328"/>
      <c r="G6" s="328" t="s">
        <v>352</v>
      </c>
    </row>
    <row r="7" spans="1:10">
      <c r="A7" s="329" t="s">
        <v>51</v>
      </c>
      <c r="B7" s="329" t="s">
        <v>52</v>
      </c>
      <c r="C7" s="329" t="s">
        <v>353</v>
      </c>
      <c r="D7" s="329" t="s">
        <v>354</v>
      </c>
      <c r="E7" s="329" t="s">
        <v>355</v>
      </c>
      <c r="F7" s="329" t="s">
        <v>356</v>
      </c>
      <c r="G7" s="329" t="s">
        <v>357</v>
      </c>
    </row>
    <row r="8" spans="1:10">
      <c r="A8" s="330"/>
      <c r="B8" s="331"/>
      <c r="C8" s="331" t="s">
        <v>358</v>
      </c>
      <c r="D8" s="331" t="s">
        <v>358</v>
      </c>
      <c r="E8" s="331" t="s">
        <v>359</v>
      </c>
      <c r="F8" s="331" t="s">
        <v>359</v>
      </c>
      <c r="G8" s="331" t="s">
        <v>359</v>
      </c>
    </row>
    <row r="9" spans="1:10">
      <c r="A9" s="332" t="s">
        <v>360</v>
      </c>
      <c r="B9" s="332" t="s">
        <v>361</v>
      </c>
      <c r="C9" s="332" t="s">
        <v>362</v>
      </c>
      <c r="D9" s="332" t="s">
        <v>363</v>
      </c>
      <c r="E9" s="332" t="s">
        <v>364</v>
      </c>
      <c r="F9" s="332" t="s">
        <v>365</v>
      </c>
      <c r="G9" s="332" t="s">
        <v>366</v>
      </c>
    </row>
    <row r="10" spans="1:10">
      <c r="A10" s="496"/>
      <c r="B10" s="497"/>
      <c r="C10" s="497"/>
      <c r="D10" s="497"/>
      <c r="E10" s="497"/>
      <c r="F10" s="496"/>
      <c r="G10" s="496"/>
    </row>
    <row r="11" spans="1:10" s="336" customFormat="1" ht="17.25" customHeight="1">
      <c r="A11" s="333" t="s">
        <v>67</v>
      </c>
      <c r="B11" s="334" t="s">
        <v>367</v>
      </c>
      <c r="C11" s="335">
        <f>SUM(C12:C25)-C12</f>
        <v>65498350916.84404</v>
      </c>
      <c r="D11" s="335">
        <f>SUM(D12:D25)-D12</f>
        <v>6549835091.6844006</v>
      </c>
      <c r="E11" s="335">
        <f>SUM(E12:E25)-E12</f>
        <v>72048186008.528442</v>
      </c>
      <c r="F11" s="335">
        <f>SUM(F12:F25)-F12</f>
        <v>0</v>
      </c>
      <c r="G11" s="335">
        <f>SUM(G12:G25)-G12</f>
        <v>72048186008.528442</v>
      </c>
      <c r="H11" s="632"/>
      <c r="I11" s="661"/>
      <c r="J11" s="632"/>
    </row>
    <row r="12" spans="1:10" outlineLevel="1">
      <c r="A12" s="337">
        <v>1</v>
      </c>
      <c r="B12" s="321" t="s">
        <v>368</v>
      </c>
      <c r="C12" s="321">
        <f>C13+C14</f>
        <v>51799375266.233536</v>
      </c>
      <c r="D12" s="321">
        <f>D13+D14</f>
        <v>5179937526.623354</v>
      </c>
      <c r="E12" s="321">
        <f>E13+E14</f>
        <v>56979312792.856888</v>
      </c>
      <c r="F12" s="321">
        <f>F13+F14</f>
        <v>0</v>
      </c>
      <c r="G12" s="321">
        <f>G13+G14</f>
        <v>56979312792.856888</v>
      </c>
      <c r="I12" s="359"/>
      <c r="J12" s="632"/>
    </row>
    <row r="13" spans="1:10" outlineLevel="1">
      <c r="A13" s="337" t="s">
        <v>369</v>
      </c>
      <c r="B13" s="321" t="s">
        <v>370</v>
      </c>
      <c r="C13" s="321">
        <v>24011704252.218796</v>
      </c>
      <c r="D13" s="321">
        <f t="shared" ref="D13:D25" si="0">C13*10%</f>
        <v>2401170425.2218795</v>
      </c>
      <c r="E13" s="321">
        <f t="shared" ref="E13:E25" si="1">SUM(C13:D13)</f>
        <v>26412874677.440674</v>
      </c>
      <c r="F13" s="322"/>
      <c r="G13" s="322">
        <f>F13+E13</f>
        <v>26412874677.440674</v>
      </c>
      <c r="I13" s="359"/>
      <c r="J13" s="632"/>
    </row>
    <row r="14" spans="1:10" outlineLevel="1">
      <c r="A14" s="337" t="s">
        <v>371</v>
      </c>
      <c r="B14" s="321" t="s">
        <v>372</v>
      </c>
      <c r="C14" s="321">
        <v>27787671014.01474</v>
      </c>
      <c r="D14" s="321">
        <f t="shared" si="0"/>
        <v>2778767101.401474</v>
      </c>
      <c r="E14" s="321">
        <f t="shared" si="1"/>
        <v>30566438115.416214</v>
      </c>
      <c r="F14" s="322"/>
      <c r="G14" s="322">
        <f>F14+E14</f>
        <v>30566438115.416214</v>
      </c>
      <c r="I14" s="359"/>
      <c r="J14" s="632"/>
    </row>
    <row r="15" spans="1:10" outlineLevel="1">
      <c r="A15" s="337">
        <v>2</v>
      </c>
      <c r="B15" s="321" t="s">
        <v>373</v>
      </c>
      <c r="C15" s="321">
        <v>95603579.001032591</v>
      </c>
      <c r="D15" s="321">
        <f t="shared" si="0"/>
        <v>9560357.9001032598</v>
      </c>
      <c r="E15" s="321">
        <f t="shared" si="1"/>
        <v>105163936.90113585</v>
      </c>
      <c r="F15" s="322"/>
      <c r="G15" s="322">
        <f>F15+E15</f>
        <v>105163936.90113585</v>
      </c>
      <c r="I15" s="359"/>
      <c r="J15" s="632"/>
    </row>
    <row r="16" spans="1:10" outlineLevel="1">
      <c r="A16" s="337">
        <v>3</v>
      </c>
      <c r="B16" s="321" t="s">
        <v>374</v>
      </c>
      <c r="C16" s="321">
        <v>3357200181.5027299</v>
      </c>
      <c r="D16" s="321">
        <f t="shared" si="0"/>
        <v>335720018.15027303</v>
      </c>
      <c r="E16" s="321">
        <f t="shared" si="1"/>
        <v>3692920199.6530027</v>
      </c>
      <c r="F16" s="321"/>
      <c r="G16" s="322">
        <f t="shared" ref="G16:G25" si="2">F16+E16</f>
        <v>3692920199.6530027</v>
      </c>
      <c r="I16" s="359"/>
      <c r="J16" s="632"/>
    </row>
    <row r="17" spans="1:10" outlineLevel="1">
      <c r="A17" s="337">
        <v>4</v>
      </c>
      <c r="B17" s="321" t="s">
        <v>375</v>
      </c>
      <c r="C17" s="321">
        <v>30301949.549239226</v>
      </c>
      <c r="D17" s="321">
        <f t="shared" si="0"/>
        <v>3030194.9549239227</v>
      </c>
      <c r="E17" s="321">
        <f t="shared" si="1"/>
        <v>33332144.50416315</v>
      </c>
      <c r="F17" s="321"/>
      <c r="G17" s="322">
        <f t="shared" si="2"/>
        <v>33332144.50416315</v>
      </c>
      <c r="I17" s="359"/>
      <c r="J17" s="632"/>
    </row>
    <row r="18" spans="1:10" outlineLevel="1">
      <c r="A18" s="337">
        <v>5</v>
      </c>
      <c r="B18" s="321" t="s">
        <v>376</v>
      </c>
      <c r="C18" s="321">
        <v>152702643.88028842</v>
      </c>
      <c r="D18" s="321">
        <f t="shared" si="0"/>
        <v>15270264.388028843</v>
      </c>
      <c r="E18" s="321">
        <f>SUM(C18:D18)</f>
        <v>167972908.26831725</v>
      </c>
      <c r="F18" s="321"/>
      <c r="G18" s="322">
        <f t="shared" si="2"/>
        <v>167972908.26831725</v>
      </c>
      <c r="I18" s="359"/>
      <c r="J18" s="632"/>
    </row>
    <row r="19" spans="1:10" s="336" customFormat="1" outlineLevel="1">
      <c r="A19" s="337">
        <v>6</v>
      </c>
      <c r="B19" s="321" t="s">
        <v>377</v>
      </c>
      <c r="C19" s="321">
        <v>1056157419.4602789</v>
      </c>
      <c r="D19" s="321">
        <f t="shared" si="0"/>
        <v>105615741.94602789</v>
      </c>
      <c r="E19" s="321">
        <f t="shared" si="1"/>
        <v>1161773161.4063067</v>
      </c>
      <c r="F19" s="321"/>
      <c r="G19" s="322">
        <f t="shared" si="2"/>
        <v>1161773161.4063067</v>
      </c>
      <c r="I19" s="661"/>
      <c r="J19" s="632"/>
    </row>
    <row r="20" spans="1:10" outlineLevel="1">
      <c r="A20" s="337">
        <v>7</v>
      </c>
      <c r="B20" s="321" t="s">
        <v>378</v>
      </c>
      <c r="C20" s="321">
        <v>1806993135.3635647</v>
      </c>
      <c r="D20" s="321">
        <f t="shared" si="0"/>
        <v>180699313.53635648</v>
      </c>
      <c r="E20" s="321">
        <f t="shared" si="1"/>
        <v>1987692448.8999212</v>
      </c>
      <c r="F20" s="498"/>
      <c r="G20" s="322">
        <f t="shared" si="2"/>
        <v>1987692448.8999212</v>
      </c>
      <c r="I20" s="359"/>
      <c r="J20" s="632"/>
    </row>
    <row r="21" spans="1:10" outlineLevel="1">
      <c r="A21" s="337">
        <v>8</v>
      </c>
      <c r="B21" s="321" t="s">
        <v>379</v>
      </c>
      <c r="C21" s="321">
        <v>3768731601.1369843</v>
      </c>
      <c r="D21" s="321">
        <f t="shared" si="0"/>
        <v>376873160.11369848</v>
      </c>
      <c r="E21" s="321">
        <f t="shared" si="1"/>
        <v>4145604761.2506828</v>
      </c>
      <c r="F21" s="498"/>
      <c r="G21" s="322">
        <f t="shared" si="2"/>
        <v>4145604761.2506828</v>
      </c>
      <c r="I21" s="359"/>
      <c r="J21" s="632"/>
    </row>
    <row r="22" spans="1:10" outlineLevel="1">
      <c r="A22" s="337">
        <v>9</v>
      </c>
      <c r="B22" s="321" t="s">
        <v>380</v>
      </c>
      <c r="C22" s="321">
        <f>[4]BTHDT!$D$17</f>
        <v>2123704286.0763223</v>
      </c>
      <c r="D22" s="321">
        <f t="shared" si="0"/>
        <v>212370428.60763225</v>
      </c>
      <c r="E22" s="321">
        <f t="shared" si="1"/>
        <v>2336074714.6839547</v>
      </c>
      <c r="F22" s="499"/>
      <c r="G22" s="322">
        <f t="shared" si="2"/>
        <v>2336074714.6839547</v>
      </c>
      <c r="I22" s="359"/>
      <c r="J22" s="632"/>
    </row>
    <row r="23" spans="1:10" outlineLevel="1">
      <c r="A23" s="337">
        <v>10</v>
      </c>
      <c r="B23" s="321" t="s">
        <v>381</v>
      </c>
      <c r="C23" s="321">
        <f>[5]BTHDT!$D$17</f>
        <v>271172532.25868416</v>
      </c>
      <c r="D23" s="321">
        <f t="shared" si="0"/>
        <v>27117253.225868419</v>
      </c>
      <c r="E23" s="321">
        <f t="shared" si="1"/>
        <v>298289785.48455256</v>
      </c>
      <c r="F23" s="499"/>
      <c r="G23" s="322">
        <f t="shared" si="2"/>
        <v>298289785.48455256</v>
      </c>
      <c r="I23" s="359"/>
      <c r="J23" s="632"/>
    </row>
    <row r="24" spans="1:10" outlineLevel="1">
      <c r="A24" s="337">
        <v>11</v>
      </c>
      <c r="B24" s="321" t="s">
        <v>382</v>
      </c>
      <c r="C24" s="321">
        <v>25065923.647802129</v>
      </c>
      <c r="D24" s="321">
        <f t="shared" si="0"/>
        <v>2506592.3647802132</v>
      </c>
      <c r="E24" s="321">
        <f t="shared" si="1"/>
        <v>27572516.012582343</v>
      </c>
      <c r="F24" s="498"/>
      <c r="G24" s="322">
        <f t="shared" si="2"/>
        <v>27572516.012582343</v>
      </c>
      <c r="I24" s="359"/>
      <c r="J24" s="632"/>
    </row>
    <row r="25" spans="1:10" outlineLevel="1">
      <c r="A25" s="337">
        <v>12</v>
      </c>
      <c r="B25" s="321" t="s">
        <v>383</v>
      </c>
      <c r="C25" s="321">
        <f>[6]BTHDT!$D$18</f>
        <v>1011342398.7335625</v>
      </c>
      <c r="D25" s="321">
        <f t="shared" si="0"/>
        <v>101134239.87335625</v>
      </c>
      <c r="E25" s="321">
        <f t="shared" si="1"/>
        <v>1112476638.6069188</v>
      </c>
      <c r="F25" s="498"/>
      <c r="G25" s="322">
        <f t="shared" si="2"/>
        <v>1112476638.6069188</v>
      </c>
      <c r="I25" s="359"/>
      <c r="J25" s="632"/>
    </row>
    <row r="26" spans="1:10">
      <c r="A26" s="333" t="s">
        <v>384</v>
      </c>
      <c r="B26" s="334" t="s">
        <v>385</v>
      </c>
      <c r="C26" s="335">
        <f>SUM(C27:C33)</f>
        <v>11846249927.453382</v>
      </c>
      <c r="D26" s="335">
        <f>SUM(D27:D33)</f>
        <v>1184624992.7453384</v>
      </c>
      <c r="E26" s="335">
        <f>SUM(E27:E33)</f>
        <v>13030874920.198721</v>
      </c>
      <c r="F26" s="335">
        <f>SUM(F28:F33)</f>
        <v>0</v>
      </c>
      <c r="G26" s="335">
        <f>SUM(G27:G33)</f>
        <v>13030874920.198721</v>
      </c>
      <c r="I26" s="359"/>
      <c r="J26" s="632"/>
    </row>
    <row r="27" spans="1:10" outlineLevel="1">
      <c r="A27" s="337">
        <v>13</v>
      </c>
      <c r="B27" s="321" t="s">
        <v>386</v>
      </c>
      <c r="C27" s="321">
        <f>[7]BIAXL!$D$17</f>
        <v>2358431605.6297512</v>
      </c>
      <c r="D27" s="321">
        <f t="shared" ref="D27:D33" si="3">C27*10%</f>
        <v>235843160.56297514</v>
      </c>
      <c r="E27" s="321">
        <f t="shared" ref="E27:E33" si="4">SUM(C27:D27)</f>
        <v>2594274766.1927261</v>
      </c>
      <c r="F27" s="321"/>
      <c r="G27" s="322">
        <f t="shared" ref="G27:G33" si="5">F27+E27</f>
        <v>2594274766.1927261</v>
      </c>
      <c r="I27" s="359"/>
      <c r="J27" s="632"/>
    </row>
    <row r="28" spans="1:10" outlineLevel="1">
      <c r="A28" s="337">
        <v>14</v>
      </c>
      <c r="B28" s="321" t="s">
        <v>387</v>
      </c>
      <c r="C28" s="321">
        <f>'[8]BIA XL'!$D$17</f>
        <v>1174692639.2541254</v>
      </c>
      <c r="D28" s="321">
        <f t="shared" si="3"/>
        <v>117469263.92541254</v>
      </c>
      <c r="E28" s="321">
        <f t="shared" si="4"/>
        <v>1292161903.1795378</v>
      </c>
      <c r="F28" s="321"/>
      <c r="G28" s="322">
        <f t="shared" si="5"/>
        <v>1292161903.1795378</v>
      </c>
      <c r="I28" s="359"/>
      <c r="J28" s="632"/>
    </row>
    <row r="29" spans="1:10" outlineLevel="1">
      <c r="A29" s="337">
        <v>15</v>
      </c>
      <c r="B29" s="500" t="s">
        <v>388</v>
      </c>
      <c r="C29" s="321">
        <v>805993508.0040977</v>
      </c>
      <c r="D29" s="321">
        <f t="shared" si="3"/>
        <v>80599350.800409779</v>
      </c>
      <c r="E29" s="321">
        <f t="shared" si="4"/>
        <v>886592858.80450749</v>
      </c>
      <c r="F29" s="321"/>
      <c r="G29" s="322">
        <f t="shared" si="5"/>
        <v>886592858.80450749</v>
      </c>
      <c r="I29" s="359"/>
      <c r="J29" s="632"/>
    </row>
    <row r="30" spans="1:10" outlineLevel="1">
      <c r="A30" s="337">
        <v>16</v>
      </c>
      <c r="B30" s="500" t="s">
        <v>389</v>
      </c>
      <c r="C30" s="321">
        <v>1726186769.0024161</v>
      </c>
      <c r="D30" s="321">
        <f t="shared" si="3"/>
        <v>172618676.90024161</v>
      </c>
      <c r="E30" s="321">
        <f t="shared" si="4"/>
        <v>1898805445.9026577</v>
      </c>
      <c r="F30" s="321"/>
      <c r="G30" s="322">
        <f t="shared" si="5"/>
        <v>1898805445.9026577</v>
      </c>
      <c r="I30" s="359"/>
      <c r="J30" s="632"/>
    </row>
    <row r="31" spans="1:10" outlineLevel="1">
      <c r="A31" s="337">
        <v>17</v>
      </c>
      <c r="B31" s="500" t="s">
        <v>390</v>
      </c>
      <c r="C31" s="321">
        <v>2136273743.1980386</v>
      </c>
      <c r="D31" s="321">
        <f t="shared" si="3"/>
        <v>213627374.31980386</v>
      </c>
      <c r="E31" s="321">
        <f t="shared" si="4"/>
        <v>2349901117.5178423</v>
      </c>
      <c r="F31" s="321"/>
      <c r="G31" s="322">
        <f t="shared" si="5"/>
        <v>2349901117.5178423</v>
      </c>
      <c r="I31" s="359"/>
      <c r="J31" s="632"/>
    </row>
    <row r="32" spans="1:10" outlineLevel="1">
      <c r="A32" s="337">
        <v>18</v>
      </c>
      <c r="B32" s="500" t="s">
        <v>391</v>
      </c>
      <c r="C32" s="321">
        <v>2416150331.1732502</v>
      </c>
      <c r="D32" s="321">
        <f t="shared" si="3"/>
        <v>241615033.11732504</v>
      </c>
      <c r="E32" s="321">
        <f t="shared" si="4"/>
        <v>2657765364.290575</v>
      </c>
      <c r="F32" s="321"/>
      <c r="G32" s="322">
        <f t="shared" si="5"/>
        <v>2657765364.290575</v>
      </c>
      <c r="I32" s="359"/>
      <c r="J32" s="632"/>
    </row>
    <row r="33" spans="1:10" outlineLevel="1">
      <c r="A33" s="337">
        <v>19</v>
      </c>
      <c r="B33" s="321" t="s">
        <v>392</v>
      </c>
      <c r="C33" s="321">
        <v>1228521331.1917045</v>
      </c>
      <c r="D33" s="321">
        <f t="shared" si="3"/>
        <v>122852133.11917046</v>
      </c>
      <c r="E33" s="321">
        <f t="shared" si="4"/>
        <v>1351373464.3108749</v>
      </c>
      <c r="F33" s="321"/>
      <c r="G33" s="322">
        <f t="shared" si="5"/>
        <v>1351373464.3108749</v>
      </c>
      <c r="I33" s="359"/>
      <c r="J33" s="632"/>
    </row>
    <row r="34" spans="1:10">
      <c r="A34" s="333" t="s">
        <v>393</v>
      </c>
      <c r="B34" s="334" t="s">
        <v>394</v>
      </c>
      <c r="C34" s="501">
        <f>SUM(C35:C36)</f>
        <v>0</v>
      </c>
      <c r="D34" s="501">
        <f>SUM(D35:D36)</f>
        <v>0</v>
      </c>
      <c r="E34" s="501">
        <f>SUM(E35:E36)</f>
        <v>0</v>
      </c>
      <c r="F34" s="501">
        <f>SUM(F35:F40)</f>
        <v>8148000000</v>
      </c>
      <c r="G34" s="501">
        <f>SUM(G35:G40)</f>
        <v>8148000000</v>
      </c>
      <c r="I34" s="359"/>
      <c r="J34" s="632"/>
    </row>
    <row r="35" spans="1:10" s="504" customFormat="1" outlineLevel="1">
      <c r="A35" s="502">
        <v>1</v>
      </c>
      <c r="B35" s="500" t="s">
        <v>395</v>
      </c>
      <c r="C35" s="321"/>
      <c r="D35" s="503"/>
      <c r="E35" s="503"/>
      <c r="F35" s="321">
        <f>8140500000-F37-F38-F39-F40</f>
        <v>7061611540</v>
      </c>
      <c r="G35" s="322">
        <f t="shared" ref="G35:G40" si="6">F35+E35</f>
        <v>7061611540</v>
      </c>
      <c r="I35" s="662"/>
      <c r="J35" s="632"/>
    </row>
    <row r="36" spans="1:10" s="504" customFormat="1" ht="28.5" outlineLevel="1">
      <c r="A36" s="502">
        <v>2</v>
      </c>
      <c r="B36" s="505" t="s">
        <v>396</v>
      </c>
      <c r="C36" s="503"/>
      <c r="D36" s="503"/>
      <c r="E36" s="503"/>
      <c r="F36" s="503">
        <f>150*50000</f>
        <v>7500000</v>
      </c>
      <c r="G36" s="322">
        <f t="shared" si="6"/>
        <v>7500000</v>
      </c>
      <c r="I36" s="662"/>
      <c r="J36" s="632"/>
    </row>
    <row r="37" spans="1:10" s="504" customFormat="1" outlineLevel="1">
      <c r="A37" s="502">
        <v>3</v>
      </c>
      <c r="B37" s="505" t="s">
        <v>380</v>
      </c>
      <c r="C37" s="503"/>
      <c r="D37" s="503"/>
      <c r="E37" s="503"/>
      <c r="F37" s="321">
        <f>[4]BTHDT!$D$22</f>
        <v>679060000</v>
      </c>
      <c r="G37" s="322">
        <f t="shared" si="6"/>
        <v>679060000</v>
      </c>
      <c r="I37" s="662"/>
      <c r="J37" s="632"/>
    </row>
    <row r="38" spans="1:10" s="504" customFormat="1" outlineLevel="1">
      <c r="A38" s="502">
        <v>4</v>
      </c>
      <c r="B38" s="505" t="s">
        <v>381</v>
      </c>
      <c r="C38" s="503"/>
      <c r="D38" s="503"/>
      <c r="E38" s="503"/>
      <c r="F38" s="321">
        <f>[5]BTHDT!$D$22</f>
        <v>74021000</v>
      </c>
      <c r="G38" s="322">
        <f t="shared" si="6"/>
        <v>74021000</v>
      </c>
      <c r="I38" s="662"/>
      <c r="J38" s="632"/>
    </row>
    <row r="39" spans="1:10" s="504" customFormat="1" outlineLevel="1">
      <c r="A39" s="502">
        <v>5</v>
      </c>
      <c r="B39" s="505" t="s">
        <v>382</v>
      </c>
      <c r="C39" s="503"/>
      <c r="D39" s="503"/>
      <c r="E39" s="503"/>
      <c r="F39" s="321">
        <v>17050000</v>
      </c>
      <c r="G39" s="322">
        <f t="shared" si="6"/>
        <v>17050000</v>
      </c>
      <c r="I39" s="662"/>
      <c r="J39" s="632"/>
    </row>
    <row r="40" spans="1:10" s="504" customFormat="1" outlineLevel="1">
      <c r="A40" s="502">
        <v>6</v>
      </c>
      <c r="B40" s="505" t="s">
        <v>383</v>
      </c>
      <c r="C40" s="503"/>
      <c r="D40" s="503"/>
      <c r="E40" s="503"/>
      <c r="F40" s="321">
        <f>[6]BTHDT!$D$21</f>
        <v>308757460</v>
      </c>
      <c r="G40" s="322">
        <f t="shared" si="6"/>
        <v>308757460</v>
      </c>
      <c r="I40" s="662"/>
      <c r="J40" s="632"/>
    </row>
    <row r="41" spans="1:10" s="504" customFormat="1" outlineLevel="1">
      <c r="A41" s="502"/>
      <c r="B41" s="505"/>
      <c r="C41" s="503"/>
      <c r="D41" s="503"/>
      <c r="E41" s="503"/>
      <c r="F41" s="503"/>
      <c r="G41" s="506"/>
      <c r="I41" s="662"/>
    </row>
    <row r="42" spans="1:10">
      <c r="A42" s="340"/>
      <c r="B42" s="341"/>
      <c r="C42" s="342"/>
      <c r="D42" s="342"/>
      <c r="E42" s="342"/>
      <c r="F42" s="507"/>
      <c r="G42" s="507"/>
      <c r="I42" s="359"/>
    </row>
    <row r="43" spans="1:10">
      <c r="A43" s="343"/>
      <c r="B43" s="344" t="s">
        <v>397</v>
      </c>
      <c r="C43" s="346" t="e">
        <f>#REF!+C34+C26+C11</f>
        <v>#REF!</v>
      </c>
      <c r="D43" s="346" t="e">
        <f>#REF!+D34+D26+D11</f>
        <v>#REF!</v>
      </c>
      <c r="E43" s="346" t="e">
        <f>#REF!+E34+E26+E11</f>
        <v>#REF!</v>
      </c>
      <c r="F43" s="346" t="e">
        <f>#REF!+F34+F26+F11</f>
        <v>#REF!</v>
      </c>
      <c r="G43" s="346" t="e">
        <f>#REF!+G34+G26+G11</f>
        <v>#REF!</v>
      </c>
      <c r="I43" s="359"/>
    </row>
    <row r="44" spans="1:10">
      <c r="F44" s="508">
        <f>TBA!G11</f>
        <v>260396329.99999997</v>
      </c>
      <c r="I44" s="359"/>
    </row>
    <row r="45" spans="1:10">
      <c r="I45" s="359"/>
    </row>
    <row r="46" spans="1:10">
      <c r="G46" s="359" t="e">
        <f>G43/2867.5</f>
        <v>#REF!</v>
      </c>
      <c r="I46" s="359"/>
    </row>
    <row r="47" spans="1:10">
      <c r="B47" s="510"/>
    </row>
    <row r="48" spans="1:10">
      <c r="B48" s="508"/>
    </row>
    <row r="49" spans="2:2">
      <c r="B49" s="511"/>
    </row>
  </sheetData>
  <printOptions horizontalCentered="1"/>
  <pageMargins left="0.31496062992125984" right="0.15748031496062992" top="0.39370078740157483" bottom="0.39370078740157483" header="0.15748031496062992" footer="0.15748031496062992"/>
  <pageSetup paperSize="9" scale="80" orientation="landscape" blackAndWhite="1" r:id="rId1"/>
  <headerFooter alignWithMargins="0">
    <oddHeader>&amp;L&amp;"VNI-Aptima,Italic"&amp;8&amp;F&amp;R&amp;"VNI-Aptima,Italic"&amp;8&amp;A</oddHeader>
    <oddFooter>&amp;C&amp;"VNI-Aptima,Italic"&amp;8TRANG THU &amp;P/&amp;N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
  <sheetViews>
    <sheetView workbookViewId="0"/>
  </sheetViews>
  <sheetFormatPr defaultRowHeight="14.25"/>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
  <sheetViews>
    <sheetView workbookViewId="0"/>
  </sheetViews>
  <sheetFormatPr defaultRowHeight="14.25"/>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
  <sheetViews>
    <sheetView workbookViewId="0"/>
  </sheetViews>
  <sheetFormatPr defaultRowHeight="14.25"/>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
  <sheetViews>
    <sheetView workbookViewId="0"/>
  </sheetViews>
  <sheetFormatPr defaultRowHeight="14.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
  <sheetViews>
    <sheetView workbookViewId="0"/>
  </sheetViews>
  <sheetFormatPr defaultRowHeight="14.2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
  <sheetViews>
    <sheetView workbookViewId="0"/>
  </sheetViews>
  <sheetFormatPr defaultRowHeight="14.2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
  <sheetViews>
    <sheetView workbookViewId="0"/>
  </sheetViews>
  <sheetFormatPr defaultRowHeight="14.2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
  <sheetViews>
    <sheetView workbookViewId="0"/>
  </sheetViews>
  <sheetFormatPr defaultRowHeight="14.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
  <sheetViews>
    <sheetView workbookViewId="0"/>
  </sheetViews>
  <sheetFormatPr defaultRowHeight="14.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
  <sheetViews>
    <sheetView workbookViewId="0"/>
  </sheetViews>
  <sheetFormatPr defaultRowHeight="14.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K49"/>
  <sheetViews>
    <sheetView showZeros="0" view="pageBreakPreview" topLeftCell="A10" zoomScaleSheetLayoutView="100" workbookViewId="0">
      <selection activeCell="B25" sqref="B25"/>
    </sheetView>
  </sheetViews>
  <sheetFormatPr defaultColWidth="9.140625" defaultRowHeight="14.25" outlineLevelRow="1"/>
  <cols>
    <col min="1" max="1" width="6.42578125" style="185" bestFit="1" customWidth="1"/>
    <col min="2" max="2" width="61.140625" style="185" customWidth="1"/>
    <col min="3" max="3" width="30" style="185" customWidth="1"/>
    <col min="4" max="4" width="15.42578125" style="185" bestFit="1" customWidth="1"/>
    <col min="5" max="5" width="17" style="185" customWidth="1"/>
    <col min="6" max="6" width="15.42578125" style="185" bestFit="1" customWidth="1"/>
    <col min="7" max="7" width="17.140625" style="185" customWidth="1"/>
    <col min="8" max="9" width="26.85546875" style="185" customWidth="1"/>
    <col min="10" max="11" width="17.140625" style="185" customWidth="1"/>
    <col min="12" max="16384" width="9.140625" style="185"/>
  </cols>
  <sheetData>
    <row r="1" spans="1:11" ht="66">
      <c r="A1" s="495" t="s">
        <v>351</v>
      </c>
      <c r="B1" s="187"/>
      <c r="C1" s="187"/>
      <c r="D1" s="187"/>
      <c r="E1" s="187"/>
      <c r="F1" s="187"/>
      <c r="G1" s="187"/>
    </row>
    <row r="2" spans="1:11" ht="7.5" customHeight="1">
      <c r="A2" s="187"/>
      <c r="B2" s="187"/>
      <c r="C2" s="187"/>
      <c r="D2" s="187"/>
      <c r="E2" s="187"/>
      <c r="F2" s="187"/>
      <c r="G2" s="187"/>
    </row>
    <row r="3" spans="1:11" ht="20.25">
      <c r="A3" s="325" t="e">
        <f>#REF!</f>
        <v>#REF!</v>
      </c>
      <c r="B3" s="187"/>
      <c r="C3" s="187"/>
      <c r="D3" s="187"/>
      <c r="E3" s="187"/>
      <c r="F3" s="187"/>
      <c r="G3" s="187"/>
    </row>
    <row r="4" spans="1:11" ht="17.25">
      <c r="A4" s="326" t="e">
        <f>#REF!</f>
        <v>#REF!</v>
      </c>
      <c r="B4" s="187"/>
      <c r="C4" s="187"/>
      <c r="D4" s="187"/>
      <c r="E4" s="187"/>
      <c r="F4" s="187"/>
      <c r="G4" s="187"/>
    </row>
    <row r="5" spans="1:11" ht="17.25">
      <c r="A5" s="327" t="e">
        <f>#REF!</f>
        <v>#REF!</v>
      </c>
      <c r="B5" s="187"/>
      <c r="C5" s="187"/>
      <c r="D5" s="187"/>
      <c r="E5" s="187"/>
      <c r="F5" s="187"/>
      <c r="G5" s="187"/>
    </row>
    <row r="6" spans="1:11">
      <c r="A6" s="186"/>
      <c r="B6" s="186"/>
      <c r="C6" s="328"/>
      <c r="F6" s="328"/>
      <c r="G6" s="328" t="s">
        <v>352</v>
      </c>
    </row>
    <row r="7" spans="1:11">
      <c r="A7" s="329" t="s">
        <v>51</v>
      </c>
      <c r="B7" s="329" t="s">
        <v>52</v>
      </c>
      <c r="C7" s="329" t="s">
        <v>353</v>
      </c>
      <c r="D7" s="329" t="s">
        <v>354</v>
      </c>
      <c r="E7" s="329" t="s">
        <v>355</v>
      </c>
      <c r="F7" s="329" t="s">
        <v>356</v>
      </c>
      <c r="G7" s="329" t="s">
        <v>357</v>
      </c>
    </row>
    <row r="8" spans="1:11">
      <c r="A8" s="330"/>
      <c r="B8" s="331"/>
      <c r="C8" s="331" t="s">
        <v>358</v>
      </c>
      <c r="D8" s="331" t="s">
        <v>358</v>
      </c>
      <c r="E8" s="331" t="s">
        <v>359</v>
      </c>
      <c r="F8" s="331" t="s">
        <v>359</v>
      </c>
      <c r="G8" s="331" t="s">
        <v>359</v>
      </c>
    </row>
    <row r="9" spans="1:11">
      <c r="A9" s="332" t="s">
        <v>360</v>
      </c>
      <c r="B9" s="332" t="s">
        <v>361</v>
      </c>
      <c r="C9" s="332" t="s">
        <v>362</v>
      </c>
      <c r="D9" s="332" t="s">
        <v>363</v>
      </c>
      <c r="E9" s="332" t="s">
        <v>364</v>
      </c>
      <c r="F9" s="332" t="s">
        <v>365</v>
      </c>
      <c r="G9" s="332" t="s">
        <v>366</v>
      </c>
    </row>
    <row r="10" spans="1:11">
      <c r="A10" s="496"/>
      <c r="B10" s="497"/>
      <c r="C10" s="497"/>
      <c r="D10" s="497"/>
      <c r="E10" s="497"/>
      <c r="F10" s="496"/>
      <c r="G10" s="496"/>
    </row>
    <row r="11" spans="1:11" s="336" customFormat="1" ht="17.25" customHeight="1">
      <c r="A11" s="333" t="s">
        <v>67</v>
      </c>
      <c r="B11" s="334" t="s">
        <v>367</v>
      </c>
      <c r="C11" s="335">
        <f>SUM(C12:C25)-C12</f>
        <v>89189424573.969193</v>
      </c>
      <c r="D11" s="335">
        <f>SUM(D12:D25)-D12</f>
        <v>8918942457.3969212</v>
      </c>
      <c r="E11" s="335">
        <f>SUM(E12:E25)-E12</f>
        <v>98108367031.366028</v>
      </c>
      <c r="F11" s="335">
        <f>SUM(F12:F25)-F12</f>
        <v>0</v>
      </c>
      <c r="G11" s="428">
        <f>SUM(G12:G25)-G12</f>
        <v>98108367031.366028</v>
      </c>
      <c r="H11" s="670"/>
      <c r="I11" s="670"/>
      <c r="J11" s="667"/>
      <c r="K11" s="632"/>
    </row>
    <row r="12" spans="1:11" outlineLevel="1">
      <c r="A12" s="337">
        <v>1</v>
      </c>
      <c r="B12" s="663" t="s">
        <v>368</v>
      </c>
      <c r="C12" s="321"/>
      <c r="D12" s="321">
        <f>D13+D14</f>
        <v>7338839751.0300007</v>
      </c>
      <c r="E12" s="321">
        <f>E13+E14</f>
        <v>80727237261.329987</v>
      </c>
      <c r="F12" s="321">
        <f>F13+F14</f>
        <v>0</v>
      </c>
      <c r="G12" s="322">
        <f>G13+G14</f>
        <v>80727237261.329987</v>
      </c>
      <c r="H12" s="671" t="s">
        <v>398</v>
      </c>
      <c r="I12" s="671"/>
      <c r="J12" s="668"/>
      <c r="K12" s="632"/>
    </row>
    <row r="13" spans="1:11" outlineLevel="1">
      <c r="A13" s="337" t="s">
        <v>369</v>
      </c>
      <c r="B13" s="663" t="s">
        <v>370</v>
      </c>
      <c r="C13" s="665">
        <v>31832348581.799999</v>
      </c>
      <c r="D13" s="321">
        <f t="shared" ref="D13:D25" si="0">C13*10%</f>
        <v>3183234858.1800003</v>
      </c>
      <c r="E13" s="321">
        <f t="shared" ref="E13:E25" si="1">SUM(C13:D13)</f>
        <v>35015583439.979996</v>
      </c>
      <c r="F13" s="322"/>
      <c r="G13" s="322">
        <f>F13+E13</f>
        <v>35015583439.979996</v>
      </c>
      <c r="H13" s="671" t="s">
        <v>398</v>
      </c>
      <c r="I13" s="671"/>
      <c r="J13" s="668"/>
      <c r="K13" s="632"/>
    </row>
    <row r="14" spans="1:11" outlineLevel="1">
      <c r="A14" s="337" t="s">
        <v>371</v>
      </c>
      <c r="B14" s="663" t="s">
        <v>372</v>
      </c>
      <c r="C14" s="665">
        <v>41556048928.5</v>
      </c>
      <c r="D14" s="321">
        <f t="shared" si="0"/>
        <v>4155604892.8500004</v>
      </c>
      <c r="E14" s="321">
        <f t="shared" si="1"/>
        <v>45711653821.349998</v>
      </c>
      <c r="F14" s="322"/>
      <c r="G14" s="322">
        <f>F14+E14</f>
        <v>45711653821.349998</v>
      </c>
      <c r="H14" s="671" t="s">
        <v>398</v>
      </c>
      <c r="I14" s="671"/>
      <c r="J14" s="668"/>
      <c r="K14" s="632"/>
    </row>
    <row r="15" spans="1:11" outlineLevel="1">
      <c r="A15" s="337">
        <v>2</v>
      </c>
      <c r="B15" s="663" t="s">
        <v>373</v>
      </c>
      <c r="C15" s="665">
        <v>202011119.40000001</v>
      </c>
      <c r="D15" s="321">
        <f t="shared" si="0"/>
        <v>20201111.940000001</v>
      </c>
      <c r="E15" s="321">
        <f t="shared" si="1"/>
        <v>222212231.34</v>
      </c>
      <c r="F15" s="322"/>
      <c r="G15" s="322">
        <f>F15+E15</f>
        <v>222212231.34</v>
      </c>
      <c r="H15" s="671" t="s">
        <v>398</v>
      </c>
      <c r="I15" s="671"/>
      <c r="J15" s="668"/>
      <c r="K15" s="632"/>
    </row>
    <row r="16" spans="1:11" outlineLevel="1">
      <c r="A16" s="337">
        <v>3</v>
      </c>
      <c r="B16" s="663" t="s">
        <v>374</v>
      </c>
      <c r="C16" s="665">
        <v>3720991131.5</v>
      </c>
      <c r="D16" s="321">
        <f t="shared" si="0"/>
        <v>372099113.15000004</v>
      </c>
      <c r="E16" s="321">
        <f t="shared" si="1"/>
        <v>4093090244.6500001</v>
      </c>
      <c r="F16" s="321"/>
      <c r="G16" s="322">
        <f t="shared" ref="G16:G25" si="2">F16+E16</f>
        <v>4093090244.6500001</v>
      </c>
      <c r="H16" s="671" t="s">
        <v>398</v>
      </c>
      <c r="I16" s="671"/>
      <c r="J16" s="668"/>
      <c r="K16" s="632"/>
    </row>
    <row r="17" spans="1:11" outlineLevel="1">
      <c r="A17" s="337">
        <v>4</v>
      </c>
      <c r="B17" s="663" t="s">
        <v>375</v>
      </c>
      <c r="C17" s="665">
        <v>37026189.5</v>
      </c>
      <c r="D17" s="321">
        <f t="shared" si="0"/>
        <v>3702618.95</v>
      </c>
      <c r="E17" s="321">
        <f t="shared" si="1"/>
        <v>40728808.450000003</v>
      </c>
      <c r="F17" s="321"/>
      <c r="G17" s="322">
        <f t="shared" si="2"/>
        <v>40728808.450000003</v>
      </c>
      <c r="H17" s="671" t="s">
        <v>398</v>
      </c>
      <c r="I17" s="670"/>
      <c r="J17" s="668"/>
      <c r="K17" s="632"/>
    </row>
    <row r="18" spans="1:11" outlineLevel="1">
      <c r="A18" s="337">
        <v>5</v>
      </c>
      <c r="B18" s="918" t="s">
        <v>376</v>
      </c>
      <c r="C18" s="665">
        <v>182718387.80000001</v>
      </c>
      <c r="D18" s="321">
        <f t="shared" si="0"/>
        <v>18271838.780000001</v>
      </c>
      <c r="E18" s="321">
        <f t="shared" si="1"/>
        <v>200990226.58000001</v>
      </c>
      <c r="F18" s="321"/>
      <c r="G18" s="322">
        <f t="shared" si="2"/>
        <v>200990226.58000001</v>
      </c>
      <c r="H18" s="670" t="s">
        <v>399</v>
      </c>
      <c r="I18" s="671"/>
      <c r="J18" s="668"/>
      <c r="K18" s="632"/>
    </row>
    <row r="19" spans="1:11" s="336" customFormat="1" outlineLevel="1">
      <c r="A19" s="337">
        <v>6</v>
      </c>
      <c r="B19" s="663" t="s">
        <v>377</v>
      </c>
      <c r="C19" s="665">
        <v>1169151246.7</v>
      </c>
      <c r="D19" s="321">
        <f t="shared" si="0"/>
        <v>116915124.67000002</v>
      </c>
      <c r="E19" s="321">
        <f t="shared" si="1"/>
        <v>1286066371.3700001</v>
      </c>
      <c r="F19" s="321"/>
      <c r="G19" s="322">
        <f t="shared" si="2"/>
        <v>1286066371.3700001</v>
      </c>
      <c r="H19" s="670"/>
      <c r="I19" s="670"/>
      <c r="J19" s="667"/>
      <c r="K19" s="632"/>
    </row>
    <row r="20" spans="1:11" outlineLevel="1">
      <c r="A20" s="337">
        <v>7</v>
      </c>
      <c r="B20" s="920" t="s">
        <v>378</v>
      </c>
      <c r="C20" s="665">
        <v>2425177910.7110415</v>
      </c>
      <c r="D20" s="321">
        <f t="shared" si="0"/>
        <v>242517791.07110417</v>
      </c>
      <c r="E20" s="321">
        <f t="shared" si="1"/>
        <v>2667695701.7821455</v>
      </c>
      <c r="F20" s="498"/>
      <c r="G20" s="322">
        <f t="shared" si="2"/>
        <v>2667695701.7821455</v>
      </c>
      <c r="H20" s="670"/>
      <c r="I20" s="670"/>
      <c r="J20" s="668"/>
      <c r="K20" s="632"/>
    </row>
    <row r="21" spans="1:11" outlineLevel="1">
      <c r="A21" s="337">
        <v>8</v>
      </c>
      <c r="B21" s="920" t="s">
        <v>379</v>
      </c>
      <c r="C21" s="665">
        <v>4451433027.5619068</v>
      </c>
      <c r="D21" s="321">
        <f t="shared" si="0"/>
        <v>445143302.75619072</v>
      </c>
      <c r="E21" s="321">
        <f t="shared" si="1"/>
        <v>4896576330.3180971</v>
      </c>
      <c r="F21" s="498"/>
      <c r="G21" s="322">
        <f t="shared" si="2"/>
        <v>4896576330.3180971</v>
      </c>
      <c r="H21" s="670"/>
      <c r="I21" s="670"/>
      <c r="J21" s="668"/>
      <c r="K21" s="632"/>
    </row>
    <row r="22" spans="1:11" outlineLevel="1">
      <c r="A22" s="337">
        <v>9</v>
      </c>
      <c r="B22" s="920" t="s">
        <v>380</v>
      </c>
      <c r="C22" s="665">
        <v>1682185592.6248269</v>
      </c>
      <c r="D22" s="321">
        <f t="shared" si="0"/>
        <v>168218559.2624827</v>
      </c>
      <c r="E22" s="321">
        <f t="shared" si="1"/>
        <v>1850404151.8873096</v>
      </c>
      <c r="F22" s="499"/>
      <c r="G22" s="322">
        <f t="shared" si="2"/>
        <v>1850404151.8873096</v>
      </c>
      <c r="H22" s="670"/>
      <c r="I22" s="670"/>
      <c r="J22" s="668"/>
      <c r="K22" s="632"/>
    </row>
    <row r="23" spans="1:11" outlineLevel="1">
      <c r="A23" s="337">
        <v>10</v>
      </c>
      <c r="B23" s="920" t="s">
        <v>381</v>
      </c>
      <c r="C23" s="665">
        <v>366361468.23415899</v>
      </c>
      <c r="D23" s="321">
        <f t="shared" si="0"/>
        <v>36636146.823415898</v>
      </c>
      <c r="E23" s="321">
        <f t="shared" si="1"/>
        <v>402997615.05757487</v>
      </c>
      <c r="F23" s="499"/>
      <c r="G23" s="322">
        <f t="shared" si="2"/>
        <v>402997615.05757487</v>
      </c>
      <c r="H23" s="670"/>
      <c r="I23" s="670"/>
      <c r="J23" s="668"/>
      <c r="K23" s="632"/>
    </row>
    <row r="24" spans="1:11" outlineLevel="1">
      <c r="A24" s="337">
        <v>11</v>
      </c>
      <c r="B24" s="918" t="s">
        <v>382</v>
      </c>
      <c r="C24" s="665">
        <v>28363130.5</v>
      </c>
      <c r="D24" s="321">
        <f t="shared" si="0"/>
        <v>2836313.0500000003</v>
      </c>
      <c r="E24" s="321">
        <f t="shared" si="1"/>
        <v>31199443.550000001</v>
      </c>
      <c r="F24" s="498"/>
      <c r="G24" s="322">
        <f t="shared" si="2"/>
        <v>31199443.550000001</v>
      </c>
      <c r="H24" s="670" t="s">
        <v>399</v>
      </c>
      <c r="I24" s="670"/>
      <c r="J24" s="668"/>
      <c r="K24" s="632"/>
    </row>
    <row r="25" spans="1:11" outlineLevel="1">
      <c r="A25" s="337">
        <v>12</v>
      </c>
      <c r="B25" s="918" t="s">
        <v>383</v>
      </c>
      <c r="C25" s="665">
        <f>'[9]TH CHI PHI'!$C$6</f>
        <v>1535607859.1372466</v>
      </c>
      <c r="D25" s="321">
        <f t="shared" si="0"/>
        <v>153560785.91372466</v>
      </c>
      <c r="E25" s="321">
        <f t="shared" si="1"/>
        <v>1689168645.0509713</v>
      </c>
      <c r="F25" s="498"/>
      <c r="G25" s="322">
        <f t="shared" si="2"/>
        <v>1689168645.0509713</v>
      </c>
      <c r="H25" s="672">
        <f>SUM(H26:H32)</f>
        <v>0</v>
      </c>
      <c r="I25" s="672"/>
      <c r="J25" s="668"/>
      <c r="K25" s="632"/>
    </row>
    <row r="26" spans="1:11">
      <c r="A26" s="333" t="s">
        <v>384</v>
      </c>
      <c r="B26" s="334" t="s">
        <v>385</v>
      </c>
      <c r="C26" s="335">
        <f>SUM(C27:C33)</f>
        <v>19812284343.932861</v>
      </c>
      <c r="D26" s="335">
        <f>SUM(D27:D33)</f>
        <v>1981228434.3932865</v>
      </c>
      <c r="E26" s="335">
        <f>SUM(E27:E33)</f>
        <v>21793512778.326153</v>
      </c>
      <c r="F26" s="335">
        <f>SUM(F28:F33)</f>
        <v>0</v>
      </c>
      <c r="G26" s="428">
        <f>SUM(G27:G33)</f>
        <v>21793512778.326153</v>
      </c>
      <c r="H26" s="671" t="s">
        <v>398</v>
      </c>
      <c r="I26" s="671"/>
      <c r="J26" s="668"/>
      <c r="K26" s="632"/>
    </row>
    <row r="27" spans="1:11" outlineLevel="1">
      <c r="A27" s="337">
        <v>13</v>
      </c>
      <c r="B27" s="663" t="s">
        <v>386</v>
      </c>
      <c r="C27" s="665">
        <v>7099164121.6000004</v>
      </c>
      <c r="D27" s="321">
        <f t="shared" ref="D27:D33" si="3">C27*10%</f>
        <v>709916412.16000009</v>
      </c>
      <c r="E27" s="321">
        <f t="shared" ref="E27:E33" si="4">SUM(C27:D27)</f>
        <v>7809080533.7600002</v>
      </c>
      <c r="F27" s="321"/>
      <c r="G27" s="322">
        <f t="shared" ref="G27:G33" si="5">F27+E27</f>
        <v>7809080533.7600002</v>
      </c>
      <c r="H27" s="671" t="s">
        <v>398</v>
      </c>
      <c r="I27" s="671"/>
      <c r="J27" s="668"/>
      <c r="K27" s="632"/>
    </row>
    <row r="28" spans="1:11" outlineLevel="1">
      <c r="A28" s="337">
        <v>14</v>
      </c>
      <c r="B28" s="663" t="s">
        <v>387</v>
      </c>
      <c r="C28" s="665">
        <v>1700000315.3</v>
      </c>
      <c r="D28" s="321">
        <f t="shared" si="3"/>
        <v>170000031.53</v>
      </c>
      <c r="E28" s="321">
        <f t="shared" si="4"/>
        <v>1870000346.8299999</v>
      </c>
      <c r="F28" s="321"/>
      <c r="G28" s="322">
        <f t="shared" si="5"/>
        <v>1870000346.8299999</v>
      </c>
      <c r="H28" s="671" t="s">
        <v>398</v>
      </c>
      <c r="I28" s="671"/>
      <c r="J28" s="668"/>
      <c r="K28" s="632"/>
    </row>
    <row r="29" spans="1:11" outlineLevel="1">
      <c r="A29" s="337">
        <v>15</v>
      </c>
      <c r="B29" s="664" t="s">
        <v>388</v>
      </c>
      <c r="C29" s="665">
        <v>841849432.39999998</v>
      </c>
      <c r="D29" s="321">
        <f t="shared" si="3"/>
        <v>84184943.24000001</v>
      </c>
      <c r="E29" s="321">
        <f t="shared" si="4"/>
        <v>926034375.63999999</v>
      </c>
      <c r="F29" s="321"/>
      <c r="G29" s="322">
        <f t="shared" si="5"/>
        <v>926034375.63999999</v>
      </c>
      <c r="H29" s="670"/>
      <c r="I29" s="670"/>
      <c r="J29" s="668"/>
      <c r="K29" s="632"/>
    </row>
    <row r="30" spans="1:11" outlineLevel="1">
      <c r="A30" s="337">
        <v>16</v>
      </c>
      <c r="B30" s="921" t="s">
        <v>389</v>
      </c>
      <c r="C30" s="665">
        <v>2210901074</v>
      </c>
      <c r="D30" s="321">
        <f t="shared" si="3"/>
        <v>221090107.40000001</v>
      </c>
      <c r="E30" s="321">
        <f t="shared" si="4"/>
        <v>2431991181.4000001</v>
      </c>
      <c r="F30" s="321"/>
      <c r="G30" s="322">
        <f t="shared" si="5"/>
        <v>2431991181.4000001</v>
      </c>
      <c r="H30" s="670"/>
      <c r="I30" s="670"/>
      <c r="J30" s="668"/>
      <c r="K30" s="632"/>
    </row>
    <row r="31" spans="1:11" outlineLevel="1">
      <c r="A31" s="337">
        <v>17</v>
      </c>
      <c r="B31" s="921" t="s">
        <v>390</v>
      </c>
      <c r="C31" s="665">
        <v>3628641894.9908385</v>
      </c>
      <c r="D31" s="321">
        <f t="shared" si="3"/>
        <v>362864189.49908388</v>
      </c>
      <c r="E31" s="321">
        <f t="shared" si="4"/>
        <v>3991506084.4899225</v>
      </c>
      <c r="F31" s="321"/>
      <c r="G31" s="322">
        <f t="shared" si="5"/>
        <v>3991506084.4899225</v>
      </c>
      <c r="H31" s="671" t="s">
        <v>398</v>
      </c>
      <c r="I31" s="671"/>
      <c r="J31" s="668"/>
      <c r="K31" s="632"/>
    </row>
    <row r="32" spans="1:11" outlineLevel="1">
      <c r="A32" s="337">
        <v>18</v>
      </c>
      <c r="B32" s="664" t="s">
        <v>391</v>
      </c>
      <c r="C32" s="665">
        <v>3115586243.1999998</v>
      </c>
      <c r="D32" s="321">
        <f t="shared" si="3"/>
        <v>311558624.31999999</v>
      </c>
      <c r="E32" s="321">
        <f t="shared" si="4"/>
        <v>3427144867.52</v>
      </c>
      <c r="F32" s="321"/>
      <c r="G32" s="322">
        <f t="shared" si="5"/>
        <v>3427144867.52</v>
      </c>
      <c r="H32" s="670"/>
      <c r="I32" s="670"/>
      <c r="J32" s="668"/>
      <c r="K32" s="632"/>
    </row>
    <row r="33" spans="1:11" outlineLevel="1">
      <c r="A33" s="337">
        <v>19</v>
      </c>
      <c r="B33" s="920" t="s">
        <v>392</v>
      </c>
      <c r="C33" s="665">
        <f>[10]THKP!$F$32</f>
        <v>1216141262.4420259</v>
      </c>
      <c r="D33" s="321">
        <f t="shared" si="3"/>
        <v>121614126.2442026</v>
      </c>
      <c r="E33" s="321">
        <f t="shared" si="4"/>
        <v>1337755388.6862285</v>
      </c>
      <c r="F33" s="321"/>
      <c r="G33" s="322">
        <f t="shared" si="5"/>
        <v>1337755388.6862285</v>
      </c>
      <c r="H33" s="673">
        <f>SUM(H34:H35)</f>
        <v>0</v>
      </c>
      <c r="I33" s="673"/>
      <c r="J33" s="668"/>
      <c r="K33" s="632"/>
    </row>
    <row r="34" spans="1:11">
      <c r="A34" s="333" t="s">
        <v>393</v>
      </c>
      <c r="B34" s="334" t="s">
        <v>394</v>
      </c>
      <c r="C34" s="335">
        <f>SUM(C35:C41)</f>
        <v>383730422</v>
      </c>
      <c r="D34" s="335">
        <f>SUM(D35:D41)</f>
        <v>38373042.200000003</v>
      </c>
      <c r="E34" s="335">
        <f>SUM(E35:E41)</f>
        <v>3837304.22</v>
      </c>
      <c r="F34" s="335">
        <f>SUM(F35:F41)</f>
        <v>0</v>
      </c>
      <c r="G34" s="335">
        <f>SUM(G35:G41)</f>
        <v>3837304.22</v>
      </c>
      <c r="H34" s="670"/>
      <c r="I34" s="670"/>
      <c r="J34" s="668"/>
      <c r="K34" s="632"/>
    </row>
    <row r="35" spans="1:11" s="504" customFormat="1" outlineLevel="1">
      <c r="A35" s="502">
        <v>1</v>
      </c>
      <c r="B35" s="500" t="s">
        <v>395</v>
      </c>
      <c r="C35" s="321"/>
      <c r="D35" s="503"/>
      <c r="E35" s="503"/>
      <c r="F35" s="321"/>
      <c r="G35" s="322">
        <f t="shared" ref="G35:G40" si="6">F35+E35</f>
        <v>0</v>
      </c>
      <c r="H35" s="670"/>
      <c r="I35" s="670"/>
      <c r="J35" s="669"/>
      <c r="K35" s="632"/>
    </row>
    <row r="36" spans="1:11" s="504" customFormat="1" ht="28.5" outlineLevel="1">
      <c r="A36" s="502">
        <v>2</v>
      </c>
      <c r="B36" s="505" t="s">
        <v>396</v>
      </c>
      <c r="C36" s="503"/>
      <c r="D36" s="503"/>
      <c r="E36" s="503"/>
      <c r="F36" s="503"/>
      <c r="G36" s="322">
        <f t="shared" si="6"/>
        <v>0</v>
      </c>
      <c r="H36" s="670"/>
      <c r="I36" s="670"/>
      <c r="J36" s="669"/>
      <c r="K36" s="632"/>
    </row>
    <row r="37" spans="1:11" s="504" customFormat="1" outlineLevel="1">
      <c r="A37" s="502">
        <v>3</v>
      </c>
      <c r="B37" s="505" t="s">
        <v>380</v>
      </c>
      <c r="C37" s="503"/>
      <c r="D37" s="503"/>
      <c r="E37" s="503"/>
      <c r="F37" s="321"/>
      <c r="G37" s="322">
        <f t="shared" si="6"/>
        <v>0</v>
      </c>
      <c r="H37" s="670"/>
      <c r="I37" s="670"/>
      <c r="J37" s="669"/>
      <c r="K37" s="632"/>
    </row>
    <row r="38" spans="1:11" s="504" customFormat="1" outlineLevel="1">
      <c r="A38" s="502">
        <v>4</v>
      </c>
      <c r="B38" s="505" t="s">
        <v>381</v>
      </c>
      <c r="C38" s="503">
        <v>67291822</v>
      </c>
      <c r="D38" s="321">
        <f t="shared" ref="D38:E40" si="7">C38*10%</f>
        <v>6729182.2000000002</v>
      </c>
      <c r="E38" s="321">
        <f t="shared" si="7"/>
        <v>672918.22000000009</v>
      </c>
      <c r="F38" s="321"/>
      <c r="G38" s="322">
        <f t="shared" si="6"/>
        <v>672918.22000000009</v>
      </c>
      <c r="H38" s="670"/>
      <c r="I38" s="670"/>
      <c r="J38" s="669"/>
      <c r="K38" s="632"/>
    </row>
    <row r="39" spans="1:11" s="504" customFormat="1" outlineLevel="1">
      <c r="A39" s="502">
        <v>5</v>
      </c>
      <c r="B39" s="919" t="s">
        <v>382</v>
      </c>
      <c r="C39" s="503">
        <v>23250000</v>
      </c>
      <c r="D39" s="321">
        <f t="shared" si="7"/>
        <v>2325000</v>
      </c>
      <c r="E39" s="321">
        <f t="shared" si="7"/>
        <v>232500</v>
      </c>
      <c r="F39" s="321"/>
      <c r="G39" s="322">
        <f t="shared" si="6"/>
        <v>232500</v>
      </c>
      <c r="H39" s="670"/>
      <c r="I39" s="670"/>
      <c r="J39" s="669"/>
      <c r="K39" s="632"/>
    </row>
    <row r="40" spans="1:11" s="504" customFormat="1" outlineLevel="1">
      <c r="A40" s="502">
        <v>6</v>
      </c>
      <c r="B40" s="505" t="s">
        <v>383</v>
      </c>
      <c r="C40" s="503">
        <f>'[9]TH CHI PHI'!$C$7</f>
        <v>293188600</v>
      </c>
      <c r="D40" s="321">
        <f t="shared" si="7"/>
        <v>29318860</v>
      </c>
      <c r="E40" s="321">
        <f t="shared" si="7"/>
        <v>2931886</v>
      </c>
      <c r="F40" s="321"/>
      <c r="G40" s="322">
        <f t="shared" si="6"/>
        <v>2931886</v>
      </c>
      <c r="J40" s="669"/>
      <c r="K40" s="632"/>
    </row>
    <row r="41" spans="1:11" s="504" customFormat="1" outlineLevel="1">
      <c r="A41" s="502"/>
      <c r="B41" s="505"/>
      <c r="C41" s="503"/>
      <c r="D41" s="503"/>
      <c r="E41" s="503"/>
      <c r="F41" s="503"/>
      <c r="G41" s="506"/>
      <c r="J41" s="669"/>
    </row>
    <row r="42" spans="1:11">
      <c r="A42" s="340"/>
      <c r="B42" s="341"/>
      <c r="C42" s="342"/>
      <c r="D42" s="342"/>
      <c r="E42" s="342"/>
      <c r="F42" s="507"/>
      <c r="G42" s="507"/>
      <c r="J42" s="359"/>
    </row>
    <row r="43" spans="1:11">
      <c r="A43" s="343"/>
      <c r="B43" s="344" t="s">
        <v>397</v>
      </c>
      <c r="C43" s="346">
        <f>C34+C26+C11</f>
        <v>109385439339.90205</v>
      </c>
      <c r="D43" s="346">
        <f>D34+D26+D11</f>
        <v>10938543933.990208</v>
      </c>
      <c r="E43" s="346">
        <f>E34+E26+E11</f>
        <v>119905717113.91219</v>
      </c>
      <c r="F43" s="346">
        <f>F34+F26+F11</f>
        <v>0</v>
      </c>
      <c r="G43" s="346">
        <f>G34+G26+G11</f>
        <v>119905717113.91219</v>
      </c>
      <c r="J43" s="359"/>
    </row>
    <row r="44" spans="1:11">
      <c r="F44" s="508">
        <f>TBA!G11</f>
        <v>260396329.99999997</v>
      </c>
      <c r="J44" s="359"/>
    </row>
    <row r="45" spans="1:11">
      <c r="J45" s="359"/>
    </row>
    <row r="46" spans="1:11">
      <c r="G46" s="359">
        <f>G43/2867.5</f>
        <v>41815420.092035636</v>
      </c>
      <c r="J46" s="359"/>
    </row>
    <row r="47" spans="1:11">
      <c r="B47" s="510"/>
    </row>
    <row r="48" spans="1:11">
      <c r="B48" s="508"/>
    </row>
    <row r="49" spans="2:2">
      <c r="B49" s="511"/>
    </row>
  </sheetData>
  <printOptions horizontalCentered="1"/>
  <pageMargins left="0.31496062992125984" right="0.15748031496062992" top="0.39370078740157483" bottom="0.39370078740157483" header="0.15748031496062992" footer="0.15748031496062992"/>
  <pageSetup paperSize="9" scale="80" orientation="landscape" blackAndWhite="1" r:id="rId1"/>
  <headerFooter alignWithMargins="0">
    <oddHeader>&amp;L&amp;"VNI-Aptima,Italic"&amp;8&amp;F&amp;R&amp;"VNI-Aptima,Italic"&amp;8&amp;A</oddHeader>
    <oddFooter>&amp;C&amp;"VNI-Aptima,Italic"&amp;8TRANG THU &amp;P/&amp;N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
  <sheetViews>
    <sheetView workbookViewId="0"/>
  </sheetViews>
  <sheetFormatPr defaultRowHeight="14.2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
  <sheetViews>
    <sheetView workbookViewId="0"/>
  </sheetViews>
  <sheetFormatPr defaultRowHeight="14.2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
  <sheetViews>
    <sheetView workbookViewId="0"/>
  </sheetViews>
  <sheetFormatPr defaultRowHeight="14.2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
  <sheetViews>
    <sheetView workbookViewId="0"/>
  </sheetViews>
  <sheetFormatPr defaultRowHeight="14.2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
  <sheetViews>
    <sheetView workbookViewId="0"/>
  </sheetViews>
  <sheetFormatPr defaultRowHeight="14.2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
  <sheetViews>
    <sheetView workbookViewId="0"/>
  </sheetViews>
  <sheetFormatPr defaultRowHeight="14.25"/>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
  <sheetViews>
    <sheetView workbookViewId="0"/>
  </sheetViews>
  <sheetFormatPr defaultRowHeight="14.25"/>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
  <sheetViews>
    <sheetView workbookViewId="0"/>
  </sheetViews>
  <sheetFormatPr defaultRowHeight="14.25"/>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
  <sheetViews>
    <sheetView workbookViewId="0"/>
  </sheetViews>
  <sheetFormatPr defaultRowHeight="14.25"/>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
  <sheetViews>
    <sheetView workbookViewId="0"/>
  </sheetViews>
  <sheetFormatPr defaultRowHeight="14.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25"/>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
  <sheetViews>
    <sheetView workbookViewId="0"/>
  </sheetViews>
  <sheetFormatPr defaultRowHeight="14.2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
  <sheetViews>
    <sheetView workbookViewId="0"/>
  </sheetViews>
  <sheetFormatPr defaultRowHeight="14.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
  <sheetViews>
    <sheetView workbookViewId="0"/>
  </sheetViews>
  <sheetFormatPr defaultRowHeight="14.2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
  <sheetViews>
    <sheetView workbookViewId="0"/>
  </sheetViews>
  <sheetFormatPr defaultRowHeight="14.25"/>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
  <sheetViews>
    <sheetView workbookViewId="0"/>
  </sheetViews>
  <sheetFormatPr defaultRowHeight="14.25"/>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
  <sheetViews>
    <sheetView workbookViewId="0"/>
  </sheetViews>
  <sheetFormatPr defaultRowHeight="14.2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
  <sheetViews>
    <sheetView workbookViewId="0"/>
  </sheetViews>
  <sheetFormatPr defaultRowHeight="14.25"/>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
  <sheetViews>
    <sheetView workbookViewId="0"/>
  </sheetViews>
  <sheetFormatPr defaultRowHeight="14.25"/>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
  <sheetViews>
    <sheetView workbookViewId="0"/>
  </sheetViews>
  <sheetFormatPr defaultRowHeight="14.25"/>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
  <sheetViews>
    <sheetView workbookViewId="0"/>
  </sheetViews>
  <sheetFormatPr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25"/>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
  <sheetViews>
    <sheetView workbookViewId="0"/>
  </sheetViews>
  <sheetFormatPr defaultRowHeight="14.25"/>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
  <sheetViews>
    <sheetView workbookViewId="0"/>
  </sheetViews>
  <sheetFormatPr defaultRowHeight="14.2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
  <sheetViews>
    <sheetView workbookViewId="0"/>
  </sheetViews>
  <sheetFormatPr defaultRowHeight="14.25"/>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
  <sheetViews>
    <sheetView workbookViewId="0"/>
  </sheetViews>
  <sheetFormatPr defaultRowHeight="14.25"/>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
  <sheetViews>
    <sheetView workbookViewId="0"/>
  </sheetViews>
  <sheetFormatPr defaultRowHeight="14.25"/>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
  <sheetViews>
    <sheetView workbookViewId="0"/>
  </sheetViews>
  <sheetFormatPr defaultRowHeight="14.25"/>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
  <sheetViews>
    <sheetView workbookViewId="0"/>
  </sheetViews>
  <sheetFormatPr defaultRowHeight="14.25"/>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
  <sheetViews>
    <sheetView workbookViewId="0"/>
  </sheetViews>
  <sheetFormatPr defaultRowHeight="14.2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
  <sheetViews>
    <sheetView workbookViewId="0"/>
  </sheetViews>
  <sheetFormatPr defaultRowHeight="14.25"/>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
  <sheetViews>
    <sheetView workbookViewId="0"/>
  </sheetViews>
  <sheetFormatPr defaultRowHeight="14.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25"/>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
  <sheetViews>
    <sheetView workbookViewId="0"/>
  </sheetViews>
  <sheetFormatPr defaultRowHeight="14.25"/>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
  <sheetViews>
    <sheetView workbookViewId="0"/>
  </sheetViews>
  <sheetFormatPr defaultRowHeight="14.25"/>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
  <sheetViews>
    <sheetView workbookViewId="0"/>
  </sheetViews>
  <sheetFormatPr defaultRowHeight="14.25"/>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
  <sheetViews>
    <sheetView workbookViewId="0"/>
  </sheetViews>
  <sheetFormatPr defaultRowHeight="14.25"/>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
  <sheetViews>
    <sheetView workbookViewId="0"/>
  </sheetViews>
  <sheetFormatPr defaultRowHeight="14.25"/>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outlinePr summaryBelow="0"/>
  </sheetPr>
  <dimension ref="A1:O44"/>
  <sheetViews>
    <sheetView showZeros="0" view="pageBreakPreview" zoomScale="96" zoomScaleSheetLayoutView="96" workbookViewId="0">
      <selection activeCell="F17" sqref="F17"/>
    </sheetView>
  </sheetViews>
  <sheetFormatPr defaultColWidth="9.140625" defaultRowHeight="14.25" outlineLevelRow="1"/>
  <cols>
    <col min="1" max="1" width="6.42578125" style="185" bestFit="1" customWidth="1"/>
    <col min="2" max="2" width="61.140625" style="185" customWidth="1"/>
    <col min="3" max="3" width="23.85546875" style="185" customWidth="1"/>
    <col min="4" max="4" width="15.42578125" style="185" customWidth="1"/>
    <col min="5" max="5" width="17" style="185" customWidth="1"/>
    <col min="6" max="6" width="15.42578125" style="185" customWidth="1"/>
    <col min="7" max="7" width="17.140625" style="185" customWidth="1"/>
    <col min="8" max="8" width="63.7109375" style="185" customWidth="1"/>
    <col min="9" max="9" width="26.85546875" style="185" customWidth="1"/>
    <col min="10" max="11" width="17.140625" style="185" customWidth="1"/>
    <col min="12" max="12" width="26.85546875" style="185" customWidth="1"/>
    <col min="13" max="14" width="17.140625" style="185" customWidth="1"/>
    <col min="15" max="16384" width="9.140625" style="185"/>
  </cols>
  <sheetData>
    <row r="1" spans="1:14" ht="33">
      <c r="A1" s="495" t="s">
        <v>400</v>
      </c>
      <c r="B1" s="187"/>
      <c r="C1" s="187"/>
      <c r="D1" s="187"/>
      <c r="E1" s="187"/>
      <c r="F1" s="187"/>
      <c r="G1" s="187"/>
      <c r="H1" s="187"/>
      <c r="I1" s="187"/>
      <c r="J1" s="187"/>
      <c r="K1" s="187"/>
    </row>
    <row r="2" spans="1:14" ht="7.5" customHeight="1">
      <c r="A2" s="187"/>
      <c r="B2" s="187"/>
      <c r="C2" s="187"/>
      <c r="D2" s="187"/>
      <c r="E2" s="187"/>
      <c r="F2" s="187"/>
      <c r="G2" s="187"/>
      <c r="H2" s="187"/>
      <c r="I2" s="187"/>
      <c r="J2" s="187"/>
      <c r="K2" s="187"/>
    </row>
    <row r="3" spans="1:14" ht="20.25">
      <c r="A3" s="325" t="e">
        <f>+#REF!</f>
        <v>#REF!</v>
      </c>
      <c r="B3" s="187"/>
      <c r="C3" s="187"/>
      <c r="D3" s="187"/>
      <c r="E3" s="187"/>
      <c r="F3" s="187"/>
      <c r="G3" s="187"/>
      <c r="H3" s="187"/>
      <c r="I3" s="187"/>
      <c r="J3" s="187"/>
      <c r="K3" s="187"/>
    </row>
    <row r="4" spans="1:14" ht="17.25">
      <c r="A4" s="327"/>
      <c r="B4" s="187"/>
      <c r="C4" s="187"/>
      <c r="D4" s="187"/>
      <c r="E4" s="187"/>
      <c r="F4" s="187"/>
      <c r="G4" s="187"/>
      <c r="H4" s="187"/>
      <c r="I4" s="187"/>
      <c r="J4" s="187"/>
      <c r="K4" s="187"/>
    </row>
    <row r="5" spans="1:14">
      <c r="A5" s="186"/>
      <c r="B5" s="186"/>
      <c r="C5" s="328"/>
      <c r="F5" s="328"/>
      <c r="G5" s="328" t="s">
        <v>352</v>
      </c>
      <c r="H5" s="328"/>
      <c r="I5" s="328"/>
      <c r="J5" s="328"/>
      <c r="K5" s="328"/>
    </row>
    <row r="6" spans="1:14">
      <c r="A6" s="329" t="s">
        <v>51</v>
      </c>
      <c r="B6" s="329" t="s">
        <v>52</v>
      </c>
      <c r="C6" s="329" t="s">
        <v>353</v>
      </c>
      <c r="D6" s="329" t="s">
        <v>354</v>
      </c>
      <c r="E6" s="329" t="s">
        <v>355</v>
      </c>
      <c r="F6" s="329" t="s">
        <v>356</v>
      </c>
      <c r="G6" s="329" t="s">
        <v>357</v>
      </c>
      <c r="H6" s="1651" t="s">
        <v>401</v>
      </c>
      <c r="I6" s="1217"/>
      <c r="J6" s="1217"/>
      <c r="K6" s="1217"/>
    </row>
    <row r="7" spans="1:14">
      <c r="A7" s="330"/>
      <c r="B7" s="331"/>
      <c r="C7" s="331" t="s">
        <v>358</v>
      </c>
      <c r="D7" s="331" t="s">
        <v>358</v>
      </c>
      <c r="E7" s="331" t="s">
        <v>359</v>
      </c>
      <c r="F7" s="331" t="s">
        <v>359</v>
      </c>
      <c r="G7" s="331" t="s">
        <v>359</v>
      </c>
      <c r="H7" s="1652"/>
      <c r="I7" s="1217"/>
      <c r="J7" s="1217"/>
      <c r="K7" s="1217"/>
    </row>
    <row r="8" spans="1:14">
      <c r="A8" s="332" t="s">
        <v>360</v>
      </c>
      <c r="B8" s="332" t="s">
        <v>361</v>
      </c>
      <c r="C8" s="332" t="s">
        <v>362</v>
      </c>
      <c r="D8" s="332" t="s">
        <v>402</v>
      </c>
      <c r="E8" s="332" t="s">
        <v>364</v>
      </c>
      <c r="F8" s="332" t="s">
        <v>365</v>
      </c>
      <c r="G8" s="332" t="s">
        <v>366</v>
      </c>
      <c r="H8" s="332" t="s">
        <v>403</v>
      </c>
      <c r="I8" s="1218"/>
      <c r="J8" s="1218"/>
      <c r="K8" s="1218"/>
    </row>
    <row r="9" spans="1:14">
      <c r="A9" s="496"/>
      <c r="B9" s="497"/>
      <c r="C9" s="497"/>
      <c r="D9" s="497"/>
      <c r="E9" s="497"/>
      <c r="F9" s="496"/>
      <c r="G9" s="496"/>
      <c r="H9" s="496"/>
      <c r="I9" s="1218"/>
      <c r="J9" s="1218"/>
      <c r="K9" s="1218"/>
    </row>
    <row r="10" spans="1:14" s="336" customFormat="1" ht="17.25" customHeight="1">
      <c r="A10" s="333" t="s">
        <v>67</v>
      </c>
      <c r="B10" s="334" t="s">
        <v>367</v>
      </c>
      <c r="C10" s="335">
        <f t="shared" ref="C10:H10" si="0">SUM(C11:C35)</f>
        <v>0</v>
      </c>
      <c r="D10" s="335">
        <f t="shared" si="0"/>
        <v>0</v>
      </c>
      <c r="E10" s="335">
        <f t="shared" si="0"/>
        <v>0</v>
      </c>
      <c r="F10" s="335">
        <f t="shared" si="0"/>
        <v>0</v>
      </c>
      <c r="G10" s="335">
        <f t="shared" si="0"/>
        <v>0</v>
      </c>
      <c r="H10" s="335">
        <f t="shared" si="0"/>
        <v>0</v>
      </c>
      <c r="I10" s="672"/>
      <c r="J10" s="672"/>
      <c r="K10" s="672"/>
      <c r="L10" s="670"/>
      <c r="M10" s="667"/>
      <c r="N10" s="632"/>
    </row>
    <row r="11" spans="1:14" outlineLevel="1">
      <c r="A11" s="337">
        <v>1</v>
      </c>
      <c r="B11" s="321" t="s">
        <v>404</v>
      </c>
      <c r="C11" s="1216"/>
      <c r="D11" s="321">
        <f>C11*8%</f>
        <v>0</v>
      </c>
      <c r="E11" s="321">
        <f>SUM(C11:D11)</f>
        <v>0</v>
      </c>
      <c r="F11" s="322"/>
      <c r="G11" s="322">
        <f>F11+E11</f>
        <v>0</v>
      </c>
      <c r="H11" s="1223" t="s">
        <v>405</v>
      </c>
      <c r="I11" s="672"/>
      <c r="J11" s="672"/>
      <c r="K11" s="672"/>
      <c r="L11" s="671"/>
      <c r="M11" s="668"/>
      <c r="N11" s="632"/>
    </row>
    <row r="12" spans="1:14" ht="28.5" outlineLevel="1">
      <c r="A12" s="337">
        <v>2</v>
      </c>
      <c r="B12" s="663" t="s">
        <v>406</v>
      </c>
      <c r="C12" s="1216"/>
      <c r="D12" s="321">
        <f t="shared" ref="D12:D31" si="1">C12*8%</f>
        <v>0</v>
      </c>
      <c r="E12" s="321">
        <f>SUM(C12:D12)</f>
        <v>0</v>
      </c>
      <c r="F12" s="322"/>
      <c r="G12" s="322">
        <f>F12+E12</f>
        <v>0</v>
      </c>
      <c r="H12" s="1222" t="s">
        <v>407</v>
      </c>
      <c r="I12" s="672"/>
      <c r="J12" s="672"/>
      <c r="K12" s="672"/>
      <c r="L12" s="671"/>
      <c r="M12" s="668"/>
      <c r="N12" s="632"/>
    </row>
    <row r="13" spans="1:14" ht="42.75" outlineLevel="1">
      <c r="A13" s="337">
        <v>3</v>
      </c>
      <c r="B13" s="663" t="s">
        <v>408</v>
      </c>
      <c r="C13" s="1216"/>
      <c r="D13" s="321">
        <f t="shared" si="1"/>
        <v>0</v>
      </c>
      <c r="E13" s="321">
        <f t="shared" ref="E13:E26" si="2">SUM(C13:D13)</f>
        <v>0</v>
      </c>
      <c r="F13" s="322"/>
      <c r="G13" s="322">
        <f>F13+E13</f>
        <v>0</v>
      </c>
      <c r="H13" s="1222" t="s">
        <v>409</v>
      </c>
      <c r="I13" s="672"/>
      <c r="J13" s="672"/>
      <c r="K13" s="672"/>
      <c r="L13" s="671"/>
      <c r="M13" s="668"/>
      <c r="N13" s="632"/>
    </row>
    <row r="14" spans="1:14" outlineLevel="1">
      <c r="A14" s="337">
        <v>4</v>
      </c>
      <c r="B14" s="663" t="s">
        <v>410</v>
      </c>
      <c r="C14" s="1216"/>
      <c r="D14" s="321">
        <f t="shared" si="1"/>
        <v>0</v>
      </c>
      <c r="E14" s="321">
        <f t="shared" si="2"/>
        <v>0</v>
      </c>
      <c r="F14" s="321"/>
      <c r="G14" s="322">
        <f t="shared" ref="G14:G25" si="3">F14+E14</f>
        <v>0</v>
      </c>
      <c r="H14" s="1223" t="s">
        <v>411</v>
      </c>
      <c r="I14" s="672"/>
      <c r="J14" s="672"/>
      <c r="K14" s="672"/>
      <c r="L14" s="671"/>
      <c r="M14" s="668"/>
      <c r="N14" s="632"/>
    </row>
    <row r="15" spans="1:14" outlineLevel="1">
      <c r="A15" s="337">
        <v>5</v>
      </c>
      <c r="B15" s="663" t="s">
        <v>412</v>
      </c>
      <c r="C15" s="1216"/>
      <c r="D15" s="321">
        <f t="shared" si="1"/>
        <v>0</v>
      </c>
      <c r="E15" s="321">
        <f t="shared" si="2"/>
        <v>0</v>
      </c>
      <c r="F15" s="321"/>
      <c r="G15" s="322">
        <f t="shared" si="3"/>
        <v>0</v>
      </c>
      <c r="H15" s="1223" t="s">
        <v>411</v>
      </c>
      <c r="I15" s="672"/>
      <c r="J15" s="672"/>
      <c r="K15" s="672"/>
      <c r="L15" s="671"/>
      <c r="M15" s="668"/>
      <c r="N15" s="632"/>
    </row>
    <row r="16" spans="1:14" s="336" customFormat="1" outlineLevel="1">
      <c r="A16" s="337">
        <v>6</v>
      </c>
      <c r="B16" s="663" t="s">
        <v>413</v>
      </c>
      <c r="C16" s="1216"/>
      <c r="D16" s="321">
        <f t="shared" si="1"/>
        <v>0</v>
      </c>
      <c r="E16" s="321">
        <f t="shared" si="2"/>
        <v>0</v>
      </c>
      <c r="F16" s="321"/>
      <c r="G16" s="322">
        <f t="shared" si="3"/>
        <v>0</v>
      </c>
      <c r="H16" s="1223" t="s">
        <v>411</v>
      </c>
      <c r="I16" s="672"/>
      <c r="J16" s="672"/>
      <c r="K16" s="672"/>
      <c r="L16" s="671"/>
      <c r="M16" s="667"/>
      <c r="N16" s="632"/>
    </row>
    <row r="17" spans="1:15" outlineLevel="1">
      <c r="A17" s="337">
        <v>7</v>
      </c>
      <c r="B17" s="663" t="s">
        <v>414</v>
      </c>
      <c r="C17" s="1216"/>
      <c r="D17" s="321">
        <f t="shared" si="1"/>
        <v>0</v>
      </c>
      <c r="E17" s="321">
        <f t="shared" si="2"/>
        <v>0</v>
      </c>
      <c r="F17" s="498"/>
      <c r="G17" s="322">
        <f t="shared" si="3"/>
        <v>0</v>
      </c>
      <c r="H17" s="1223" t="s">
        <v>415</v>
      </c>
      <c r="I17" s="672"/>
      <c r="J17" s="672"/>
      <c r="K17" s="672"/>
      <c r="L17" s="671"/>
      <c r="M17" s="668"/>
      <c r="N17" s="632"/>
    </row>
    <row r="18" spans="1:15" outlineLevel="1">
      <c r="A18" s="337">
        <v>8</v>
      </c>
      <c r="B18" s="663" t="s">
        <v>416</v>
      </c>
      <c r="C18" s="1216"/>
      <c r="D18" s="321">
        <f t="shared" si="1"/>
        <v>0</v>
      </c>
      <c r="E18" s="321">
        <f t="shared" si="2"/>
        <v>0</v>
      </c>
      <c r="F18" s="498"/>
      <c r="G18" s="322">
        <f t="shared" si="3"/>
        <v>0</v>
      </c>
      <c r="H18" s="1223" t="s">
        <v>415</v>
      </c>
      <c r="I18" s="672"/>
      <c r="J18" s="672"/>
      <c r="K18" s="672"/>
      <c r="L18" s="671"/>
      <c r="M18" s="668"/>
      <c r="N18" s="632"/>
    </row>
    <row r="19" spans="1:15" outlineLevel="1">
      <c r="A19" s="337">
        <v>9</v>
      </c>
      <c r="B19" s="663" t="s">
        <v>417</v>
      </c>
      <c r="C19" s="1216"/>
      <c r="D19" s="321">
        <f t="shared" si="1"/>
        <v>0</v>
      </c>
      <c r="E19" s="321">
        <f t="shared" si="2"/>
        <v>0</v>
      </c>
      <c r="F19" s="499"/>
      <c r="G19" s="322">
        <f t="shared" si="3"/>
        <v>0</v>
      </c>
      <c r="H19" s="1223" t="s">
        <v>415</v>
      </c>
      <c r="I19" s="672"/>
      <c r="J19" s="672"/>
      <c r="K19" s="672"/>
      <c r="L19" s="671"/>
      <c r="M19" s="668"/>
      <c r="N19" s="632"/>
    </row>
    <row r="20" spans="1:15" outlineLevel="1">
      <c r="A20" s="337">
        <v>10</v>
      </c>
      <c r="B20" s="321" t="s">
        <v>418</v>
      </c>
      <c r="C20" s="1216"/>
      <c r="D20" s="321"/>
      <c r="E20" s="321"/>
      <c r="F20" s="499"/>
      <c r="G20" s="322"/>
      <c r="H20" s="1223" t="s">
        <v>415</v>
      </c>
      <c r="I20" s="672"/>
      <c r="J20" s="672"/>
      <c r="K20" s="672"/>
      <c r="L20" s="671"/>
      <c r="M20" s="668"/>
      <c r="N20" s="632"/>
    </row>
    <row r="21" spans="1:15" outlineLevel="1">
      <c r="A21" s="337">
        <v>11</v>
      </c>
      <c r="B21" s="663" t="s">
        <v>419</v>
      </c>
      <c r="C21" s="1216"/>
      <c r="D21" s="321"/>
      <c r="E21" s="321"/>
      <c r="F21" s="499"/>
      <c r="G21" s="322"/>
      <c r="H21" s="1223" t="s">
        <v>415</v>
      </c>
      <c r="I21" s="672"/>
      <c r="J21" s="672"/>
      <c r="K21" s="672"/>
      <c r="L21" s="671"/>
      <c r="M21" s="668"/>
      <c r="N21" s="632"/>
    </row>
    <row r="22" spans="1:15" outlineLevel="1">
      <c r="A22" s="337">
        <v>12</v>
      </c>
      <c r="B22" s="663" t="s">
        <v>420</v>
      </c>
      <c r="C22" s="1216"/>
      <c r="D22" s="321"/>
      <c r="E22" s="321"/>
      <c r="F22" s="499"/>
      <c r="G22" s="322"/>
      <c r="H22" s="1223" t="s">
        <v>415</v>
      </c>
      <c r="I22" s="672"/>
      <c r="J22" s="672"/>
      <c r="K22" s="672"/>
      <c r="L22" s="671"/>
      <c r="M22" s="668"/>
      <c r="N22" s="632"/>
    </row>
    <row r="23" spans="1:15" outlineLevel="1">
      <c r="A23" s="337">
        <v>13</v>
      </c>
      <c r="B23" s="663" t="s">
        <v>421</v>
      </c>
      <c r="C23" s="1216"/>
      <c r="D23" s="321">
        <f t="shared" si="1"/>
        <v>0</v>
      </c>
      <c r="E23" s="321">
        <f t="shared" si="2"/>
        <v>0</v>
      </c>
      <c r="F23" s="499"/>
      <c r="G23" s="322">
        <f t="shared" si="3"/>
        <v>0</v>
      </c>
      <c r="H23" s="1223" t="s">
        <v>415</v>
      </c>
      <c r="I23" s="672"/>
      <c r="J23" s="672"/>
      <c r="K23" s="672"/>
      <c r="L23" s="671"/>
      <c r="M23" s="668"/>
      <c r="N23" s="632"/>
    </row>
    <row r="24" spans="1:15" outlineLevel="1">
      <c r="A24" s="337">
        <v>14</v>
      </c>
      <c r="B24" s="663" t="s">
        <v>422</v>
      </c>
      <c r="C24" s="1216"/>
      <c r="D24" s="321">
        <f t="shared" si="1"/>
        <v>0</v>
      </c>
      <c r="E24" s="321">
        <f t="shared" si="2"/>
        <v>0</v>
      </c>
      <c r="F24" s="498"/>
      <c r="G24" s="322">
        <f t="shared" si="3"/>
        <v>0</v>
      </c>
      <c r="H24" s="1223" t="s">
        <v>415</v>
      </c>
      <c r="I24" s="672"/>
      <c r="J24" s="672"/>
      <c r="K24" s="672"/>
      <c r="L24" s="671"/>
      <c r="M24" s="668"/>
      <c r="N24" s="632"/>
    </row>
    <row r="25" spans="1:15" outlineLevel="1">
      <c r="A25" s="337">
        <v>15</v>
      </c>
      <c r="B25" s="663" t="s">
        <v>423</v>
      </c>
      <c r="C25" s="1216"/>
      <c r="D25" s="321">
        <f t="shared" si="1"/>
        <v>0</v>
      </c>
      <c r="E25" s="321">
        <f t="shared" si="2"/>
        <v>0</v>
      </c>
      <c r="F25" s="498"/>
      <c r="G25" s="322">
        <f t="shared" si="3"/>
        <v>0</v>
      </c>
      <c r="H25" s="1223" t="s">
        <v>415</v>
      </c>
      <c r="I25" s="672"/>
      <c r="J25" s="672"/>
      <c r="K25" s="672"/>
      <c r="L25" s="671"/>
      <c r="M25" s="668"/>
      <c r="N25" s="632"/>
    </row>
    <row r="26" spans="1:15" outlineLevel="1">
      <c r="A26" s="337">
        <v>16</v>
      </c>
      <c r="B26" s="663" t="s">
        <v>389</v>
      </c>
      <c r="C26" s="1216"/>
      <c r="D26" s="321">
        <f>+C26*0.08</f>
        <v>0</v>
      </c>
      <c r="E26" s="321">
        <f t="shared" si="2"/>
        <v>0</v>
      </c>
      <c r="F26" s="498"/>
      <c r="G26" s="322">
        <f>F26+E26</f>
        <v>0</v>
      </c>
      <c r="H26" s="1223" t="s">
        <v>415</v>
      </c>
      <c r="I26" s="672"/>
      <c r="J26" s="672"/>
      <c r="K26" s="672"/>
      <c r="L26" s="671"/>
      <c r="M26" s="668"/>
      <c r="N26" s="632">
        <v>293068800</v>
      </c>
      <c r="O26" s="185">
        <v>1077423756.0437169</v>
      </c>
    </row>
    <row r="27" spans="1:15" outlineLevel="1">
      <c r="A27" s="337">
        <v>17</v>
      </c>
      <c r="B27" s="663" t="s">
        <v>390</v>
      </c>
      <c r="C27" s="1216"/>
      <c r="D27" s="321">
        <f t="shared" si="1"/>
        <v>0</v>
      </c>
      <c r="E27" s="321">
        <f t="shared" ref="E27:E31" si="4">SUM(C27:D27)</f>
        <v>0</v>
      </c>
      <c r="F27" s="321"/>
      <c r="G27" s="322">
        <f>F27+E27</f>
        <v>0</v>
      </c>
      <c r="H27" s="1223" t="s">
        <v>415</v>
      </c>
      <c r="I27" s="672"/>
      <c r="J27" s="672"/>
      <c r="K27" s="672"/>
      <c r="L27" s="671"/>
      <c r="M27" s="668"/>
      <c r="N27" s="632"/>
    </row>
    <row r="28" spans="1:15" outlineLevel="1">
      <c r="A28" s="337">
        <v>18</v>
      </c>
      <c r="B28" s="663" t="s">
        <v>424</v>
      </c>
      <c r="C28" s="1216"/>
      <c r="D28" s="321"/>
      <c r="E28" s="321"/>
      <c r="F28" s="321"/>
      <c r="G28" s="322"/>
      <c r="H28" s="1223" t="s">
        <v>415</v>
      </c>
      <c r="I28" s="672" t="s">
        <v>425</v>
      </c>
      <c r="J28" s="672"/>
      <c r="K28" s="672"/>
      <c r="L28" s="671"/>
      <c r="M28" s="668"/>
      <c r="N28" s="632"/>
    </row>
    <row r="29" spans="1:15" outlineLevel="1">
      <c r="A29" s="337">
        <v>19</v>
      </c>
      <c r="B29" s="663" t="s">
        <v>426</v>
      </c>
      <c r="C29" s="1216"/>
      <c r="D29" s="321"/>
      <c r="E29" s="321"/>
      <c r="F29" s="321"/>
      <c r="G29" s="322"/>
      <c r="H29" s="1223" t="s">
        <v>415</v>
      </c>
      <c r="I29" s="672"/>
      <c r="J29" s="672"/>
      <c r="K29" s="672"/>
      <c r="L29" s="671"/>
      <c r="M29" s="668"/>
      <c r="N29" s="632"/>
    </row>
    <row r="30" spans="1:15" outlineLevel="1">
      <c r="A30" s="337">
        <v>20</v>
      </c>
      <c r="B30" s="663" t="s">
        <v>391</v>
      </c>
      <c r="C30" s="1216"/>
      <c r="D30" s="321">
        <f t="shared" si="1"/>
        <v>0</v>
      </c>
      <c r="E30" s="321">
        <f t="shared" si="4"/>
        <v>0</v>
      </c>
      <c r="F30" s="321"/>
      <c r="G30" s="322">
        <f t="shared" ref="G30:G31" si="5">F30+E30</f>
        <v>0</v>
      </c>
      <c r="H30" s="1223" t="s">
        <v>411</v>
      </c>
      <c r="I30" s="672"/>
      <c r="J30" s="672"/>
      <c r="K30" s="672"/>
      <c r="L30" s="671"/>
      <c r="M30" s="668"/>
      <c r="N30" s="632"/>
    </row>
    <row r="31" spans="1:15" outlineLevel="1">
      <c r="A31" s="337">
        <v>21</v>
      </c>
      <c r="B31" s="663" t="s">
        <v>392</v>
      </c>
      <c r="C31" s="1216"/>
      <c r="D31" s="321">
        <f t="shared" si="1"/>
        <v>0</v>
      </c>
      <c r="E31" s="321">
        <f t="shared" si="4"/>
        <v>0</v>
      </c>
      <c r="F31" s="321"/>
      <c r="G31" s="322">
        <f t="shared" si="5"/>
        <v>0</v>
      </c>
      <c r="H31" s="1223" t="s">
        <v>415</v>
      </c>
      <c r="I31" s="672"/>
      <c r="J31" s="672"/>
      <c r="K31" s="672"/>
      <c r="L31" s="671"/>
      <c r="M31" s="668"/>
      <c r="N31" s="632"/>
    </row>
    <row r="32" spans="1:15" ht="28.5" outlineLevel="1">
      <c r="A32" s="337">
        <v>22</v>
      </c>
      <c r="B32" s="321" t="s">
        <v>427</v>
      </c>
      <c r="C32" s="1216"/>
      <c r="D32" s="321"/>
      <c r="E32" s="321"/>
      <c r="F32" s="321"/>
      <c r="G32" s="322"/>
      <c r="H32" s="1222" t="s">
        <v>428</v>
      </c>
      <c r="I32" s="672"/>
      <c r="J32" s="672"/>
      <c r="K32" s="672"/>
      <c r="L32" s="671"/>
      <c r="M32" s="668"/>
      <c r="N32" s="632"/>
    </row>
    <row r="33" spans="1:14" outlineLevel="1">
      <c r="A33" s="337">
        <v>23</v>
      </c>
      <c r="B33" s="321" t="s">
        <v>429</v>
      </c>
      <c r="C33" s="1216"/>
      <c r="D33" s="321"/>
      <c r="E33" s="321"/>
      <c r="F33" s="321"/>
      <c r="G33" s="322"/>
      <c r="H33" s="1223" t="s">
        <v>430</v>
      </c>
      <c r="I33" s="672"/>
      <c r="J33" s="672"/>
      <c r="K33" s="672"/>
      <c r="L33" s="671"/>
      <c r="M33" s="668"/>
      <c r="N33" s="632"/>
    </row>
    <row r="34" spans="1:14" outlineLevel="1">
      <c r="A34" s="337"/>
      <c r="B34" s="321"/>
      <c r="C34" s="1216"/>
      <c r="D34" s="321"/>
      <c r="E34" s="321"/>
      <c r="F34" s="321"/>
      <c r="G34" s="322"/>
      <c r="H34" s="322"/>
      <c r="I34" s="672"/>
      <c r="J34" s="672"/>
      <c r="K34" s="672"/>
      <c r="L34" s="671"/>
      <c r="M34" s="668"/>
      <c r="N34" s="632"/>
    </row>
    <row r="35" spans="1:14" outlineLevel="1">
      <c r="A35" s="337"/>
      <c r="B35" s="321"/>
      <c r="C35" s="1216"/>
      <c r="D35" s="321"/>
      <c r="E35" s="321"/>
      <c r="F35" s="321"/>
      <c r="G35" s="322"/>
      <c r="H35" s="322"/>
      <c r="I35" s="672"/>
      <c r="J35" s="672"/>
      <c r="K35" s="672"/>
      <c r="L35" s="671"/>
      <c r="M35" s="668"/>
      <c r="N35" s="632"/>
    </row>
    <row r="36" spans="1:14">
      <c r="A36" s="333" t="s">
        <v>431</v>
      </c>
      <c r="B36" s="334" t="s">
        <v>394</v>
      </c>
      <c r="C36" s="335"/>
      <c r="D36" s="335"/>
      <c r="E36" s="335"/>
      <c r="F36" s="335"/>
      <c r="G36" s="335"/>
      <c r="H36" s="335"/>
      <c r="I36" s="672"/>
      <c r="J36" s="672"/>
      <c r="K36" s="672"/>
      <c r="L36" s="670"/>
      <c r="M36" s="668"/>
      <c r="N36" s="632"/>
    </row>
    <row r="37" spans="1:14">
      <c r="A37" s="1219"/>
      <c r="B37" s="1220"/>
      <c r="C37" s="1221"/>
      <c r="D37" s="1221"/>
      <c r="E37" s="1221"/>
      <c r="F37" s="1221"/>
      <c r="G37" s="1221"/>
      <c r="H37" s="1221"/>
      <c r="I37" s="672"/>
      <c r="J37" s="672"/>
      <c r="K37" s="672"/>
      <c r="L37" s="670"/>
      <c r="M37" s="668"/>
      <c r="N37" s="632"/>
    </row>
    <row r="38" spans="1:14">
      <c r="A38" s="343"/>
      <c r="B38" s="344" t="s">
        <v>397</v>
      </c>
      <c r="C38" s="346">
        <f t="shared" ref="C38:H38" si="6">+C36+C10</f>
        <v>0</v>
      </c>
      <c r="D38" s="346">
        <f t="shared" si="6"/>
        <v>0</v>
      </c>
      <c r="E38" s="346">
        <f t="shared" si="6"/>
        <v>0</v>
      </c>
      <c r="F38" s="346">
        <f t="shared" si="6"/>
        <v>0</v>
      </c>
      <c r="G38" s="346">
        <f t="shared" si="6"/>
        <v>0</v>
      </c>
      <c r="H38" s="346">
        <f t="shared" si="6"/>
        <v>0</v>
      </c>
      <c r="I38" s="672"/>
      <c r="J38" s="672"/>
      <c r="K38" s="672"/>
      <c r="M38" s="359"/>
    </row>
    <row r="39" spans="1:14">
      <c r="F39" s="508"/>
      <c r="M39" s="359"/>
    </row>
    <row r="40" spans="1:14">
      <c r="G40" s="508"/>
      <c r="H40" s="508"/>
      <c r="M40" s="359"/>
    </row>
    <row r="41" spans="1:14">
      <c r="G41" s="359"/>
      <c r="H41" s="359"/>
      <c r="I41" s="359"/>
      <c r="J41" s="359"/>
      <c r="K41" s="359"/>
      <c r="M41" s="359"/>
    </row>
    <row r="42" spans="1:14">
      <c r="B42" s="510"/>
    </row>
    <row r="43" spans="1:14">
      <c r="B43" s="508"/>
    </row>
    <row r="44" spans="1:14">
      <c r="B44" s="511"/>
    </row>
  </sheetData>
  <mergeCells count="1">
    <mergeCell ref="H6:H7"/>
  </mergeCells>
  <printOptions horizontalCentered="1"/>
  <pageMargins left="0.31496062992125984" right="0.15748031496062992" top="0.39370078740157483" bottom="0.39370078740157483" header="0.15748031496062992" footer="0.15748031496062992"/>
  <pageSetup paperSize="9" scale="80" orientation="landscape" blackAndWhite="1" r:id="rId1"/>
  <headerFooter alignWithMargins="0">
    <oddHeader>&amp;L&amp;"VNI-Aptima,Italic"&amp;8&amp;F&amp;R&amp;"VNI-Aptima,Italic"&amp;8&amp;A</oddHeader>
    <oddFooter>&amp;C&amp;"VNI-Aptima,Italic"&amp;8TRANG THU &amp;P/&amp;N</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11E55-D8FD-48DC-A53F-74C2AD1D6CB4}">
  <dimension ref="A1:P42"/>
  <sheetViews>
    <sheetView view="pageBreakPreview" zoomScaleNormal="100" zoomScaleSheetLayoutView="100" workbookViewId="0">
      <selection activeCell="H43" sqref="H43"/>
    </sheetView>
  </sheetViews>
  <sheetFormatPr defaultColWidth="8.85546875" defaultRowHeight="12.75"/>
  <cols>
    <col min="1" max="1" width="1.140625" style="1249" customWidth="1"/>
    <col min="2" max="2" width="7.85546875" style="1249" customWidth="1"/>
    <col min="3" max="3" width="5.5703125" style="1249" customWidth="1"/>
    <col min="4" max="4" width="5.85546875" style="1249" customWidth="1"/>
    <col min="5" max="5" width="16.42578125" style="1249" customWidth="1"/>
    <col min="6" max="6" width="8.85546875" style="1249"/>
    <col min="7" max="7" width="9.140625" style="1249" customWidth="1"/>
    <col min="8" max="8" width="10.85546875" style="1249" customWidth="1"/>
    <col min="9" max="9" width="16" style="1249" customWidth="1"/>
    <col min="10" max="13" width="8.85546875" style="1249"/>
    <col min="14" max="14" width="6.42578125" style="1249" customWidth="1"/>
    <col min="15" max="15" width="6.85546875" style="1249" customWidth="1"/>
    <col min="16" max="16" width="1.42578125" style="1249" customWidth="1"/>
    <col min="17" max="16384" width="8.85546875" style="1249"/>
  </cols>
  <sheetData>
    <row r="1" spans="1:16" ht="6" customHeight="1">
      <c r="A1" s="1246"/>
      <c r="B1" s="1247"/>
      <c r="C1" s="1247"/>
      <c r="D1" s="1247"/>
      <c r="E1" s="1247"/>
      <c r="F1" s="1247"/>
      <c r="G1" s="1247"/>
      <c r="H1" s="1247"/>
      <c r="I1" s="1247"/>
      <c r="J1" s="1247"/>
      <c r="K1" s="1247"/>
      <c r="L1" s="1247"/>
      <c r="M1" s="1247"/>
      <c r="N1" s="1247"/>
      <c r="O1" s="1247"/>
      <c r="P1" s="1248"/>
    </row>
    <row r="2" spans="1:16" ht="15.75">
      <c r="A2" s="1250"/>
      <c r="B2" s="1251" t="s">
        <v>432</v>
      </c>
      <c r="C2" s="1252"/>
      <c r="D2" s="1252"/>
      <c r="E2" s="1252"/>
      <c r="F2" s="1253"/>
      <c r="G2" s="1253"/>
      <c r="H2" s="1254"/>
      <c r="I2" s="1254"/>
      <c r="J2" s="1255" t="s">
        <v>433</v>
      </c>
      <c r="K2" s="1255"/>
      <c r="L2" s="1255"/>
      <c r="M2" s="1255"/>
      <c r="N2" s="1255"/>
      <c r="O2" s="1256"/>
      <c r="P2" s="1257"/>
    </row>
    <row r="3" spans="1:16" ht="20.25">
      <c r="A3" s="1250"/>
      <c r="B3" s="1258" t="s">
        <v>434</v>
      </c>
      <c r="C3" s="1259"/>
      <c r="D3" s="1259"/>
      <c r="E3" s="1260"/>
      <c r="F3" s="1261"/>
      <c r="G3" s="1261"/>
      <c r="J3" s="1262" t="s">
        <v>435</v>
      </c>
      <c r="K3" s="1262"/>
      <c r="L3" s="1262"/>
      <c r="M3" s="1262"/>
      <c r="N3" s="1262"/>
      <c r="O3" s="1263"/>
      <c r="P3" s="1257"/>
    </row>
    <row r="4" spans="1:16" ht="15">
      <c r="A4" s="1250"/>
      <c r="B4" s="1264"/>
      <c r="J4" s="1265" t="s">
        <v>436</v>
      </c>
      <c r="K4" s="1262"/>
      <c r="L4" s="1262"/>
      <c r="M4" s="1262"/>
      <c r="N4" s="1262"/>
      <c r="O4" s="1263"/>
      <c r="P4" s="1257"/>
    </row>
    <row r="5" spans="1:16">
      <c r="A5" s="1250"/>
      <c r="B5" s="1264"/>
      <c r="O5" s="1263"/>
      <c r="P5" s="1257"/>
    </row>
    <row r="6" spans="1:16">
      <c r="A6" s="1250"/>
      <c r="B6" s="1264"/>
      <c r="O6" s="1263"/>
      <c r="P6" s="1257"/>
    </row>
    <row r="7" spans="1:16">
      <c r="A7" s="1250"/>
      <c r="B7" s="1264"/>
      <c r="O7" s="1263"/>
      <c r="P7" s="1257"/>
    </row>
    <row r="8" spans="1:16">
      <c r="A8" s="1250"/>
      <c r="B8" s="1264"/>
      <c r="O8" s="1263"/>
      <c r="P8" s="1257"/>
    </row>
    <row r="9" spans="1:16">
      <c r="A9" s="1250"/>
      <c r="B9" s="1264"/>
      <c r="O9" s="1263"/>
      <c r="P9" s="1257"/>
    </row>
    <row r="10" spans="1:16">
      <c r="A10" s="1250"/>
      <c r="B10" s="1264"/>
      <c r="O10" s="1263"/>
      <c r="P10" s="1257"/>
    </row>
    <row r="11" spans="1:16" ht="45">
      <c r="A11" s="1250"/>
      <c r="B11" s="1266" t="s">
        <v>437</v>
      </c>
      <c r="C11" s="1267"/>
      <c r="D11" s="1267"/>
      <c r="E11" s="1267"/>
      <c r="F11" s="1267"/>
      <c r="G11" s="1267"/>
      <c r="H11" s="1267"/>
      <c r="I11" s="1267"/>
      <c r="J11" s="1267"/>
      <c r="K11" s="1267"/>
      <c r="L11" s="1267"/>
      <c r="M11" s="1267"/>
      <c r="N11" s="1267"/>
      <c r="O11" s="1268"/>
      <c r="P11" s="1257"/>
    </row>
    <row r="12" spans="1:16" ht="25.5">
      <c r="A12" s="1250"/>
      <c r="B12" s="1269"/>
      <c r="C12" s="1270"/>
      <c r="D12" s="1271"/>
      <c r="E12" s="1272"/>
      <c r="F12" s="1271"/>
      <c r="G12" s="1271"/>
      <c r="H12" s="1271"/>
      <c r="I12" s="1271"/>
      <c r="J12" s="1271"/>
      <c r="K12" s="1271"/>
      <c r="L12" s="1271"/>
      <c r="M12" s="1271"/>
      <c r="N12" s="1271"/>
      <c r="O12" s="1268"/>
      <c r="P12" s="1257"/>
    </row>
    <row r="13" spans="1:16" ht="36.6" customHeight="1">
      <c r="A13" s="1250"/>
      <c r="B13" s="1273"/>
      <c r="C13" s="1270"/>
      <c r="D13" s="1271"/>
      <c r="E13" s="1653" t="s">
        <v>438</v>
      </c>
      <c r="F13" s="1653"/>
      <c r="G13" s="1653"/>
      <c r="H13" s="1653"/>
      <c r="I13" s="1653"/>
      <c r="J13" s="1653"/>
      <c r="K13" s="1653"/>
      <c r="L13" s="1653"/>
      <c r="M13" s="1653"/>
      <c r="N13" s="1653"/>
      <c r="O13" s="1654"/>
      <c r="P13" s="1257"/>
    </row>
    <row r="14" spans="1:16" ht="20.25" hidden="1">
      <c r="A14" s="1250"/>
      <c r="B14" s="1273"/>
      <c r="C14" s="1270"/>
      <c r="D14" s="1271"/>
      <c r="E14" s="1274" t="s">
        <v>439</v>
      </c>
      <c r="F14" s="1271"/>
      <c r="G14" s="1271"/>
      <c r="H14" s="1271"/>
      <c r="I14" s="1271"/>
      <c r="J14" s="1271"/>
      <c r="K14" s="1271"/>
      <c r="L14" s="1271"/>
      <c r="M14" s="1271"/>
      <c r="N14" s="1271"/>
      <c r="O14" s="1268"/>
      <c r="P14" s="1257"/>
    </row>
    <row r="15" spans="1:16" ht="20.25">
      <c r="A15" s="1250"/>
      <c r="B15" s="1275"/>
      <c r="C15" s="1270"/>
      <c r="D15" s="1271"/>
      <c r="E15" s="1276" t="s">
        <v>440</v>
      </c>
      <c r="F15" s="1271"/>
      <c r="G15" s="1271"/>
      <c r="H15" s="1271"/>
      <c r="I15" s="1271"/>
      <c r="J15" s="1271"/>
      <c r="K15" s="1271"/>
      <c r="L15" s="1271"/>
      <c r="M15" s="1271"/>
      <c r="N15" s="1271"/>
      <c r="O15" s="1268"/>
      <c r="P15" s="1257"/>
    </row>
    <row r="16" spans="1:16" ht="21" customHeight="1">
      <c r="A16" s="1250"/>
      <c r="B16" s="1275"/>
      <c r="C16" s="1270"/>
      <c r="D16" s="1271"/>
      <c r="E16" s="1277"/>
      <c r="F16" s="1271"/>
      <c r="G16" s="1271"/>
      <c r="H16" s="1271"/>
      <c r="I16" s="1271"/>
      <c r="J16" s="1271"/>
      <c r="K16" s="1271"/>
      <c r="L16" s="1271"/>
      <c r="M16" s="1271"/>
      <c r="N16" s="1271"/>
      <c r="O16" s="1268"/>
      <c r="P16" s="1257"/>
    </row>
    <row r="17" spans="1:16">
      <c r="A17" s="1250"/>
      <c r="B17" s="1264"/>
      <c r="O17" s="1263"/>
      <c r="P17" s="1257"/>
    </row>
    <row r="18" spans="1:16">
      <c r="A18" s="1250"/>
      <c r="B18" s="1264"/>
      <c r="O18" s="1263"/>
      <c r="P18" s="1257"/>
    </row>
    <row r="19" spans="1:16">
      <c r="A19" s="1250"/>
      <c r="B19" s="1264"/>
      <c r="O19" s="1263"/>
      <c r="P19" s="1257"/>
    </row>
    <row r="20" spans="1:16">
      <c r="A20" s="1250"/>
      <c r="B20" s="1264"/>
      <c r="O20" s="1263"/>
      <c r="P20" s="1257"/>
    </row>
    <row r="21" spans="1:16">
      <c r="A21" s="1250"/>
      <c r="B21" s="1264"/>
      <c r="O21" s="1263"/>
      <c r="P21" s="1257"/>
    </row>
    <row r="22" spans="1:16">
      <c r="A22" s="1250"/>
      <c r="B22" s="1264"/>
      <c r="O22" s="1263"/>
      <c r="P22" s="1257"/>
    </row>
    <row r="23" spans="1:16">
      <c r="A23" s="1250"/>
      <c r="B23" s="1264"/>
      <c r="O23" s="1263"/>
      <c r="P23" s="1257"/>
    </row>
    <row r="24" spans="1:16">
      <c r="A24" s="1250"/>
      <c r="B24" s="1264"/>
      <c r="O24" s="1263"/>
      <c r="P24" s="1257"/>
    </row>
    <row r="25" spans="1:16">
      <c r="A25" s="1250"/>
      <c r="B25" s="1264"/>
      <c r="O25" s="1263"/>
      <c r="P25" s="1257"/>
    </row>
    <row r="26" spans="1:16">
      <c r="A26" s="1250"/>
      <c r="B26" s="1264"/>
      <c r="O26" s="1263"/>
      <c r="P26" s="1257"/>
    </row>
    <row r="27" spans="1:16">
      <c r="A27" s="1250"/>
      <c r="B27" s="1264"/>
      <c r="O27" s="1263"/>
      <c r="P27" s="1257"/>
    </row>
    <row r="28" spans="1:16">
      <c r="A28" s="1250"/>
      <c r="B28" s="1264"/>
      <c r="O28" s="1263"/>
      <c r="P28" s="1257"/>
    </row>
    <row r="29" spans="1:16">
      <c r="A29" s="1250"/>
      <c r="B29" s="1264"/>
      <c r="O29" s="1263"/>
      <c r="P29" s="1257"/>
    </row>
    <row r="30" spans="1:16">
      <c r="A30" s="1250"/>
      <c r="B30" s="1264"/>
      <c r="O30" s="1263"/>
      <c r="P30" s="1257"/>
    </row>
    <row r="31" spans="1:16">
      <c r="A31" s="1250"/>
      <c r="B31" s="1264"/>
      <c r="O31" s="1263"/>
      <c r="P31" s="1257"/>
    </row>
    <row r="32" spans="1:16">
      <c r="A32" s="1250"/>
      <c r="B32" s="1264"/>
      <c r="O32" s="1263"/>
      <c r="P32" s="1257"/>
    </row>
    <row r="33" spans="1:16">
      <c r="A33" s="1250"/>
      <c r="B33" s="1264"/>
      <c r="O33" s="1263"/>
      <c r="P33" s="1257"/>
    </row>
    <row r="34" spans="1:16">
      <c r="A34" s="1250"/>
      <c r="B34" s="1264"/>
      <c r="O34" s="1263"/>
      <c r="P34" s="1257"/>
    </row>
    <row r="35" spans="1:16">
      <c r="A35" s="1250"/>
      <c r="B35" s="1264"/>
      <c r="O35" s="1263"/>
      <c r="P35" s="1257"/>
    </row>
    <row r="36" spans="1:16">
      <c r="A36" s="1250"/>
      <c r="B36" s="1278" t="s">
        <v>441</v>
      </c>
      <c r="C36" s="1279"/>
      <c r="D36" s="1279"/>
      <c r="E36" s="1279"/>
      <c r="F36" s="1279"/>
      <c r="G36" s="1279"/>
      <c r="H36" s="1279"/>
      <c r="I36" s="1279"/>
      <c r="J36" s="1279"/>
      <c r="K36" s="1279"/>
      <c r="L36" s="1279"/>
      <c r="M36" s="1279"/>
      <c r="N36" s="1279"/>
      <c r="O36" s="1280"/>
      <c r="P36" s="1257"/>
    </row>
    <row r="37" spans="1:16" ht="6.75" customHeight="1" thickBot="1">
      <c r="A37" s="1281"/>
      <c r="B37" s="1282"/>
      <c r="C37" s="1282"/>
      <c r="D37" s="1282"/>
      <c r="E37" s="1282"/>
      <c r="F37" s="1282"/>
      <c r="G37" s="1282"/>
      <c r="H37" s="1282"/>
      <c r="I37" s="1282"/>
      <c r="J37" s="1282"/>
      <c r="K37" s="1282"/>
      <c r="L37" s="1282"/>
      <c r="M37" s="1282"/>
      <c r="N37" s="1282"/>
      <c r="O37" s="1282"/>
      <c r="P37" s="1283"/>
    </row>
    <row r="41" spans="1:16" ht="15">
      <c r="G41" s="1284"/>
      <c r="H41" s="1285"/>
      <c r="I41" s="1286"/>
      <c r="J41" s="1286"/>
      <c r="K41" s="1286"/>
      <c r="L41" s="1286"/>
      <c r="M41" s="1286"/>
    </row>
    <row r="42" spans="1:16" ht="14.25">
      <c r="G42" s="1286"/>
      <c r="H42" s="1284"/>
      <c r="I42" s="1286"/>
      <c r="J42" s="1286"/>
      <c r="K42" s="1286"/>
      <c r="L42" s="1286"/>
      <c r="M42" s="1284"/>
    </row>
  </sheetData>
  <mergeCells count="1">
    <mergeCell ref="E13:O13"/>
  </mergeCells>
  <printOptions horizontalCentered="1" verticalCentered="1"/>
  <pageMargins left="0.86" right="0.33" top="0.46" bottom="0.43" header="0.3" footer="0.3"/>
  <pageSetup paperSize="9" scale="90" orientation="landscape"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628F2-3223-4417-BE5F-BE6AFF40F83D}">
  <dimension ref="A1:R43"/>
  <sheetViews>
    <sheetView showZeros="0" view="pageBreakPreview" zoomScale="106" zoomScaleNormal="100" zoomScaleSheetLayoutView="106" workbookViewId="0">
      <selection activeCell="H43" sqref="H43"/>
    </sheetView>
  </sheetViews>
  <sheetFormatPr defaultColWidth="8.85546875" defaultRowHeight="15.75"/>
  <cols>
    <col min="1" max="1" width="10.140625" style="1289" customWidth="1"/>
    <col min="2" max="2" width="6.42578125" style="1289" customWidth="1"/>
    <col min="3" max="3" width="4" style="1289" customWidth="1"/>
    <col min="4" max="4" width="9.5703125" style="1289" customWidth="1"/>
    <col min="5" max="5" width="8.85546875" style="1289"/>
    <col min="6" max="6" width="9.85546875" style="1289" customWidth="1"/>
    <col min="7" max="7" width="6.42578125" style="1289" customWidth="1"/>
    <col min="8" max="8" width="6.140625" style="1289" customWidth="1"/>
    <col min="9" max="9" width="8.85546875" style="1289" customWidth="1"/>
    <col min="10" max="10" width="5.85546875" style="1289" customWidth="1"/>
    <col min="11" max="11" width="12.85546875" style="1289" customWidth="1"/>
    <col min="12" max="12" width="9" style="1289" customWidth="1"/>
    <col min="13" max="13" width="13.85546875" style="1289" customWidth="1"/>
    <col min="14" max="14" width="26.42578125" style="1289" customWidth="1"/>
    <col min="15" max="15" width="22.42578125" style="1289" customWidth="1"/>
    <col min="16" max="16" width="17.140625" style="1289" bestFit="1" customWidth="1"/>
    <col min="17" max="17" width="8.85546875" style="1289"/>
    <col min="18" max="18" width="21.140625" style="1289" customWidth="1"/>
    <col min="19" max="16384" width="8.85546875" style="1289"/>
  </cols>
  <sheetData>
    <row r="1" spans="1:18">
      <c r="A1" s="1287" t="str">
        <f>'1.Bia'!B2</f>
        <v>C.TY TNHH THIẾT KẾ XÂY DỰNG</v>
      </c>
      <c r="B1" s="1287"/>
      <c r="C1" s="1287"/>
      <c r="D1" s="1287"/>
      <c r="E1" s="1288"/>
      <c r="F1" s="1288"/>
      <c r="G1" s="1288"/>
      <c r="J1" s="1271" t="s">
        <v>442</v>
      </c>
      <c r="K1" s="1271"/>
      <c r="L1" s="1271"/>
      <c r="M1" s="1271"/>
      <c r="N1" s="1271"/>
    </row>
    <row r="2" spans="1:18">
      <c r="A2" s="1287" t="str">
        <f>'1.Bia'!B3</f>
        <v>ĐIỂM KIẾN TRÚC</v>
      </c>
      <c r="B2" s="1287"/>
      <c r="C2" s="1287"/>
      <c r="D2" s="1287"/>
      <c r="E2" s="1288"/>
      <c r="F2" s="1288"/>
      <c r="G2" s="1288"/>
      <c r="J2" s="1271" t="s">
        <v>443</v>
      </c>
      <c r="K2" s="1271"/>
      <c r="L2" s="1271"/>
      <c r="M2" s="1271"/>
      <c r="N2" s="1271"/>
    </row>
    <row r="3" spans="1:18">
      <c r="J3" s="1290" t="s">
        <v>444</v>
      </c>
      <c r="K3" s="1271"/>
      <c r="L3" s="1271"/>
      <c r="M3" s="1271"/>
      <c r="N3" s="1271"/>
    </row>
    <row r="4" spans="1:18">
      <c r="N4" s="1291" t="s">
        <v>445</v>
      </c>
    </row>
    <row r="5" spans="1:18" ht="2.25" customHeight="1"/>
    <row r="6" spans="1:18" ht="33">
      <c r="A6" s="1292" t="str">
        <f>'1.Bia'!B11</f>
        <v>KHÁI TOÁN TỔNG MỨC ĐẦU TƯ</v>
      </c>
      <c r="B6" s="1293"/>
      <c r="C6" s="1293"/>
      <c r="D6" s="1293"/>
      <c r="E6" s="1293"/>
      <c r="F6" s="1293"/>
      <c r="G6" s="1293"/>
      <c r="H6" s="1293"/>
      <c r="I6" s="1293"/>
      <c r="J6" s="1293"/>
      <c r="K6" s="1293"/>
      <c r="L6" s="1293"/>
      <c r="M6" s="1293"/>
      <c r="N6" s="1293"/>
    </row>
    <row r="7" spans="1:18">
      <c r="A7" s="1294">
        <v>0</v>
      </c>
      <c r="B7" s="1295"/>
      <c r="C7" s="1295"/>
      <c r="D7" s="1295"/>
      <c r="E7" s="1295"/>
      <c r="F7" s="1295"/>
      <c r="G7" s="1295"/>
      <c r="H7" s="1295"/>
      <c r="I7" s="1295"/>
      <c r="J7" s="1295"/>
      <c r="K7" s="1295"/>
      <c r="L7" s="1295"/>
      <c r="M7" s="1295"/>
      <c r="N7" s="1295"/>
    </row>
    <row r="8" spans="1:18">
      <c r="A8" s="1296"/>
      <c r="B8" s="1297" t="str">
        <f>'1.Bia'!E13</f>
        <v>CÔNG TRÌNH : NÂNG CẤP, CẢI TẠO TRỤ SỞ CHÍNH TRUNG TÂM VĂN HÓA - THỂ THAO - TRUYỀN THÔNG HUYỆN</v>
      </c>
      <c r="C8" s="1297"/>
      <c r="D8" s="1297"/>
      <c r="E8" s="1298"/>
      <c r="F8" s="1298"/>
      <c r="G8" s="1298"/>
      <c r="H8" s="1298"/>
      <c r="I8" s="1298"/>
      <c r="J8" s="1298"/>
      <c r="K8" s="1298"/>
      <c r="L8" s="1298"/>
      <c r="M8" s="1298"/>
      <c r="N8" s="1298"/>
    </row>
    <row r="9" spans="1:18" hidden="1">
      <c r="A9" s="1296"/>
      <c r="B9" s="1299"/>
      <c r="C9" s="1293"/>
      <c r="D9" s="1299" t="str">
        <f>'1.Bia'!E14</f>
        <v>Tên công trình: BỆNH VIỆN ĐA KHOA KHU VỰC BẮC QUẢNG BÌNH (CƠ SỞ 2)</v>
      </c>
      <c r="E9" s="1293"/>
      <c r="F9" s="1293"/>
      <c r="G9" s="1293"/>
      <c r="H9" s="1293"/>
      <c r="I9" s="1293"/>
      <c r="J9" s="1293"/>
      <c r="K9" s="1293"/>
      <c r="L9" s="1293"/>
      <c r="M9" s="1293"/>
      <c r="N9" s="1293"/>
    </row>
    <row r="10" spans="1:18">
      <c r="A10" s="1300"/>
      <c r="B10" s="1297" t="str">
        <f>'1.Bia'!E15</f>
        <v>ĐỊA ĐIỂM : THỊ TRẤN HÓC MÔN - HUYỆN HÓC MÔN - TP.HCM</v>
      </c>
      <c r="C10" s="1297"/>
      <c r="D10" s="1297"/>
      <c r="E10" s="1298"/>
      <c r="F10" s="1298"/>
      <c r="G10" s="1298"/>
      <c r="H10" s="1298"/>
      <c r="I10" s="1298"/>
      <c r="J10" s="1298"/>
      <c r="K10" s="1298"/>
      <c r="L10" s="1298"/>
      <c r="M10" s="1298"/>
      <c r="N10" s="1298"/>
    </row>
    <row r="11" spans="1:18">
      <c r="A11" s="1300"/>
      <c r="B11" s="1293"/>
      <c r="C11" s="1293"/>
      <c r="D11" s="1299">
        <f>'1.Bia'!E16</f>
        <v>0</v>
      </c>
      <c r="E11" s="1293"/>
      <c r="F11" s="1293"/>
      <c r="G11" s="1293"/>
      <c r="H11" s="1293"/>
      <c r="I11" s="1293"/>
      <c r="J11" s="1293"/>
      <c r="K11" s="1293"/>
      <c r="L11" s="1293"/>
      <c r="M11" s="1293"/>
      <c r="N11" s="1293"/>
    </row>
    <row r="12" spans="1:18" ht="16.5" thickBot="1">
      <c r="A12" s="1301"/>
      <c r="B12" s="1295"/>
      <c r="C12" s="1295"/>
      <c r="D12" s="1295"/>
      <c r="E12" s="1295"/>
      <c r="F12" s="1295"/>
      <c r="G12" s="1295"/>
      <c r="H12" s="1295"/>
      <c r="I12" s="1295"/>
      <c r="J12" s="1295"/>
      <c r="K12" s="1295"/>
    </row>
    <row r="13" spans="1:18" ht="16.5" thickBot="1">
      <c r="A13" s="1302"/>
      <c r="B13" s="1293"/>
      <c r="C13" s="1303"/>
      <c r="D13" s="1304"/>
      <c r="E13" s="1304"/>
      <c r="F13" s="1305" t="s">
        <v>446</v>
      </c>
      <c r="G13" s="1306">
        <v>50000000000</v>
      </c>
      <c r="H13" s="1307"/>
      <c r="I13" s="1308"/>
      <c r="J13" s="1309" t="s">
        <v>447</v>
      </c>
      <c r="K13" s="1302"/>
      <c r="L13" s="1302"/>
      <c r="M13" s="1302"/>
      <c r="N13" s="1302"/>
      <c r="O13" s="1310"/>
      <c r="P13" s="1311"/>
      <c r="R13" s="1312">
        <f>ROUND(SUM(R16:R21),0)</f>
        <v>50000000000</v>
      </c>
    </row>
    <row r="14" spans="1:18" ht="3" customHeight="1">
      <c r="A14" s="1313"/>
      <c r="B14" s="1295"/>
      <c r="C14" s="1295"/>
      <c r="D14" s="1295"/>
      <c r="E14" s="1295"/>
      <c r="F14" s="1295"/>
      <c r="G14" s="1271"/>
      <c r="H14" s="1271"/>
      <c r="I14" s="1271"/>
      <c r="J14" s="1271"/>
      <c r="K14" s="1295"/>
      <c r="L14" s="1295"/>
      <c r="M14" s="1295"/>
      <c r="N14" s="1295"/>
    </row>
    <row r="15" spans="1:18">
      <c r="A15" s="1314"/>
      <c r="B15" s="1314"/>
      <c r="C15" s="1314"/>
      <c r="D15" s="1314"/>
      <c r="E15" s="1315" t="s">
        <v>448</v>
      </c>
      <c r="F15" s="1314" t="s">
        <v>449</v>
      </c>
      <c r="G15" s="1316"/>
      <c r="H15" s="1316"/>
      <c r="I15" s="1316"/>
      <c r="J15" s="1316"/>
      <c r="K15" s="1314"/>
      <c r="P15" s="1311">
        <v>54014086312</v>
      </c>
    </row>
    <row r="16" spans="1:18">
      <c r="A16" s="1317"/>
      <c r="B16" s="1318"/>
      <c r="C16" s="1319"/>
      <c r="D16" s="1318"/>
      <c r="E16" s="1318"/>
      <c r="F16" s="1317" t="s">
        <v>450</v>
      </c>
      <c r="G16" s="1320">
        <f>+TMĐT!K5</f>
        <v>36733045943</v>
      </c>
      <c r="H16" s="1321"/>
      <c r="I16" s="1321"/>
      <c r="J16" s="1322" t="s">
        <v>447</v>
      </c>
      <c r="K16" s="1323"/>
      <c r="O16" s="1324"/>
      <c r="P16" s="1311">
        <v>958450000</v>
      </c>
      <c r="Q16" s="1325"/>
      <c r="R16" s="1326">
        <f>ROUND(G16,0)</f>
        <v>36733045943</v>
      </c>
    </row>
    <row r="17" spans="1:18">
      <c r="A17" s="1327"/>
      <c r="B17" s="1323"/>
      <c r="C17" s="1327"/>
      <c r="D17" s="1323"/>
      <c r="E17" s="1323"/>
      <c r="F17" s="1317" t="s">
        <v>451</v>
      </c>
      <c r="G17" s="1328">
        <f>+TMĐT!K6</f>
        <v>7380236620</v>
      </c>
      <c r="H17" s="1329"/>
      <c r="I17" s="1329"/>
      <c r="J17" s="1330" t="s">
        <v>447</v>
      </c>
      <c r="K17" s="1323"/>
      <c r="O17" s="1324">
        <f>G17+G16</f>
        <v>44113282563</v>
      </c>
      <c r="P17" s="1311">
        <v>1434926395</v>
      </c>
      <c r="R17" s="1326">
        <f t="shared" ref="R17:R21" si="0">ROUND(G17,0)</f>
        <v>7380236620</v>
      </c>
    </row>
    <row r="18" spans="1:18">
      <c r="A18" s="1323"/>
      <c r="B18" s="1323"/>
      <c r="C18" s="1323"/>
      <c r="D18" s="1323"/>
      <c r="E18" s="1323"/>
      <c r="F18" s="1317" t="s">
        <v>452</v>
      </c>
      <c r="G18" s="1328">
        <f>+TMĐT!K7</f>
        <v>1035192273</v>
      </c>
      <c r="H18" s="1329"/>
      <c r="I18" s="1329"/>
      <c r="J18" s="1330" t="s">
        <v>447</v>
      </c>
      <c r="K18" s="1323"/>
      <c r="O18" s="1331">
        <f>G17/O17</f>
        <v>0.16730191432614383</v>
      </c>
      <c r="P18" s="1311">
        <v>3751690928</v>
      </c>
      <c r="R18" s="1326">
        <f t="shared" si="0"/>
        <v>1035192273</v>
      </c>
    </row>
    <row r="19" spans="1:18">
      <c r="A19" s="1323"/>
      <c r="B19" s="1323"/>
      <c r="C19" s="1323"/>
      <c r="D19" s="1323"/>
      <c r="E19" s="1323"/>
      <c r="F19" s="1317" t="s">
        <v>453</v>
      </c>
      <c r="G19" s="1328">
        <f>+TMĐT!K8</f>
        <v>3512559721</v>
      </c>
      <c r="H19" s="1329"/>
      <c r="I19" s="1329"/>
      <c r="J19" s="1330" t="s">
        <v>447</v>
      </c>
      <c r="K19" s="1323"/>
      <c r="O19" s="1324"/>
      <c r="P19" s="1311">
        <v>758781081</v>
      </c>
      <c r="R19" s="1326">
        <f t="shared" si="0"/>
        <v>3512559721</v>
      </c>
    </row>
    <row r="20" spans="1:18">
      <c r="A20" s="1332"/>
      <c r="B20" s="1318"/>
      <c r="C20" s="1319"/>
      <c r="D20" s="1318"/>
      <c r="E20" s="1318"/>
      <c r="F20" s="1317" t="s">
        <v>454</v>
      </c>
      <c r="G20" s="1320">
        <f>+TMĐT!K23</f>
        <v>732416823</v>
      </c>
      <c r="H20" s="1321"/>
      <c r="I20" s="1321"/>
      <c r="J20" s="1322" t="s">
        <v>447</v>
      </c>
      <c r="K20" s="1323"/>
      <c r="O20" s="1324"/>
      <c r="P20" s="1311">
        <v>4582065284</v>
      </c>
      <c r="R20" s="1326">
        <f t="shared" si="0"/>
        <v>732416823</v>
      </c>
    </row>
    <row r="21" spans="1:18">
      <c r="A21" s="1323"/>
      <c r="B21" s="1323"/>
      <c r="C21" s="1323"/>
      <c r="D21" s="1330"/>
      <c r="E21" s="1323"/>
      <c r="F21" s="1317" t="s">
        <v>455</v>
      </c>
      <c r="G21" s="1333">
        <f>+TMĐT!K42</f>
        <v>606548620</v>
      </c>
      <c r="H21" s="1329"/>
      <c r="I21" s="1329"/>
      <c r="J21" s="1330" t="s">
        <v>447</v>
      </c>
      <c r="K21" s="1323"/>
      <c r="O21" s="1324"/>
      <c r="P21" s="1334"/>
      <c r="R21" s="1326">
        <f t="shared" si="0"/>
        <v>606548620</v>
      </c>
    </row>
    <row r="22" spans="1:18">
      <c r="A22" s="1323"/>
      <c r="B22" s="1323"/>
      <c r="C22" s="1323"/>
      <c r="D22" s="1330"/>
      <c r="E22" s="1323"/>
      <c r="F22" s="1317"/>
      <c r="G22" s="1333"/>
      <c r="H22" s="1329"/>
      <c r="I22" s="1329"/>
      <c r="J22" s="1330"/>
      <c r="K22" s="1323"/>
      <c r="O22" s="1324"/>
      <c r="P22" s="1334"/>
      <c r="R22" s="1326"/>
    </row>
    <row r="23" spans="1:18">
      <c r="A23" s="1323"/>
      <c r="B23" s="1323"/>
      <c r="C23" s="1323"/>
      <c r="D23" s="1330"/>
      <c r="E23" s="1323"/>
      <c r="F23" s="1317"/>
      <c r="G23" s="1335"/>
      <c r="H23" s="1336"/>
      <c r="I23" s="1336"/>
      <c r="J23" s="1330"/>
      <c r="K23" s="1323"/>
      <c r="O23" s="1326"/>
    </row>
    <row r="24" spans="1:18" ht="15.6" customHeight="1">
      <c r="A24" s="1277"/>
      <c r="B24" s="1656" t="s">
        <v>456</v>
      </c>
      <c r="C24" s="1656"/>
      <c r="D24" s="1656"/>
      <c r="E24" s="1656"/>
      <c r="F24" s="1656"/>
      <c r="G24" s="1656"/>
      <c r="H24" s="1656"/>
      <c r="I24" s="1655" t="s">
        <v>457</v>
      </c>
      <c r="J24" s="1655"/>
      <c r="K24" s="1655"/>
      <c r="L24" s="1655"/>
      <c r="M24" s="1655"/>
      <c r="N24" s="1337"/>
      <c r="O24" s="1311"/>
    </row>
    <row r="25" spans="1:18">
      <c r="A25" s="1337"/>
      <c r="B25" s="1656" t="s">
        <v>458</v>
      </c>
      <c r="C25" s="1656"/>
      <c r="D25" s="1656"/>
      <c r="E25" s="1656"/>
      <c r="F25" s="1656"/>
      <c r="G25" s="1656"/>
      <c r="H25" s="1656"/>
      <c r="I25" s="1657" t="s">
        <v>432</v>
      </c>
      <c r="J25" s="1657"/>
      <c r="K25" s="1657"/>
      <c r="L25" s="1657"/>
      <c r="M25" s="1657"/>
      <c r="N25" s="1337"/>
    </row>
    <row r="26" spans="1:18">
      <c r="B26" s="1656" t="s">
        <v>459</v>
      </c>
      <c r="C26" s="1656"/>
      <c r="D26" s="1656"/>
      <c r="E26" s="1656"/>
      <c r="F26" s="1656"/>
      <c r="G26" s="1656"/>
      <c r="H26" s="1656"/>
      <c r="I26" s="1655" t="s">
        <v>434</v>
      </c>
      <c r="J26" s="1655"/>
      <c r="K26" s="1655"/>
      <c r="L26" s="1655"/>
      <c r="M26" s="1655"/>
      <c r="N26" s="1337"/>
    </row>
    <row r="27" spans="1:18">
      <c r="C27" s="1338"/>
      <c r="D27" s="1293"/>
      <c r="E27" s="1338"/>
      <c r="F27" s="1293"/>
      <c r="G27" s="1293"/>
      <c r="H27" s="1293"/>
      <c r="I27" s="1655" t="s">
        <v>460</v>
      </c>
      <c r="J27" s="1655"/>
      <c r="K27" s="1655"/>
      <c r="L27" s="1655"/>
      <c r="M27" s="1655"/>
      <c r="N27" s="1339" t="s">
        <v>461</v>
      </c>
    </row>
    <row r="28" spans="1:18" ht="18" customHeight="1">
      <c r="C28" s="1338"/>
      <c r="D28" s="1293"/>
      <c r="E28" s="1338"/>
      <c r="F28" s="1293"/>
      <c r="G28" s="1293"/>
      <c r="H28" s="1293"/>
      <c r="I28" s="1293"/>
      <c r="L28" s="1340"/>
      <c r="M28" s="1295"/>
      <c r="N28" s="1295"/>
    </row>
    <row r="29" spans="1:18">
      <c r="C29" s="1338"/>
      <c r="D29" s="1293"/>
      <c r="E29" s="1338"/>
      <c r="F29" s="1293"/>
      <c r="G29" s="1293"/>
      <c r="H29" s="1293"/>
      <c r="I29" s="1293"/>
      <c r="L29" s="1340"/>
      <c r="M29" s="1295"/>
      <c r="N29" s="1295"/>
    </row>
    <row r="30" spans="1:18">
      <c r="C30" s="1338"/>
      <c r="D30" s="1293"/>
      <c r="E30" s="1338"/>
      <c r="F30" s="1293"/>
      <c r="G30" s="1293"/>
      <c r="H30" s="1293"/>
      <c r="I30" s="1293"/>
      <c r="L30" s="1340"/>
      <c r="R30" s="1341">
        <f>43*0.06</f>
        <v>2.58</v>
      </c>
    </row>
    <row r="31" spans="1:18">
      <c r="C31" s="1338"/>
      <c r="D31" s="1293"/>
      <c r="E31" s="1338"/>
      <c r="F31" s="1293"/>
      <c r="G31" s="1293"/>
      <c r="H31" s="1293"/>
      <c r="I31" s="1655"/>
      <c r="J31" s="1655"/>
      <c r="K31" s="1655"/>
      <c r="L31" s="1655"/>
      <c r="M31" s="1655"/>
      <c r="N31" s="1339"/>
    </row>
    <row r="32" spans="1:18" ht="17.25" customHeight="1">
      <c r="C32" s="1338"/>
      <c r="D32" s="1293"/>
      <c r="E32" s="1338"/>
      <c r="F32" s="1293"/>
      <c r="G32" s="1293"/>
      <c r="H32" s="1293"/>
      <c r="I32" s="1655" t="s">
        <v>462</v>
      </c>
      <c r="J32" s="1655"/>
      <c r="K32" s="1655"/>
      <c r="L32" s="1655"/>
      <c r="M32" s="1655"/>
      <c r="N32" s="1339" t="s">
        <v>463</v>
      </c>
    </row>
    <row r="33" spans="3:14" ht="47.25">
      <c r="L33" s="1340"/>
      <c r="M33" s="1314"/>
      <c r="N33" s="1342" t="s">
        <v>464</v>
      </c>
    </row>
    <row r="34" spans="3:14">
      <c r="C34" s="1339"/>
      <c r="I34" s="1339"/>
      <c r="J34" s="1339"/>
      <c r="K34" s="1339"/>
      <c r="L34" s="1339"/>
      <c r="M34" s="1339"/>
      <c r="N34" s="1339"/>
    </row>
    <row r="35" spans="3:14">
      <c r="N35" s="1339"/>
    </row>
    <row r="36" spans="3:14">
      <c r="M36" s="1343"/>
    </row>
    <row r="37" spans="3:14">
      <c r="H37" s="1311"/>
    </row>
    <row r="38" spans="3:14">
      <c r="G38" s="1311"/>
      <c r="H38" s="1311"/>
    </row>
    <row r="39" spans="3:14">
      <c r="H39" s="1311"/>
    </row>
    <row r="40" spans="3:14">
      <c r="H40" s="1311"/>
    </row>
    <row r="41" spans="3:14">
      <c r="H41" s="1311"/>
    </row>
    <row r="42" spans="3:14">
      <c r="H42" s="1311"/>
    </row>
    <row r="43" spans="3:14">
      <c r="H43" s="1311"/>
    </row>
  </sheetData>
  <mergeCells count="9">
    <mergeCell ref="I27:M27"/>
    <mergeCell ref="I31:M31"/>
    <mergeCell ref="I32:M32"/>
    <mergeCell ref="B24:H24"/>
    <mergeCell ref="I24:M24"/>
    <mergeCell ref="B25:H25"/>
    <mergeCell ref="I25:M25"/>
    <mergeCell ref="B26:H26"/>
    <mergeCell ref="I26:M26"/>
  </mergeCells>
  <pageMargins left="0.95" right="0.32" top="0.49" bottom="0.39" header="0.2" footer="0.2"/>
  <pageSetup paperSize="9" scale="95"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4739-BD5D-4E0E-B85D-A141FDF451BF}">
  <dimension ref="A1:B26"/>
  <sheetViews>
    <sheetView topLeftCell="A13" zoomScale="115" zoomScaleNormal="115" workbookViewId="0">
      <selection activeCell="B26" sqref="B26"/>
    </sheetView>
  </sheetViews>
  <sheetFormatPr defaultColWidth="8.85546875" defaultRowHeight="15"/>
  <cols>
    <col min="1" max="1" width="129.85546875" style="1351" customWidth="1"/>
    <col min="2" max="16384" width="8.85546875" style="1351"/>
  </cols>
  <sheetData>
    <row r="1" spans="1:2" s="1346" customFormat="1" ht="26.45" customHeight="1">
      <c r="A1" s="1344" t="s">
        <v>465</v>
      </c>
      <c r="B1" s="1345"/>
    </row>
    <row r="2" spans="1:2" s="1346" customFormat="1" ht="58.5">
      <c r="A2" s="1347" t="s">
        <v>466</v>
      </c>
      <c r="B2" s="1345"/>
    </row>
    <row r="3" spans="1:2" s="1346" customFormat="1" ht="19.5">
      <c r="A3" s="1345"/>
      <c r="B3" s="1345"/>
    </row>
    <row r="4" spans="1:2" s="1349" customFormat="1" ht="14.25">
      <c r="A4" s="1348" t="s">
        <v>467</v>
      </c>
      <c r="B4" s="1348"/>
    </row>
    <row r="5" spans="1:2" s="1349" customFormat="1" ht="14.25">
      <c r="A5" s="1348" t="s">
        <v>468</v>
      </c>
      <c r="B5" s="1348"/>
    </row>
    <row r="6" spans="1:2">
      <c r="A6" s="1350" t="s">
        <v>469</v>
      </c>
      <c r="B6" s="1350"/>
    </row>
    <row r="7" spans="1:2">
      <c r="A7" s="1350" t="s">
        <v>470</v>
      </c>
      <c r="B7" s="1350"/>
    </row>
    <row r="8" spans="1:2">
      <c r="A8" s="1350" t="s">
        <v>471</v>
      </c>
      <c r="B8" s="1350"/>
    </row>
    <row r="9" spans="1:2" ht="30">
      <c r="A9" s="1350" t="s">
        <v>472</v>
      </c>
      <c r="B9" s="1350"/>
    </row>
    <row r="10" spans="1:2" ht="30">
      <c r="A10" s="1350" t="s">
        <v>473</v>
      </c>
      <c r="B10" s="1350"/>
    </row>
    <row r="11" spans="1:2" ht="30">
      <c r="A11" s="1350" t="s">
        <v>474</v>
      </c>
      <c r="B11" s="1350"/>
    </row>
    <row r="12" spans="1:2" ht="30">
      <c r="A12" s="1350" t="s">
        <v>475</v>
      </c>
      <c r="B12" s="1350"/>
    </row>
    <row r="13" spans="1:2">
      <c r="A13" s="1350" t="s">
        <v>476</v>
      </c>
      <c r="B13" s="1350"/>
    </row>
    <row r="14" spans="1:2">
      <c r="A14" s="1350" t="s">
        <v>477</v>
      </c>
      <c r="B14" s="1350"/>
    </row>
    <row r="15" spans="1:2" ht="30">
      <c r="A15" s="1350" t="s">
        <v>478</v>
      </c>
      <c r="B15" s="1350"/>
    </row>
    <row r="16" spans="1:2">
      <c r="A16" s="1350" t="s">
        <v>479</v>
      </c>
      <c r="B16" s="1350"/>
    </row>
    <row r="17" spans="1:2" ht="30">
      <c r="A17" s="1350" t="s">
        <v>480</v>
      </c>
      <c r="B17" s="1350"/>
    </row>
    <row r="18" spans="1:2" ht="30">
      <c r="A18" s="1350" t="s">
        <v>481</v>
      </c>
      <c r="B18" s="1350"/>
    </row>
    <row r="19" spans="1:2">
      <c r="A19" s="1350" t="s">
        <v>482</v>
      </c>
      <c r="B19" s="1350"/>
    </row>
    <row r="20" spans="1:2">
      <c r="A20" s="1348" t="s">
        <v>483</v>
      </c>
      <c r="B20" s="1350"/>
    </row>
    <row r="21" spans="1:2" s="1349" customFormat="1">
      <c r="A21" s="1350" t="s">
        <v>484</v>
      </c>
      <c r="B21" s="1348"/>
    </row>
    <row r="22" spans="1:2">
      <c r="A22" s="1350" t="s">
        <v>485</v>
      </c>
      <c r="B22" s="1350"/>
    </row>
    <row r="23" spans="1:2">
      <c r="A23" s="1348" t="s">
        <v>486</v>
      </c>
      <c r="B23" s="1350"/>
    </row>
    <row r="24" spans="1:2" ht="30">
      <c r="A24" s="1350" t="s">
        <v>487</v>
      </c>
      <c r="B24" s="1350"/>
    </row>
    <row r="25" spans="1:2" ht="30">
      <c r="A25" s="1350" t="s">
        <v>488</v>
      </c>
    </row>
    <row r="26" spans="1:2">
      <c r="A26" s="1350" t="s">
        <v>489</v>
      </c>
    </row>
  </sheetData>
  <pageMargins left="0.70866141732283472" right="0.70866141732283472" top="0.52" bottom="0.64" header="0.31496062992125984" footer="0.31496062992125984"/>
  <pageSetup paperSize="9" orientation="landscape"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FCEEB-A08D-4363-B0C3-B1CBB4A9CD9F}">
  <sheetPr>
    <pageSetUpPr fitToPage="1"/>
  </sheetPr>
  <dimension ref="A1:S86"/>
  <sheetViews>
    <sheetView showZeros="0" zoomScaleNormal="100" zoomScaleSheetLayoutView="100" workbookViewId="0">
      <selection activeCell="M1" sqref="M1"/>
    </sheetView>
  </sheetViews>
  <sheetFormatPr defaultColWidth="9.140625" defaultRowHeight="15"/>
  <cols>
    <col min="1" max="1" width="5.42578125" style="1444" customWidth="1"/>
    <col min="2" max="2" width="45.140625" style="1444" customWidth="1"/>
    <col min="3" max="3" width="12.42578125" style="1353" hidden="1" customWidth="1"/>
    <col min="4" max="4" width="13.85546875" style="1353" hidden="1" customWidth="1"/>
    <col min="5" max="5" width="10.42578125" style="1445" customWidth="1"/>
    <col min="6" max="6" width="11.28515625" style="1446" customWidth="1"/>
    <col min="7" max="7" width="4.42578125" style="1444" hidden="1" customWidth="1"/>
    <col min="8" max="8" width="33.85546875" style="1353" customWidth="1"/>
    <col min="9" max="9" width="17.5703125" style="1447" customWidth="1"/>
    <col min="10" max="10" width="15.28515625" style="1353" customWidth="1"/>
    <col min="11" max="11" width="18.28515625" style="1447" customWidth="1"/>
    <col min="12" max="12" width="15.7109375" style="1447" customWidth="1"/>
    <col min="13" max="13" width="16.5703125" style="1353" customWidth="1"/>
    <col min="14" max="14" width="13.85546875" style="1353" bestFit="1" customWidth="1"/>
    <col min="15" max="15" width="12.42578125" style="1353" bestFit="1" customWidth="1"/>
    <col min="16" max="18" width="9.140625" style="1353"/>
    <col min="19" max="20" width="9.140625" style="1353" customWidth="1"/>
    <col min="21" max="257" width="9.140625" style="1353"/>
    <col min="258" max="258" width="5.42578125" style="1353" customWidth="1"/>
    <col min="259" max="259" width="42.42578125" style="1353" customWidth="1"/>
    <col min="260" max="261" width="0" style="1353" hidden="1" customWidth="1"/>
    <col min="262" max="262" width="8" style="1353" customWidth="1"/>
    <col min="263" max="263" width="4.42578125" style="1353" customWidth="1"/>
    <col min="264" max="264" width="33.85546875" style="1353" customWidth="1"/>
    <col min="265" max="265" width="17.5703125" style="1353" customWidth="1"/>
    <col min="266" max="266" width="14.42578125" style="1353" customWidth="1"/>
    <col min="267" max="267" width="15.5703125" style="1353" customWidth="1"/>
    <col min="268" max="268" width="8.42578125" style="1353" customWidth="1"/>
    <col min="269" max="269" width="16.5703125" style="1353" customWidth="1"/>
    <col min="270" max="513" width="9.140625" style="1353"/>
    <col min="514" max="514" width="5.42578125" style="1353" customWidth="1"/>
    <col min="515" max="515" width="42.42578125" style="1353" customWidth="1"/>
    <col min="516" max="517" width="0" style="1353" hidden="1" customWidth="1"/>
    <col min="518" max="518" width="8" style="1353" customWidth="1"/>
    <col min="519" max="519" width="4.42578125" style="1353" customWidth="1"/>
    <col min="520" max="520" width="33.85546875" style="1353" customWidth="1"/>
    <col min="521" max="521" width="17.5703125" style="1353" customWidth="1"/>
    <col min="522" max="522" width="14.42578125" style="1353" customWidth="1"/>
    <col min="523" max="523" width="15.5703125" style="1353" customWidth="1"/>
    <col min="524" max="524" width="8.42578125" style="1353" customWidth="1"/>
    <col min="525" max="525" width="16.5703125" style="1353" customWidth="1"/>
    <col min="526" max="769" width="9.140625" style="1353"/>
    <col min="770" max="770" width="5.42578125" style="1353" customWidth="1"/>
    <col min="771" max="771" width="42.42578125" style="1353" customWidth="1"/>
    <col min="772" max="773" width="0" style="1353" hidden="1" customWidth="1"/>
    <col min="774" max="774" width="8" style="1353" customWidth="1"/>
    <col min="775" max="775" width="4.42578125" style="1353" customWidth="1"/>
    <col min="776" max="776" width="33.85546875" style="1353" customWidth="1"/>
    <col min="777" max="777" width="17.5703125" style="1353" customWidth="1"/>
    <col min="778" max="778" width="14.42578125" style="1353" customWidth="1"/>
    <col min="779" max="779" width="15.5703125" style="1353" customWidth="1"/>
    <col min="780" max="780" width="8.42578125" style="1353" customWidth="1"/>
    <col min="781" max="781" width="16.5703125" style="1353" customWidth="1"/>
    <col min="782" max="1025" width="9.140625" style="1353"/>
    <col min="1026" max="1026" width="5.42578125" style="1353" customWidth="1"/>
    <col min="1027" max="1027" width="42.42578125" style="1353" customWidth="1"/>
    <col min="1028" max="1029" width="0" style="1353" hidden="1" customWidth="1"/>
    <col min="1030" max="1030" width="8" style="1353" customWidth="1"/>
    <col min="1031" max="1031" width="4.42578125" style="1353" customWidth="1"/>
    <col min="1032" max="1032" width="33.85546875" style="1353" customWidth="1"/>
    <col min="1033" max="1033" width="17.5703125" style="1353" customWidth="1"/>
    <col min="1034" max="1034" width="14.42578125" style="1353" customWidth="1"/>
    <col min="1035" max="1035" width="15.5703125" style="1353" customWidth="1"/>
    <col min="1036" max="1036" width="8.42578125" style="1353" customWidth="1"/>
    <col min="1037" max="1037" width="16.5703125" style="1353" customWidth="1"/>
    <col min="1038" max="1281" width="9.140625" style="1353"/>
    <col min="1282" max="1282" width="5.42578125" style="1353" customWidth="1"/>
    <col min="1283" max="1283" width="42.42578125" style="1353" customWidth="1"/>
    <col min="1284" max="1285" width="0" style="1353" hidden="1" customWidth="1"/>
    <col min="1286" max="1286" width="8" style="1353" customWidth="1"/>
    <col min="1287" max="1287" width="4.42578125" style="1353" customWidth="1"/>
    <col min="1288" max="1288" width="33.85546875" style="1353" customWidth="1"/>
    <col min="1289" max="1289" width="17.5703125" style="1353" customWidth="1"/>
    <col min="1290" max="1290" width="14.42578125" style="1353" customWidth="1"/>
    <col min="1291" max="1291" width="15.5703125" style="1353" customWidth="1"/>
    <col min="1292" max="1292" width="8.42578125" style="1353" customWidth="1"/>
    <col min="1293" max="1293" width="16.5703125" style="1353" customWidth="1"/>
    <col min="1294" max="1537" width="9.140625" style="1353"/>
    <col min="1538" max="1538" width="5.42578125" style="1353" customWidth="1"/>
    <col min="1539" max="1539" width="42.42578125" style="1353" customWidth="1"/>
    <col min="1540" max="1541" width="0" style="1353" hidden="1" customWidth="1"/>
    <col min="1542" max="1542" width="8" style="1353" customWidth="1"/>
    <col min="1543" max="1543" width="4.42578125" style="1353" customWidth="1"/>
    <col min="1544" max="1544" width="33.85546875" style="1353" customWidth="1"/>
    <col min="1545" max="1545" width="17.5703125" style="1353" customWidth="1"/>
    <col min="1546" max="1546" width="14.42578125" style="1353" customWidth="1"/>
    <col min="1547" max="1547" width="15.5703125" style="1353" customWidth="1"/>
    <col min="1548" max="1548" width="8.42578125" style="1353" customWidth="1"/>
    <col min="1549" max="1549" width="16.5703125" style="1353" customWidth="1"/>
    <col min="1550" max="1793" width="9.140625" style="1353"/>
    <col min="1794" max="1794" width="5.42578125" style="1353" customWidth="1"/>
    <col min="1795" max="1795" width="42.42578125" style="1353" customWidth="1"/>
    <col min="1796" max="1797" width="0" style="1353" hidden="1" customWidth="1"/>
    <col min="1798" max="1798" width="8" style="1353" customWidth="1"/>
    <col min="1799" max="1799" width="4.42578125" style="1353" customWidth="1"/>
    <col min="1800" max="1800" width="33.85546875" style="1353" customWidth="1"/>
    <col min="1801" max="1801" width="17.5703125" style="1353" customWidth="1"/>
    <col min="1802" max="1802" width="14.42578125" style="1353" customWidth="1"/>
    <col min="1803" max="1803" width="15.5703125" style="1353" customWidth="1"/>
    <col min="1804" max="1804" width="8.42578125" style="1353" customWidth="1"/>
    <col min="1805" max="1805" width="16.5703125" style="1353" customWidth="1"/>
    <col min="1806" max="2049" width="9.140625" style="1353"/>
    <col min="2050" max="2050" width="5.42578125" style="1353" customWidth="1"/>
    <col min="2051" max="2051" width="42.42578125" style="1353" customWidth="1"/>
    <col min="2052" max="2053" width="0" style="1353" hidden="1" customWidth="1"/>
    <col min="2054" max="2054" width="8" style="1353" customWidth="1"/>
    <col min="2055" max="2055" width="4.42578125" style="1353" customWidth="1"/>
    <col min="2056" max="2056" width="33.85546875" style="1353" customWidth="1"/>
    <col min="2057" max="2057" width="17.5703125" style="1353" customWidth="1"/>
    <col min="2058" max="2058" width="14.42578125" style="1353" customWidth="1"/>
    <col min="2059" max="2059" width="15.5703125" style="1353" customWidth="1"/>
    <col min="2060" max="2060" width="8.42578125" style="1353" customWidth="1"/>
    <col min="2061" max="2061" width="16.5703125" style="1353" customWidth="1"/>
    <col min="2062" max="2305" width="9.140625" style="1353"/>
    <col min="2306" max="2306" width="5.42578125" style="1353" customWidth="1"/>
    <col min="2307" max="2307" width="42.42578125" style="1353" customWidth="1"/>
    <col min="2308" max="2309" width="0" style="1353" hidden="1" customWidth="1"/>
    <col min="2310" max="2310" width="8" style="1353" customWidth="1"/>
    <col min="2311" max="2311" width="4.42578125" style="1353" customWidth="1"/>
    <col min="2312" max="2312" width="33.85546875" style="1353" customWidth="1"/>
    <col min="2313" max="2313" width="17.5703125" style="1353" customWidth="1"/>
    <col min="2314" max="2314" width="14.42578125" style="1353" customWidth="1"/>
    <col min="2315" max="2315" width="15.5703125" style="1353" customWidth="1"/>
    <col min="2316" max="2316" width="8.42578125" style="1353" customWidth="1"/>
    <col min="2317" max="2317" width="16.5703125" style="1353" customWidth="1"/>
    <col min="2318" max="2561" width="9.140625" style="1353"/>
    <col min="2562" max="2562" width="5.42578125" style="1353" customWidth="1"/>
    <col min="2563" max="2563" width="42.42578125" style="1353" customWidth="1"/>
    <col min="2564" max="2565" width="0" style="1353" hidden="1" customWidth="1"/>
    <col min="2566" max="2566" width="8" style="1353" customWidth="1"/>
    <col min="2567" max="2567" width="4.42578125" style="1353" customWidth="1"/>
    <col min="2568" max="2568" width="33.85546875" style="1353" customWidth="1"/>
    <col min="2569" max="2569" width="17.5703125" style="1353" customWidth="1"/>
    <col min="2570" max="2570" width="14.42578125" style="1353" customWidth="1"/>
    <col min="2571" max="2571" width="15.5703125" style="1353" customWidth="1"/>
    <col min="2572" max="2572" width="8.42578125" style="1353" customWidth="1"/>
    <col min="2573" max="2573" width="16.5703125" style="1353" customWidth="1"/>
    <col min="2574" max="2817" width="9.140625" style="1353"/>
    <col min="2818" max="2818" width="5.42578125" style="1353" customWidth="1"/>
    <col min="2819" max="2819" width="42.42578125" style="1353" customWidth="1"/>
    <col min="2820" max="2821" width="0" style="1353" hidden="1" customWidth="1"/>
    <col min="2822" max="2822" width="8" style="1353" customWidth="1"/>
    <col min="2823" max="2823" width="4.42578125" style="1353" customWidth="1"/>
    <col min="2824" max="2824" width="33.85546875" style="1353" customWidth="1"/>
    <col min="2825" max="2825" width="17.5703125" style="1353" customWidth="1"/>
    <col min="2826" max="2826" width="14.42578125" style="1353" customWidth="1"/>
    <col min="2827" max="2827" width="15.5703125" style="1353" customWidth="1"/>
    <col min="2828" max="2828" width="8.42578125" style="1353" customWidth="1"/>
    <col min="2829" max="2829" width="16.5703125" style="1353" customWidth="1"/>
    <col min="2830" max="3073" width="9.140625" style="1353"/>
    <col min="3074" max="3074" width="5.42578125" style="1353" customWidth="1"/>
    <col min="3075" max="3075" width="42.42578125" style="1353" customWidth="1"/>
    <col min="3076" max="3077" width="0" style="1353" hidden="1" customWidth="1"/>
    <col min="3078" max="3078" width="8" style="1353" customWidth="1"/>
    <col min="3079" max="3079" width="4.42578125" style="1353" customWidth="1"/>
    <col min="3080" max="3080" width="33.85546875" style="1353" customWidth="1"/>
    <col min="3081" max="3081" width="17.5703125" style="1353" customWidth="1"/>
    <col min="3082" max="3082" width="14.42578125" style="1353" customWidth="1"/>
    <col min="3083" max="3083" width="15.5703125" style="1353" customWidth="1"/>
    <col min="3084" max="3084" width="8.42578125" style="1353" customWidth="1"/>
    <col min="3085" max="3085" width="16.5703125" style="1353" customWidth="1"/>
    <col min="3086" max="3329" width="9.140625" style="1353"/>
    <col min="3330" max="3330" width="5.42578125" style="1353" customWidth="1"/>
    <col min="3331" max="3331" width="42.42578125" style="1353" customWidth="1"/>
    <col min="3332" max="3333" width="0" style="1353" hidden="1" customWidth="1"/>
    <col min="3334" max="3334" width="8" style="1353" customWidth="1"/>
    <col min="3335" max="3335" width="4.42578125" style="1353" customWidth="1"/>
    <col min="3336" max="3336" width="33.85546875" style="1353" customWidth="1"/>
    <col min="3337" max="3337" width="17.5703125" style="1353" customWidth="1"/>
    <col min="3338" max="3338" width="14.42578125" style="1353" customWidth="1"/>
    <col min="3339" max="3339" width="15.5703125" style="1353" customWidth="1"/>
    <col min="3340" max="3340" width="8.42578125" style="1353" customWidth="1"/>
    <col min="3341" max="3341" width="16.5703125" style="1353" customWidth="1"/>
    <col min="3342" max="3585" width="9.140625" style="1353"/>
    <col min="3586" max="3586" width="5.42578125" style="1353" customWidth="1"/>
    <col min="3587" max="3587" width="42.42578125" style="1353" customWidth="1"/>
    <col min="3588" max="3589" width="0" style="1353" hidden="1" customWidth="1"/>
    <col min="3590" max="3590" width="8" style="1353" customWidth="1"/>
    <col min="3591" max="3591" width="4.42578125" style="1353" customWidth="1"/>
    <col min="3592" max="3592" width="33.85546875" style="1353" customWidth="1"/>
    <col min="3593" max="3593" width="17.5703125" style="1353" customWidth="1"/>
    <col min="3594" max="3594" width="14.42578125" style="1353" customWidth="1"/>
    <col min="3595" max="3595" width="15.5703125" style="1353" customWidth="1"/>
    <col min="3596" max="3596" width="8.42578125" style="1353" customWidth="1"/>
    <col min="3597" max="3597" width="16.5703125" style="1353" customWidth="1"/>
    <col min="3598" max="3841" width="9.140625" style="1353"/>
    <col min="3842" max="3842" width="5.42578125" style="1353" customWidth="1"/>
    <col min="3843" max="3843" width="42.42578125" style="1353" customWidth="1"/>
    <col min="3844" max="3845" width="0" style="1353" hidden="1" customWidth="1"/>
    <col min="3846" max="3846" width="8" style="1353" customWidth="1"/>
    <col min="3847" max="3847" width="4.42578125" style="1353" customWidth="1"/>
    <col min="3848" max="3848" width="33.85546875" style="1353" customWidth="1"/>
    <col min="3849" max="3849" width="17.5703125" style="1353" customWidth="1"/>
    <col min="3850" max="3850" width="14.42578125" style="1353" customWidth="1"/>
    <col min="3851" max="3851" width="15.5703125" style="1353" customWidth="1"/>
    <col min="3852" max="3852" width="8.42578125" style="1353" customWidth="1"/>
    <col min="3853" max="3853" width="16.5703125" style="1353" customWidth="1"/>
    <col min="3854" max="4097" width="9.140625" style="1353"/>
    <col min="4098" max="4098" width="5.42578125" style="1353" customWidth="1"/>
    <col min="4099" max="4099" width="42.42578125" style="1353" customWidth="1"/>
    <col min="4100" max="4101" width="0" style="1353" hidden="1" customWidth="1"/>
    <col min="4102" max="4102" width="8" style="1353" customWidth="1"/>
    <col min="4103" max="4103" width="4.42578125" style="1353" customWidth="1"/>
    <col min="4104" max="4104" width="33.85546875" style="1353" customWidth="1"/>
    <col min="4105" max="4105" width="17.5703125" style="1353" customWidth="1"/>
    <col min="4106" max="4106" width="14.42578125" style="1353" customWidth="1"/>
    <col min="4107" max="4107" width="15.5703125" style="1353" customWidth="1"/>
    <col min="4108" max="4108" width="8.42578125" style="1353" customWidth="1"/>
    <col min="4109" max="4109" width="16.5703125" style="1353" customWidth="1"/>
    <col min="4110" max="4353" width="9.140625" style="1353"/>
    <col min="4354" max="4354" width="5.42578125" style="1353" customWidth="1"/>
    <col min="4355" max="4355" width="42.42578125" style="1353" customWidth="1"/>
    <col min="4356" max="4357" width="0" style="1353" hidden="1" customWidth="1"/>
    <col min="4358" max="4358" width="8" style="1353" customWidth="1"/>
    <col min="4359" max="4359" width="4.42578125" style="1353" customWidth="1"/>
    <col min="4360" max="4360" width="33.85546875" style="1353" customWidth="1"/>
    <col min="4361" max="4361" width="17.5703125" style="1353" customWidth="1"/>
    <col min="4362" max="4362" width="14.42578125" style="1353" customWidth="1"/>
    <col min="4363" max="4363" width="15.5703125" style="1353" customWidth="1"/>
    <col min="4364" max="4364" width="8.42578125" style="1353" customWidth="1"/>
    <col min="4365" max="4365" width="16.5703125" style="1353" customWidth="1"/>
    <col min="4366" max="4609" width="9.140625" style="1353"/>
    <col min="4610" max="4610" width="5.42578125" style="1353" customWidth="1"/>
    <col min="4611" max="4611" width="42.42578125" style="1353" customWidth="1"/>
    <col min="4612" max="4613" width="0" style="1353" hidden="1" customWidth="1"/>
    <col min="4614" max="4614" width="8" style="1353" customWidth="1"/>
    <col min="4615" max="4615" width="4.42578125" style="1353" customWidth="1"/>
    <col min="4616" max="4616" width="33.85546875" style="1353" customWidth="1"/>
    <col min="4617" max="4617" width="17.5703125" style="1353" customWidth="1"/>
    <col min="4618" max="4618" width="14.42578125" style="1353" customWidth="1"/>
    <col min="4619" max="4619" width="15.5703125" style="1353" customWidth="1"/>
    <col min="4620" max="4620" width="8.42578125" style="1353" customWidth="1"/>
    <col min="4621" max="4621" width="16.5703125" style="1353" customWidth="1"/>
    <col min="4622" max="4865" width="9.140625" style="1353"/>
    <col min="4866" max="4866" width="5.42578125" style="1353" customWidth="1"/>
    <col min="4867" max="4867" width="42.42578125" style="1353" customWidth="1"/>
    <col min="4868" max="4869" width="0" style="1353" hidden="1" customWidth="1"/>
    <col min="4870" max="4870" width="8" style="1353" customWidth="1"/>
    <col min="4871" max="4871" width="4.42578125" style="1353" customWidth="1"/>
    <col min="4872" max="4872" width="33.85546875" style="1353" customWidth="1"/>
    <col min="4873" max="4873" width="17.5703125" style="1353" customWidth="1"/>
    <col min="4874" max="4874" width="14.42578125" style="1353" customWidth="1"/>
    <col min="4875" max="4875" width="15.5703125" style="1353" customWidth="1"/>
    <col min="4876" max="4876" width="8.42578125" style="1353" customWidth="1"/>
    <col min="4877" max="4877" width="16.5703125" style="1353" customWidth="1"/>
    <col min="4878" max="5121" width="9.140625" style="1353"/>
    <col min="5122" max="5122" width="5.42578125" style="1353" customWidth="1"/>
    <col min="5123" max="5123" width="42.42578125" style="1353" customWidth="1"/>
    <col min="5124" max="5125" width="0" style="1353" hidden="1" customWidth="1"/>
    <col min="5126" max="5126" width="8" style="1353" customWidth="1"/>
    <col min="5127" max="5127" width="4.42578125" style="1353" customWidth="1"/>
    <col min="5128" max="5128" width="33.85546875" style="1353" customWidth="1"/>
    <col min="5129" max="5129" width="17.5703125" style="1353" customWidth="1"/>
    <col min="5130" max="5130" width="14.42578125" style="1353" customWidth="1"/>
    <col min="5131" max="5131" width="15.5703125" style="1353" customWidth="1"/>
    <col min="5132" max="5132" width="8.42578125" style="1353" customWidth="1"/>
    <col min="5133" max="5133" width="16.5703125" style="1353" customWidth="1"/>
    <col min="5134" max="5377" width="9.140625" style="1353"/>
    <col min="5378" max="5378" width="5.42578125" style="1353" customWidth="1"/>
    <col min="5379" max="5379" width="42.42578125" style="1353" customWidth="1"/>
    <col min="5380" max="5381" width="0" style="1353" hidden="1" customWidth="1"/>
    <col min="5382" max="5382" width="8" style="1353" customWidth="1"/>
    <col min="5383" max="5383" width="4.42578125" style="1353" customWidth="1"/>
    <col min="5384" max="5384" width="33.85546875" style="1353" customWidth="1"/>
    <col min="5385" max="5385" width="17.5703125" style="1353" customWidth="1"/>
    <col min="5386" max="5386" width="14.42578125" style="1353" customWidth="1"/>
    <col min="5387" max="5387" width="15.5703125" style="1353" customWidth="1"/>
    <col min="5388" max="5388" width="8.42578125" style="1353" customWidth="1"/>
    <col min="5389" max="5389" width="16.5703125" style="1353" customWidth="1"/>
    <col min="5390" max="5633" width="9.140625" style="1353"/>
    <col min="5634" max="5634" width="5.42578125" style="1353" customWidth="1"/>
    <col min="5635" max="5635" width="42.42578125" style="1353" customWidth="1"/>
    <col min="5636" max="5637" width="0" style="1353" hidden="1" customWidth="1"/>
    <col min="5638" max="5638" width="8" style="1353" customWidth="1"/>
    <col min="5639" max="5639" width="4.42578125" style="1353" customWidth="1"/>
    <col min="5640" max="5640" width="33.85546875" style="1353" customWidth="1"/>
    <col min="5641" max="5641" width="17.5703125" style="1353" customWidth="1"/>
    <col min="5642" max="5642" width="14.42578125" style="1353" customWidth="1"/>
    <col min="5643" max="5643" width="15.5703125" style="1353" customWidth="1"/>
    <col min="5644" max="5644" width="8.42578125" style="1353" customWidth="1"/>
    <col min="5645" max="5645" width="16.5703125" style="1353" customWidth="1"/>
    <col min="5646" max="5889" width="9.140625" style="1353"/>
    <col min="5890" max="5890" width="5.42578125" style="1353" customWidth="1"/>
    <col min="5891" max="5891" width="42.42578125" style="1353" customWidth="1"/>
    <col min="5892" max="5893" width="0" style="1353" hidden="1" customWidth="1"/>
    <col min="5894" max="5894" width="8" style="1353" customWidth="1"/>
    <col min="5895" max="5895" width="4.42578125" style="1353" customWidth="1"/>
    <col min="5896" max="5896" width="33.85546875" style="1353" customWidth="1"/>
    <col min="5897" max="5897" width="17.5703125" style="1353" customWidth="1"/>
    <col min="5898" max="5898" width="14.42578125" style="1353" customWidth="1"/>
    <col min="5899" max="5899" width="15.5703125" style="1353" customWidth="1"/>
    <col min="5900" max="5900" width="8.42578125" style="1353" customWidth="1"/>
    <col min="5901" max="5901" width="16.5703125" style="1353" customWidth="1"/>
    <col min="5902" max="6145" width="9.140625" style="1353"/>
    <col min="6146" max="6146" width="5.42578125" style="1353" customWidth="1"/>
    <col min="6147" max="6147" width="42.42578125" style="1353" customWidth="1"/>
    <col min="6148" max="6149" width="0" style="1353" hidden="1" customWidth="1"/>
    <col min="6150" max="6150" width="8" style="1353" customWidth="1"/>
    <col min="6151" max="6151" width="4.42578125" style="1353" customWidth="1"/>
    <col min="6152" max="6152" width="33.85546875" style="1353" customWidth="1"/>
    <col min="6153" max="6153" width="17.5703125" style="1353" customWidth="1"/>
    <col min="6154" max="6154" width="14.42578125" style="1353" customWidth="1"/>
    <col min="6155" max="6155" width="15.5703125" style="1353" customWidth="1"/>
    <col min="6156" max="6156" width="8.42578125" style="1353" customWidth="1"/>
    <col min="6157" max="6157" width="16.5703125" style="1353" customWidth="1"/>
    <col min="6158" max="6401" width="9.140625" style="1353"/>
    <col min="6402" max="6402" width="5.42578125" style="1353" customWidth="1"/>
    <col min="6403" max="6403" width="42.42578125" style="1353" customWidth="1"/>
    <col min="6404" max="6405" width="0" style="1353" hidden="1" customWidth="1"/>
    <col min="6406" max="6406" width="8" style="1353" customWidth="1"/>
    <col min="6407" max="6407" width="4.42578125" style="1353" customWidth="1"/>
    <col min="6408" max="6408" width="33.85546875" style="1353" customWidth="1"/>
    <col min="6409" max="6409" width="17.5703125" style="1353" customWidth="1"/>
    <col min="6410" max="6410" width="14.42578125" style="1353" customWidth="1"/>
    <col min="6411" max="6411" width="15.5703125" style="1353" customWidth="1"/>
    <col min="6412" max="6412" width="8.42578125" style="1353" customWidth="1"/>
    <col min="6413" max="6413" width="16.5703125" style="1353" customWidth="1"/>
    <col min="6414" max="6657" width="9.140625" style="1353"/>
    <col min="6658" max="6658" width="5.42578125" style="1353" customWidth="1"/>
    <col min="6659" max="6659" width="42.42578125" style="1353" customWidth="1"/>
    <col min="6660" max="6661" width="0" style="1353" hidden="1" customWidth="1"/>
    <col min="6662" max="6662" width="8" style="1353" customWidth="1"/>
    <col min="6663" max="6663" width="4.42578125" style="1353" customWidth="1"/>
    <col min="6664" max="6664" width="33.85546875" style="1353" customWidth="1"/>
    <col min="6665" max="6665" width="17.5703125" style="1353" customWidth="1"/>
    <col min="6666" max="6666" width="14.42578125" style="1353" customWidth="1"/>
    <col min="6667" max="6667" width="15.5703125" style="1353" customWidth="1"/>
    <col min="6668" max="6668" width="8.42578125" style="1353" customWidth="1"/>
    <col min="6669" max="6669" width="16.5703125" style="1353" customWidth="1"/>
    <col min="6670" max="6913" width="9.140625" style="1353"/>
    <col min="6914" max="6914" width="5.42578125" style="1353" customWidth="1"/>
    <col min="6915" max="6915" width="42.42578125" style="1353" customWidth="1"/>
    <col min="6916" max="6917" width="0" style="1353" hidden="1" customWidth="1"/>
    <col min="6918" max="6918" width="8" style="1353" customWidth="1"/>
    <col min="6919" max="6919" width="4.42578125" style="1353" customWidth="1"/>
    <col min="6920" max="6920" width="33.85546875" style="1353" customWidth="1"/>
    <col min="6921" max="6921" width="17.5703125" style="1353" customWidth="1"/>
    <col min="6922" max="6922" width="14.42578125" style="1353" customWidth="1"/>
    <col min="6923" max="6923" width="15.5703125" style="1353" customWidth="1"/>
    <col min="6924" max="6924" width="8.42578125" style="1353" customWidth="1"/>
    <col min="6925" max="6925" width="16.5703125" style="1353" customWidth="1"/>
    <col min="6926" max="7169" width="9.140625" style="1353"/>
    <col min="7170" max="7170" width="5.42578125" style="1353" customWidth="1"/>
    <col min="7171" max="7171" width="42.42578125" style="1353" customWidth="1"/>
    <col min="7172" max="7173" width="0" style="1353" hidden="1" customWidth="1"/>
    <col min="7174" max="7174" width="8" style="1353" customWidth="1"/>
    <col min="7175" max="7175" width="4.42578125" style="1353" customWidth="1"/>
    <col min="7176" max="7176" width="33.85546875" style="1353" customWidth="1"/>
    <col min="7177" max="7177" width="17.5703125" style="1353" customWidth="1"/>
    <col min="7178" max="7178" width="14.42578125" style="1353" customWidth="1"/>
    <col min="7179" max="7179" width="15.5703125" style="1353" customWidth="1"/>
    <col min="7180" max="7180" width="8.42578125" style="1353" customWidth="1"/>
    <col min="7181" max="7181" width="16.5703125" style="1353" customWidth="1"/>
    <col min="7182" max="7425" width="9.140625" style="1353"/>
    <col min="7426" max="7426" width="5.42578125" style="1353" customWidth="1"/>
    <col min="7427" max="7427" width="42.42578125" style="1353" customWidth="1"/>
    <col min="7428" max="7429" width="0" style="1353" hidden="1" customWidth="1"/>
    <col min="7430" max="7430" width="8" style="1353" customWidth="1"/>
    <col min="7431" max="7431" width="4.42578125" style="1353" customWidth="1"/>
    <col min="7432" max="7432" width="33.85546875" style="1353" customWidth="1"/>
    <col min="7433" max="7433" width="17.5703125" style="1353" customWidth="1"/>
    <col min="7434" max="7434" width="14.42578125" style="1353" customWidth="1"/>
    <col min="7435" max="7435" width="15.5703125" style="1353" customWidth="1"/>
    <col min="7436" max="7436" width="8.42578125" style="1353" customWidth="1"/>
    <col min="7437" max="7437" width="16.5703125" style="1353" customWidth="1"/>
    <col min="7438" max="7681" width="9.140625" style="1353"/>
    <col min="7682" max="7682" width="5.42578125" style="1353" customWidth="1"/>
    <col min="7683" max="7683" width="42.42578125" style="1353" customWidth="1"/>
    <col min="7684" max="7685" width="0" style="1353" hidden="1" customWidth="1"/>
    <col min="7686" max="7686" width="8" style="1353" customWidth="1"/>
    <col min="7687" max="7687" width="4.42578125" style="1353" customWidth="1"/>
    <col min="7688" max="7688" width="33.85546875" style="1353" customWidth="1"/>
    <col min="7689" max="7689" width="17.5703125" style="1353" customWidth="1"/>
    <col min="7690" max="7690" width="14.42578125" style="1353" customWidth="1"/>
    <col min="7691" max="7691" width="15.5703125" style="1353" customWidth="1"/>
    <col min="7692" max="7692" width="8.42578125" style="1353" customWidth="1"/>
    <col min="7693" max="7693" width="16.5703125" style="1353" customWidth="1"/>
    <col min="7694" max="7937" width="9.140625" style="1353"/>
    <col min="7938" max="7938" width="5.42578125" style="1353" customWidth="1"/>
    <col min="7939" max="7939" width="42.42578125" style="1353" customWidth="1"/>
    <col min="7940" max="7941" width="0" style="1353" hidden="1" customWidth="1"/>
    <col min="7942" max="7942" width="8" style="1353" customWidth="1"/>
    <col min="7943" max="7943" width="4.42578125" style="1353" customWidth="1"/>
    <col min="7944" max="7944" width="33.85546875" style="1353" customWidth="1"/>
    <col min="7945" max="7945" width="17.5703125" style="1353" customWidth="1"/>
    <col min="7946" max="7946" width="14.42578125" style="1353" customWidth="1"/>
    <col min="7947" max="7947" width="15.5703125" style="1353" customWidth="1"/>
    <col min="7948" max="7948" width="8.42578125" style="1353" customWidth="1"/>
    <col min="7949" max="7949" width="16.5703125" style="1353" customWidth="1"/>
    <col min="7950" max="8193" width="9.140625" style="1353"/>
    <col min="8194" max="8194" width="5.42578125" style="1353" customWidth="1"/>
    <col min="8195" max="8195" width="42.42578125" style="1353" customWidth="1"/>
    <col min="8196" max="8197" width="0" style="1353" hidden="1" customWidth="1"/>
    <col min="8198" max="8198" width="8" style="1353" customWidth="1"/>
    <col min="8199" max="8199" width="4.42578125" style="1353" customWidth="1"/>
    <col min="8200" max="8200" width="33.85546875" style="1353" customWidth="1"/>
    <col min="8201" max="8201" width="17.5703125" style="1353" customWidth="1"/>
    <col min="8202" max="8202" width="14.42578125" style="1353" customWidth="1"/>
    <col min="8203" max="8203" width="15.5703125" style="1353" customWidth="1"/>
    <col min="8204" max="8204" width="8.42578125" style="1353" customWidth="1"/>
    <col min="8205" max="8205" width="16.5703125" style="1353" customWidth="1"/>
    <col min="8206" max="8449" width="9.140625" style="1353"/>
    <col min="8450" max="8450" width="5.42578125" style="1353" customWidth="1"/>
    <col min="8451" max="8451" width="42.42578125" style="1353" customWidth="1"/>
    <col min="8452" max="8453" width="0" style="1353" hidden="1" customWidth="1"/>
    <col min="8454" max="8454" width="8" style="1353" customWidth="1"/>
    <col min="8455" max="8455" width="4.42578125" style="1353" customWidth="1"/>
    <col min="8456" max="8456" width="33.85546875" style="1353" customWidth="1"/>
    <col min="8457" max="8457" width="17.5703125" style="1353" customWidth="1"/>
    <col min="8458" max="8458" width="14.42578125" style="1353" customWidth="1"/>
    <col min="8459" max="8459" width="15.5703125" style="1353" customWidth="1"/>
    <col min="8460" max="8460" width="8.42578125" style="1353" customWidth="1"/>
    <col min="8461" max="8461" width="16.5703125" style="1353" customWidth="1"/>
    <col min="8462" max="8705" width="9.140625" style="1353"/>
    <col min="8706" max="8706" width="5.42578125" style="1353" customWidth="1"/>
    <col min="8707" max="8707" width="42.42578125" style="1353" customWidth="1"/>
    <col min="8708" max="8709" width="0" style="1353" hidden="1" customWidth="1"/>
    <col min="8710" max="8710" width="8" style="1353" customWidth="1"/>
    <col min="8711" max="8711" width="4.42578125" style="1353" customWidth="1"/>
    <col min="8712" max="8712" width="33.85546875" style="1353" customWidth="1"/>
    <col min="8713" max="8713" width="17.5703125" style="1353" customWidth="1"/>
    <col min="8714" max="8714" width="14.42578125" style="1353" customWidth="1"/>
    <col min="8715" max="8715" width="15.5703125" style="1353" customWidth="1"/>
    <col min="8716" max="8716" width="8.42578125" style="1353" customWidth="1"/>
    <col min="8717" max="8717" width="16.5703125" style="1353" customWidth="1"/>
    <col min="8718" max="8961" width="9.140625" style="1353"/>
    <col min="8962" max="8962" width="5.42578125" style="1353" customWidth="1"/>
    <col min="8963" max="8963" width="42.42578125" style="1353" customWidth="1"/>
    <col min="8964" max="8965" width="0" style="1353" hidden="1" customWidth="1"/>
    <col min="8966" max="8966" width="8" style="1353" customWidth="1"/>
    <col min="8967" max="8967" width="4.42578125" style="1353" customWidth="1"/>
    <col min="8968" max="8968" width="33.85546875" style="1353" customWidth="1"/>
    <col min="8969" max="8969" width="17.5703125" style="1353" customWidth="1"/>
    <col min="8970" max="8970" width="14.42578125" style="1353" customWidth="1"/>
    <col min="8971" max="8971" width="15.5703125" style="1353" customWidth="1"/>
    <col min="8972" max="8972" width="8.42578125" style="1353" customWidth="1"/>
    <col min="8973" max="8973" width="16.5703125" style="1353" customWidth="1"/>
    <col min="8974" max="9217" width="9.140625" style="1353"/>
    <col min="9218" max="9218" width="5.42578125" style="1353" customWidth="1"/>
    <col min="9219" max="9219" width="42.42578125" style="1353" customWidth="1"/>
    <col min="9220" max="9221" width="0" style="1353" hidden="1" customWidth="1"/>
    <col min="9222" max="9222" width="8" style="1353" customWidth="1"/>
    <col min="9223" max="9223" width="4.42578125" style="1353" customWidth="1"/>
    <col min="9224" max="9224" width="33.85546875" style="1353" customWidth="1"/>
    <col min="9225" max="9225" width="17.5703125" style="1353" customWidth="1"/>
    <col min="9226" max="9226" width="14.42578125" style="1353" customWidth="1"/>
    <col min="9227" max="9227" width="15.5703125" style="1353" customWidth="1"/>
    <col min="9228" max="9228" width="8.42578125" style="1353" customWidth="1"/>
    <col min="9229" max="9229" width="16.5703125" style="1353" customWidth="1"/>
    <col min="9230" max="9473" width="9.140625" style="1353"/>
    <col min="9474" max="9474" width="5.42578125" style="1353" customWidth="1"/>
    <col min="9475" max="9475" width="42.42578125" style="1353" customWidth="1"/>
    <col min="9476" max="9477" width="0" style="1353" hidden="1" customWidth="1"/>
    <col min="9478" max="9478" width="8" style="1353" customWidth="1"/>
    <col min="9479" max="9479" width="4.42578125" style="1353" customWidth="1"/>
    <col min="9480" max="9480" width="33.85546875" style="1353" customWidth="1"/>
    <col min="9481" max="9481" width="17.5703125" style="1353" customWidth="1"/>
    <col min="9482" max="9482" width="14.42578125" style="1353" customWidth="1"/>
    <col min="9483" max="9483" width="15.5703125" style="1353" customWidth="1"/>
    <col min="9484" max="9484" width="8.42578125" style="1353" customWidth="1"/>
    <col min="9485" max="9485" width="16.5703125" style="1353" customWidth="1"/>
    <col min="9486" max="9729" width="9.140625" style="1353"/>
    <col min="9730" max="9730" width="5.42578125" style="1353" customWidth="1"/>
    <col min="9731" max="9731" width="42.42578125" style="1353" customWidth="1"/>
    <col min="9732" max="9733" width="0" style="1353" hidden="1" customWidth="1"/>
    <col min="9734" max="9734" width="8" style="1353" customWidth="1"/>
    <col min="9735" max="9735" width="4.42578125" style="1353" customWidth="1"/>
    <col min="9736" max="9736" width="33.85546875" style="1353" customWidth="1"/>
    <col min="9737" max="9737" width="17.5703125" style="1353" customWidth="1"/>
    <col min="9738" max="9738" width="14.42578125" style="1353" customWidth="1"/>
    <col min="9739" max="9739" width="15.5703125" style="1353" customWidth="1"/>
    <col min="9740" max="9740" width="8.42578125" style="1353" customWidth="1"/>
    <col min="9741" max="9741" width="16.5703125" style="1353" customWidth="1"/>
    <col min="9742" max="9985" width="9.140625" style="1353"/>
    <col min="9986" max="9986" width="5.42578125" style="1353" customWidth="1"/>
    <col min="9987" max="9987" width="42.42578125" style="1353" customWidth="1"/>
    <col min="9988" max="9989" width="0" style="1353" hidden="1" customWidth="1"/>
    <col min="9990" max="9990" width="8" style="1353" customWidth="1"/>
    <col min="9991" max="9991" width="4.42578125" style="1353" customWidth="1"/>
    <col min="9992" max="9992" width="33.85546875" style="1353" customWidth="1"/>
    <col min="9993" max="9993" width="17.5703125" style="1353" customWidth="1"/>
    <col min="9994" max="9994" width="14.42578125" style="1353" customWidth="1"/>
    <col min="9995" max="9995" width="15.5703125" style="1353" customWidth="1"/>
    <col min="9996" max="9996" width="8.42578125" style="1353" customWidth="1"/>
    <col min="9997" max="9997" width="16.5703125" style="1353" customWidth="1"/>
    <col min="9998" max="10241" width="9.140625" style="1353"/>
    <col min="10242" max="10242" width="5.42578125" style="1353" customWidth="1"/>
    <col min="10243" max="10243" width="42.42578125" style="1353" customWidth="1"/>
    <col min="10244" max="10245" width="0" style="1353" hidden="1" customWidth="1"/>
    <col min="10246" max="10246" width="8" style="1353" customWidth="1"/>
    <col min="10247" max="10247" width="4.42578125" style="1353" customWidth="1"/>
    <col min="10248" max="10248" width="33.85546875" style="1353" customWidth="1"/>
    <col min="10249" max="10249" width="17.5703125" style="1353" customWidth="1"/>
    <col min="10250" max="10250" width="14.42578125" style="1353" customWidth="1"/>
    <col min="10251" max="10251" width="15.5703125" style="1353" customWidth="1"/>
    <col min="10252" max="10252" width="8.42578125" style="1353" customWidth="1"/>
    <col min="10253" max="10253" width="16.5703125" style="1353" customWidth="1"/>
    <col min="10254" max="10497" width="9.140625" style="1353"/>
    <col min="10498" max="10498" width="5.42578125" style="1353" customWidth="1"/>
    <col min="10499" max="10499" width="42.42578125" style="1353" customWidth="1"/>
    <col min="10500" max="10501" width="0" style="1353" hidden="1" customWidth="1"/>
    <col min="10502" max="10502" width="8" style="1353" customWidth="1"/>
    <col min="10503" max="10503" width="4.42578125" style="1353" customWidth="1"/>
    <col min="10504" max="10504" width="33.85546875" style="1353" customWidth="1"/>
    <col min="10505" max="10505" width="17.5703125" style="1353" customWidth="1"/>
    <col min="10506" max="10506" width="14.42578125" style="1353" customWidth="1"/>
    <col min="10507" max="10507" width="15.5703125" style="1353" customWidth="1"/>
    <col min="10508" max="10508" width="8.42578125" style="1353" customWidth="1"/>
    <col min="10509" max="10509" width="16.5703125" style="1353" customWidth="1"/>
    <col min="10510" max="10753" width="9.140625" style="1353"/>
    <col min="10754" max="10754" width="5.42578125" style="1353" customWidth="1"/>
    <col min="10755" max="10755" width="42.42578125" style="1353" customWidth="1"/>
    <col min="10756" max="10757" width="0" style="1353" hidden="1" customWidth="1"/>
    <col min="10758" max="10758" width="8" style="1353" customWidth="1"/>
    <col min="10759" max="10759" width="4.42578125" style="1353" customWidth="1"/>
    <col min="10760" max="10760" width="33.85546875" style="1353" customWidth="1"/>
    <col min="10761" max="10761" width="17.5703125" style="1353" customWidth="1"/>
    <col min="10762" max="10762" width="14.42578125" style="1353" customWidth="1"/>
    <col min="10763" max="10763" width="15.5703125" style="1353" customWidth="1"/>
    <col min="10764" max="10764" width="8.42578125" style="1353" customWidth="1"/>
    <col min="10765" max="10765" width="16.5703125" style="1353" customWidth="1"/>
    <col min="10766" max="11009" width="9.140625" style="1353"/>
    <col min="11010" max="11010" width="5.42578125" style="1353" customWidth="1"/>
    <col min="11011" max="11011" width="42.42578125" style="1353" customWidth="1"/>
    <col min="11012" max="11013" width="0" style="1353" hidden="1" customWidth="1"/>
    <col min="11014" max="11014" width="8" style="1353" customWidth="1"/>
    <col min="11015" max="11015" width="4.42578125" style="1353" customWidth="1"/>
    <col min="11016" max="11016" width="33.85546875" style="1353" customWidth="1"/>
    <col min="11017" max="11017" width="17.5703125" style="1353" customWidth="1"/>
    <col min="11018" max="11018" width="14.42578125" style="1353" customWidth="1"/>
    <col min="11019" max="11019" width="15.5703125" style="1353" customWidth="1"/>
    <col min="11020" max="11020" width="8.42578125" style="1353" customWidth="1"/>
    <col min="11021" max="11021" width="16.5703125" style="1353" customWidth="1"/>
    <col min="11022" max="11265" width="9.140625" style="1353"/>
    <col min="11266" max="11266" width="5.42578125" style="1353" customWidth="1"/>
    <col min="11267" max="11267" width="42.42578125" style="1353" customWidth="1"/>
    <col min="11268" max="11269" width="0" style="1353" hidden="1" customWidth="1"/>
    <col min="11270" max="11270" width="8" style="1353" customWidth="1"/>
    <col min="11271" max="11271" width="4.42578125" style="1353" customWidth="1"/>
    <col min="11272" max="11272" width="33.85546875" style="1353" customWidth="1"/>
    <col min="11273" max="11273" width="17.5703125" style="1353" customWidth="1"/>
    <col min="11274" max="11274" width="14.42578125" style="1353" customWidth="1"/>
    <col min="11275" max="11275" width="15.5703125" style="1353" customWidth="1"/>
    <col min="11276" max="11276" width="8.42578125" style="1353" customWidth="1"/>
    <col min="11277" max="11277" width="16.5703125" style="1353" customWidth="1"/>
    <col min="11278" max="11521" width="9.140625" style="1353"/>
    <col min="11522" max="11522" width="5.42578125" style="1353" customWidth="1"/>
    <col min="11523" max="11523" width="42.42578125" style="1353" customWidth="1"/>
    <col min="11524" max="11525" width="0" style="1353" hidden="1" customWidth="1"/>
    <col min="11526" max="11526" width="8" style="1353" customWidth="1"/>
    <col min="11527" max="11527" width="4.42578125" style="1353" customWidth="1"/>
    <col min="11528" max="11528" width="33.85546875" style="1353" customWidth="1"/>
    <col min="11529" max="11529" width="17.5703125" style="1353" customWidth="1"/>
    <col min="11530" max="11530" width="14.42578125" style="1353" customWidth="1"/>
    <col min="11531" max="11531" width="15.5703125" style="1353" customWidth="1"/>
    <col min="11532" max="11532" width="8.42578125" style="1353" customWidth="1"/>
    <col min="11533" max="11533" width="16.5703125" style="1353" customWidth="1"/>
    <col min="11534" max="11777" width="9.140625" style="1353"/>
    <col min="11778" max="11778" width="5.42578125" style="1353" customWidth="1"/>
    <col min="11779" max="11779" width="42.42578125" style="1353" customWidth="1"/>
    <col min="11780" max="11781" width="0" style="1353" hidden="1" customWidth="1"/>
    <col min="11782" max="11782" width="8" style="1353" customWidth="1"/>
    <col min="11783" max="11783" width="4.42578125" style="1353" customWidth="1"/>
    <col min="11784" max="11784" width="33.85546875" style="1353" customWidth="1"/>
    <col min="11785" max="11785" width="17.5703125" style="1353" customWidth="1"/>
    <col min="11786" max="11786" width="14.42578125" style="1353" customWidth="1"/>
    <col min="11787" max="11787" width="15.5703125" style="1353" customWidth="1"/>
    <col min="11788" max="11788" width="8.42578125" style="1353" customWidth="1"/>
    <col min="11789" max="11789" width="16.5703125" style="1353" customWidth="1"/>
    <col min="11790" max="12033" width="9.140625" style="1353"/>
    <col min="12034" max="12034" width="5.42578125" style="1353" customWidth="1"/>
    <col min="12035" max="12035" width="42.42578125" style="1353" customWidth="1"/>
    <col min="12036" max="12037" width="0" style="1353" hidden="1" customWidth="1"/>
    <col min="12038" max="12038" width="8" style="1353" customWidth="1"/>
    <col min="12039" max="12039" width="4.42578125" style="1353" customWidth="1"/>
    <col min="12040" max="12040" width="33.85546875" style="1353" customWidth="1"/>
    <col min="12041" max="12041" width="17.5703125" style="1353" customWidth="1"/>
    <col min="12042" max="12042" width="14.42578125" style="1353" customWidth="1"/>
    <col min="12043" max="12043" width="15.5703125" style="1353" customWidth="1"/>
    <col min="12044" max="12044" width="8.42578125" style="1353" customWidth="1"/>
    <col min="12045" max="12045" width="16.5703125" style="1353" customWidth="1"/>
    <col min="12046" max="12289" width="9.140625" style="1353"/>
    <col min="12290" max="12290" width="5.42578125" style="1353" customWidth="1"/>
    <col min="12291" max="12291" width="42.42578125" style="1353" customWidth="1"/>
    <col min="12292" max="12293" width="0" style="1353" hidden="1" customWidth="1"/>
    <col min="12294" max="12294" width="8" style="1353" customWidth="1"/>
    <col min="12295" max="12295" width="4.42578125" style="1353" customWidth="1"/>
    <col min="12296" max="12296" width="33.85546875" style="1353" customWidth="1"/>
    <col min="12297" max="12297" width="17.5703125" style="1353" customWidth="1"/>
    <col min="12298" max="12298" width="14.42578125" style="1353" customWidth="1"/>
    <col min="12299" max="12299" width="15.5703125" style="1353" customWidth="1"/>
    <col min="12300" max="12300" width="8.42578125" style="1353" customWidth="1"/>
    <col min="12301" max="12301" width="16.5703125" style="1353" customWidth="1"/>
    <col min="12302" max="12545" width="9.140625" style="1353"/>
    <col min="12546" max="12546" width="5.42578125" style="1353" customWidth="1"/>
    <col min="12547" max="12547" width="42.42578125" style="1353" customWidth="1"/>
    <col min="12548" max="12549" width="0" style="1353" hidden="1" customWidth="1"/>
    <col min="12550" max="12550" width="8" style="1353" customWidth="1"/>
    <col min="12551" max="12551" width="4.42578125" style="1353" customWidth="1"/>
    <col min="12552" max="12552" width="33.85546875" style="1353" customWidth="1"/>
    <col min="12553" max="12553" width="17.5703125" style="1353" customWidth="1"/>
    <col min="12554" max="12554" width="14.42578125" style="1353" customWidth="1"/>
    <col min="12555" max="12555" width="15.5703125" style="1353" customWidth="1"/>
    <col min="12556" max="12556" width="8.42578125" style="1353" customWidth="1"/>
    <col min="12557" max="12557" width="16.5703125" style="1353" customWidth="1"/>
    <col min="12558" max="12801" width="9.140625" style="1353"/>
    <col min="12802" max="12802" width="5.42578125" style="1353" customWidth="1"/>
    <col min="12803" max="12803" width="42.42578125" style="1353" customWidth="1"/>
    <col min="12804" max="12805" width="0" style="1353" hidden="1" customWidth="1"/>
    <col min="12806" max="12806" width="8" style="1353" customWidth="1"/>
    <col min="12807" max="12807" width="4.42578125" style="1353" customWidth="1"/>
    <col min="12808" max="12808" width="33.85546875" style="1353" customWidth="1"/>
    <col min="12809" max="12809" width="17.5703125" style="1353" customWidth="1"/>
    <col min="12810" max="12810" width="14.42578125" style="1353" customWidth="1"/>
    <col min="12811" max="12811" width="15.5703125" style="1353" customWidth="1"/>
    <col min="12812" max="12812" width="8.42578125" style="1353" customWidth="1"/>
    <col min="12813" max="12813" width="16.5703125" style="1353" customWidth="1"/>
    <col min="12814" max="13057" width="9.140625" style="1353"/>
    <col min="13058" max="13058" width="5.42578125" style="1353" customWidth="1"/>
    <col min="13059" max="13059" width="42.42578125" style="1353" customWidth="1"/>
    <col min="13060" max="13061" width="0" style="1353" hidden="1" customWidth="1"/>
    <col min="13062" max="13062" width="8" style="1353" customWidth="1"/>
    <col min="13063" max="13063" width="4.42578125" style="1353" customWidth="1"/>
    <col min="13064" max="13064" width="33.85546875" style="1353" customWidth="1"/>
    <col min="13065" max="13065" width="17.5703125" style="1353" customWidth="1"/>
    <col min="13066" max="13066" width="14.42578125" style="1353" customWidth="1"/>
    <col min="13067" max="13067" width="15.5703125" style="1353" customWidth="1"/>
    <col min="13068" max="13068" width="8.42578125" style="1353" customWidth="1"/>
    <col min="13069" max="13069" width="16.5703125" style="1353" customWidth="1"/>
    <col min="13070" max="13313" width="9.140625" style="1353"/>
    <col min="13314" max="13314" width="5.42578125" style="1353" customWidth="1"/>
    <col min="13315" max="13315" width="42.42578125" style="1353" customWidth="1"/>
    <col min="13316" max="13317" width="0" style="1353" hidden="1" customWidth="1"/>
    <col min="13318" max="13318" width="8" style="1353" customWidth="1"/>
    <col min="13319" max="13319" width="4.42578125" style="1353" customWidth="1"/>
    <col min="13320" max="13320" width="33.85546875" style="1353" customWidth="1"/>
    <col min="13321" max="13321" width="17.5703125" style="1353" customWidth="1"/>
    <col min="13322" max="13322" width="14.42578125" style="1353" customWidth="1"/>
    <col min="13323" max="13323" width="15.5703125" style="1353" customWidth="1"/>
    <col min="13324" max="13324" width="8.42578125" style="1353" customWidth="1"/>
    <col min="13325" max="13325" width="16.5703125" style="1353" customWidth="1"/>
    <col min="13326" max="13569" width="9.140625" style="1353"/>
    <col min="13570" max="13570" width="5.42578125" style="1353" customWidth="1"/>
    <col min="13571" max="13571" width="42.42578125" style="1353" customWidth="1"/>
    <col min="13572" max="13573" width="0" style="1353" hidden="1" customWidth="1"/>
    <col min="13574" max="13574" width="8" style="1353" customWidth="1"/>
    <col min="13575" max="13575" width="4.42578125" style="1353" customWidth="1"/>
    <col min="13576" max="13576" width="33.85546875" style="1353" customWidth="1"/>
    <col min="13577" max="13577" width="17.5703125" style="1353" customWidth="1"/>
    <col min="13578" max="13578" width="14.42578125" style="1353" customWidth="1"/>
    <col min="13579" max="13579" width="15.5703125" style="1353" customWidth="1"/>
    <col min="13580" max="13580" width="8.42578125" style="1353" customWidth="1"/>
    <col min="13581" max="13581" width="16.5703125" style="1353" customWidth="1"/>
    <col min="13582" max="13825" width="9.140625" style="1353"/>
    <col min="13826" max="13826" width="5.42578125" style="1353" customWidth="1"/>
    <col min="13827" max="13827" width="42.42578125" style="1353" customWidth="1"/>
    <col min="13828" max="13829" width="0" style="1353" hidden="1" customWidth="1"/>
    <col min="13830" max="13830" width="8" style="1353" customWidth="1"/>
    <col min="13831" max="13831" width="4.42578125" style="1353" customWidth="1"/>
    <col min="13832" max="13832" width="33.85546875" style="1353" customWidth="1"/>
    <col min="13833" max="13833" width="17.5703125" style="1353" customWidth="1"/>
    <col min="13834" max="13834" width="14.42578125" style="1353" customWidth="1"/>
    <col min="13835" max="13835" width="15.5703125" style="1353" customWidth="1"/>
    <col min="13836" max="13836" width="8.42578125" style="1353" customWidth="1"/>
    <col min="13837" max="13837" width="16.5703125" style="1353" customWidth="1"/>
    <col min="13838" max="14081" width="9.140625" style="1353"/>
    <col min="14082" max="14082" width="5.42578125" style="1353" customWidth="1"/>
    <col min="14083" max="14083" width="42.42578125" style="1353" customWidth="1"/>
    <col min="14084" max="14085" width="0" style="1353" hidden="1" customWidth="1"/>
    <col min="14086" max="14086" width="8" style="1353" customWidth="1"/>
    <col min="14087" max="14087" width="4.42578125" style="1353" customWidth="1"/>
    <col min="14088" max="14088" width="33.85546875" style="1353" customWidth="1"/>
    <col min="14089" max="14089" width="17.5703125" style="1353" customWidth="1"/>
    <col min="14090" max="14090" width="14.42578125" style="1353" customWidth="1"/>
    <col min="14091" max="14091" width="15.5703125" style="1353" customWidth="1"/>
    <col min="14092" max="14092" width="8.42578125" style="1353" customWidth="1"/>
    <col min="14093" max="14093" width="16.5703125" style="1353" customWidth="1"/>
    <col min="14094" max="14337" width="9.140625" style="1353"/>
    <col min="14338" max="14338" width="5.42578125" style="1353" customWidth="1"/>
    <col min="14339" max="14339" width="42.42578125" style="1353" customWidth="1"/>
    <col min="14340" max="14341" width="0" style="1353" hidden="1" customWidth="1"/>
    <col min="14342" max="14342" width="8" style="1353" customWidth="1"/>
    <col min="14343" max="14343" width="4.42578125" style="1353" customWidth="1"/>
    <col min="14344" max="14344" width="33.85546875" style="1353" customWidth="1"/>
    <col min="14345" max="14345" width="17.5703125" style="1353" customWidth="1"/>
    <col min="14346" max="14346" width="14.42578125" style="1353" customWidth="1"/>
    <col min="14347" max="14347" width="15.5703125" style="1353" customWidth="1"/>
    <col min="14348" max="14348" width="8.42578125" style="1353" customWidth="1"/>
    <col min="14349" max="14349" width="16.5703125" style="1353" customWidth="1"/>
    <col min="14350" max="14593" width="9.140625" style="1353"/>
    <col min="14594" max="14594" width="5.42578125" style="1353" customWidth="1"/>
    <col min="14595" max="14595" width="42.42578125" style="1353" customWidth="1"/>
    <col min="14596" max="14597" width="0" style="1353" hidden="1" customWidth="1"/>
    <col min="14598" max="14598" width="8" style="1353" customWidth="1"/>
    <col min="14599" max="14599" width="4.42578125" style="1353" customWidth="1"/>
    <col min="14600" max="14600" width="33.85546875" style="1353" customWidth="1"/>
    <col min="14601" max="14601" width="17.5703125" style="1353" customWidth="1"/>
    <col min="14602" max="14602" width="14.42578125" style="1353" customWidth="1"/>
    <col min="14603" max="14603" width="15.5703125" style="1353" customWidth="1"/>
    <col min="14604" max="14604" width="8.42578125" style="1353" customWidth="1"/>
    <col min="14605" max="14605" width="16.5703125" style="1353" customWidth="1"/>
    <col min="14606" max="14849" width="9.140625" style="1353"/>
    <col min="14850" max="14850" width="5.42578125" style="1353" customWidth="1"/>
    <col min="14851" max="14851" width="42.42578125" style="1353" customWidth="1"/>
    <col min="14852" max="14853" width="0" style="1353" hidden="1" customWidth="1"/>
    <col min="14854" max="14854" width="8" style="1353" customWidth="1"/>
    <col min="14855" max="14855" width="4.42578125" style="1353" customWidth="1"/>
    <col min="14856" max="14856" width="33.85546875" style="1353" customWidth="1"/>
    <col min="14857" max="14857" width="17.5703125" style="1353" customWidth="1"/>
    <col min="14858" max="14858" width="14.42578125" style="1353" customWidth="1"/>
    <col min="14859" max="14859" width="15.5703125" style="1353" customWidth="1"/>
    <col min="14860" max="14860" width="8.42578125" style="1353" customWidth="1"/>
    <col min="14861" max="14861" width="16.5703125" style="1353" customWidth="1"/>
    <col min="14862" max="15105" width="9.140625" style="1353"/>
    <col min="15106" max="15106" width="5.42578125" style="1353" customWidth="1"/>
    <col min="15107" max="15107" width="42.42578125" style="1353" customWidth="1"/>
    <col min="15108" max="15109" width="0" style="1353" hidden="1" customWidth="1"/>
    <col min="15110" max="15110" width="8" style="1353" customWidth="1"/>
    <col min="15111" max="15111" width="4.42578125" style="1353" customWidth="1"/>
    <col min="15112" max="15112" width="33.85546875" style="1353" customWidth="1"/>
    <col min="15113" max="15113" width="17.5703125" style="1353" customWidth="1"/>
    <col min="15114" max="15114" width="14.42578125" style="1353" customWidth="1"/>
    <col min="15115" max="15115" width="15.5703125" style="1353" customWidth="1"/>
    <col min="15116" max="15116" width="8.42578125" style="1353" customWidth="1"/>
    <col min="15117" max="15117" width="16.5703125" style="1353" customWidth="1"/>
    <col min="15118" max="15361" width="9.140625" style="1353"/>
    <col min="15362" max="15362" width="5.42578125" style="1353" customWidth="1"/>
    <col min="15363" max="15363" width="42.42578125" style="1353" customWidth="1"/>
    <col min="15364" max="15365" width="0" style="1353" hidden="1" customWidth="1"/>
    <col min="15366" max="15366" width="8" style="1353" customWidth="1"/>
    <col min="15367" max="15367" width="4.42578125" style="1353" customWidth="1"/>
    <col min="15368" max="15368" width="33.85546875" style="1353" customWidth="1"/>
    <col min="15369" max="15369" width="17.5703125" style="1353" customWidth="1"/>
    <col min="15370" max="15370" width="14.42578125" style="1353" customWidth="1"/>
    <col min="15371" max="15371" width="15.5703125" style="1353" customWidth="1"/>
    <col min="15372" max="15372" width="8.42578125" style="1353" customWidth="1"/>
    <col min="15373" max="15373" width="16.5703125" style="1353" customWidth="1"/>
    <col min="15374" max="15617" width="9.140625" style="1353"/>
    <col min="15618" max="15618" width="5.42578125" style="1353" customWidth="1"/>
    <col min="15619" max="15619" width="42.42578125" style="1353" customWidth="1"/>
    <col min="15620" max="15621" width="0" style="1353" hidden="1" customWidth="1"/>
    <col min="15622" max="15622" width="8" style="1353" customWidth="1"/>
    <col min="15623" max="15623" width="4.42578125" style="1353" customWidth="1"/>
    <col min="15624" max="15624" width="33.85546875" style="1353" customWidth="1"/>
    <col min="15625" max="15625" width="17.5703125" style="1353" customWidth="1"/>
    <col min="15626" max="15626" width="14.42578125" style="1353" customWidth="1"/>
    <col min="15627" max="15627" width="15.5703125" style="1353" customWidth="1"/>
    <col min="15628" max="15628" width="8.42578125" style="1353" customWidth="1"/>
    <col min="15629" max="15629" width="16.5703125" style="1353" customWidth="1"/>
    <col min="15630" max="15873" width="9.140625" style="1353"/>
    <col min="15874" max="15874" width="5.42578125" style="1353" customWidth="1"/>
    <col min="15875" max="15875" width="42.42578125" style="1353" customWidth="1"/>
    <col min="15876" max="15877" width="0" style="1353" hidden="1" customWidth="1"/>
    <col min="15878" max="15878" width="8" style="1353" customWidth="1"/>
    <col min="15879" max="15879" width="4.42578125" style="1353" customWidth="1"/>
    <col min="15880" max="15880" width="33.85546875" style="1353" customWidth="1"/>
    <col min="15881" max="15881" width="17.5703125" style="1353" customWidth="1"/>
    <col min="15882" max="15882" width="14.42578125" style="1353" customWidth="1"/>
    <col min="15883" max="15883" width="15.5703125" style="1353" customWidth="1"/>
    <col min="15884" max="15884" width="8.42578125" style="1353" customWidth="1"/>
    <col min="15885" max="15885" width="16.5703125" style="1353" customWidth="1"/>
    <col min="15886" max="16129" width="9.140625" style="1353"/>
    <col min="16130" max="16130" width="5.42578125" style="1353" customWidth="1"/>
    <col min="16131" max="16131" width="42.42578125" style="1353" customWidth="1"/>
    <col min="16132" max="16133" width="0" style="1353" hidden="1" customWidth="1"/>
    <col min="16134" max="16134" width="8" style="1353" customWidth="1"/>
    <col min="16135" max="16135" width="4.42578125" style="1353" customWidth="1"/>
    <col min="16136" max="16136" width="33.85546875" style="1353" customWidth="1"/>
    <col min="16137" max="16137" width="17.5703125" style="1353" customWidth="1"/>
    <col min="16138" max="16138" width="14.42578125" style="1353" customWidth="1"/>
    <col min="16139" max="16139" width="15.5703125" style="1353" customWidth="1"/>
    <col min="16140" max="16140" width="8.42578125" style="1353" customWidth="1"/>
    <col min="16141" max="16141" width="16.5703125" style="1353" customWidth="1"/>
    <col min="16142" max="16384" width="9.140625" style="1353"/>
  </cols>
  <sheetData>
    <row r="1" spans="1:19" ht="19.5">
      <c r="A1" s="1659" t="s">
        <v>490</v>
      </c>
      <c r="B1" s="1659"/>
      <c r="C1" s="1659"/>
      <c r="D1" s="1659"/>
      <c r="E1" s="1659"/>
      <c r="F1" s="1659"/>
      <c r="G1" s="1659"/>
      <c r="H1" s="1659"/>
      <c r="I1" s="1659"/>
      <c r="J1" s="1659"/>
      <c r="K1" s="1659"/>
      <c r="L1" s="1352"/>
    </row>
    <row r="2" spans="1:19" ht="33.6" customHeight="1">
      <c r="A2" s="1660" t="str">
        <f>+TM!A2</f>
        <v>CÔNG TRÌNH : NÂNG CẤP, CẢI TẠO TRỤ SỞ CHÍNH TRUNG TÂM VĂN HÓA - THỂ THAO - TRUYỀN THÔNG HUYỆN
ĐỊA ĐIỂM: THỊ TRẤN HÓC MÔN, HUYỆN HÓC MÔN</v>
      </c>
      <c r="B2" s="1660"/>
      <c r="C2" s="1660"/>
      <c r="D2" s="1660"/>
      <c r="E2" s="1660"/>
      <c r="F2" s="1660"/>
      <c r="G2" s="1660"/>
      <c r="H2" s="1660"/>
      <c r="I2" s="1660"/>
      <c r="J2" s="1660"/>
      <c r="K2" s="1660"/>
      <c r="L2" s="1354"/>
    </row>
    <row r="3" spans="1:19" ht="13.9" customHeight="1">
      <c r="A3" s="1355"/>
      <c r="B3" s="1356"/>
      <c r="C3" s="1357"/>
      <c r="D3" s="1357"/>
      <c r="E3" s="1357"/>
      <c r="F3" s="1355"/>
      <c r="G3" s="1358"/>
      <c r="H3" s="1357"/>
      <c r="I3" s="1359"/>
      <c r="J3" s="1360"/>
      <c r="K3" s="1361" t="s">
        <v>491</v>
      </c>
      <c r="L3" s="1362"/>
    </row>
    <row r="4" spans="1:19" ht="27.75">
      <c r="A4" s="1363" t="s">
        <v>51</v>
      </c>
      <c r="B4" s="1364" t="s">
        <v>492</v>
      </c>
      <c r="C4" s="1364" t="s">
        <v>493</v>
      </c>
      <c r="D4" s="1364" t="s">
        <v>494</v>
      </c>
      <c r="E4" s="1364" t="s">
        <v>53</v>
      </c>
      <c r="F4" s="1365" t="s">
        <v>495</v>
      </c>
      <c r="G4" s="1364" t="s">
        <v>496</v>
      </c>
      <c r="H4" s="1364" t="s">
        <v>54</v>
      </c>
      <c r="I4" s="1366" t="s">
        <v>497</v>
      </c>
      <c r="J4" s="1367" t="s">
        <v>498</v>
      </c>
      <c r="K4" s="1366" t="s">
        <v>499</v>
      </c>
      <c r="L4" s="1368"/>
      <c r="M4" s="1353">
        <v>63841413989.760002</v>
      </c>
      <c r="N4" s="1353">
        <v>8500000000</v>
      </c>
      <c r="O4" s="1353">
        <f>+M4-N4</f>
        <v>55341413989.760002</v>
      </c>
    </row>
    <row r="5" spans="1:19" ht="27.75">
      <c r="A5" s="1363" t="s">
        <v>500</v>
      </c>
      <c r="B5" s="1369" t="s">
        <v>501</v>
      </c>
      <c r="C5" s="1370"/>
      <c r="D5" s="1370"/>
      <c r="E5" s="1364" t="s">
        <v>502</v>
      </c>
      <c r="F5" s="1371"/>
      <c r="G5" s="1372"/>
      <c r="H5" s="1364" t="s">
        <v>503</v>
      </c>
      <c r="I5" s="1373">
        <f>+TGTHMUC!C34</f>
        <v>34012079577.256573</v>
      </c>
      <c r="J5" s="1374">
        <f>+I5*0.08</f>
        <v>2720966366.1805258</v>
      </c>
      <c r="K5" s="1373">
        <f>+ROUND(I5+J5,0)</f>
        <v>36733045943</v>
      </c>
      <c r="L5" s="1375"/>
      <c r="M5" s="1376">
        <f>+I5+I6</f>
        <v>40845632003.182495</v>
      </c>
    </row>
    <row r="6" spans="1:19" ht="27.75">
      <c r="A6" s="1363" t="s">
        <v>504</v>
      </c>
      <c r="B6" s="1369" t="s">
        <v>505</v>
      </c>
      <c r="C6" s="1370"/>
      <c r="D6" s="1370"/>
      <c r="E6" s="1364" t="s">
        <v>506</v>
      </c>
      <c r="F6" s="1371"/>
      <c r="G6" s="1372"/>
      <c r="H6" s="1364" t="s">
        <v>503</v>
      </c>
      <c r="I6" s="1373">
        <f>+K6/1.08</f>
        <v>6833552425.9259253</v>
      </c>
      <c r="J6" s="1374">
        <f>+ROUND(I6*0.08,0)</f>
        <v>546684194</v>
      </c>
      <c r="K6" s="1373">
        <f>+'CP TB'!G71</f>
        <v>7380236620</v>
      </c>
      <c r="L6" s="1375"/>
      <c r="M6" s="1377">
        <f>+K5+K6</f>
        <v>44113282563</v>
      </c>
    </row>
    <row r="7" spans="1:19" ht="27.75">
      <c r="A7" s="1363" t="s">
        <v>507</v>
      </c>
      <c r="B7" s="1369" t="s">
        <v>508</v>
      </c>
      <c r="C7" s="1370" t="s">
        <v>509</v>
      </c>
      <c r="D7" s="1370" t="s">
        <v>510</v>
      </c>
      <c r="E7" s="1364" t="s">
        <v>511</v>
      </c>
      <c r="F7" s="1378"/>
      <c r="G7" s="1372"/>
      <c r="H7" s="1364" t="s">
        <v>512</v>
      </c>
      <c r="I7" s="1373">
        <v>1035192273</v>
      </c>
      <c r="J7" s="1374"/>
      <c r="K7" s="1373">
        <f t="shared" ref="K7" si="0">ROUND(I7+J7,0)</f>
        <v>1035192273</v>
      </c>
      <c r="L7" s="1375"/>
      <c r="M7" s="1379">
        <f>FORECAST(R7,N7:O7,P7:Q7)</f>
        <v>2.7055105727667956</v>
      </c>
      <c r="N7" s="1380">
        <v>2.923</v>
      </c>
      <c r="O7" s="1380">
        <v>2.61</v>
      </c>
      <c r="P7" s="1381">
        <v>20</v>
      </c>
      <c r="Q7" s="1381">
        <v>50</v>
      </c>
      <c r="R7" s="1382">
        <f>(I5+I6)/10^9</f>
        <v>40.845632003182494</v>
      </c>
    </row>
    <row r="8" spans="1:19" ht="20.100000000000001" customHeight="1">
      <c r="A8" s="1363" t="s">
        <v>513</v>
      </c>
      <c r="B8" s="1369" t="s">
        <v>514</v>
      </c>
      <c r="C8" s="1370"/>
      <c r="D8" s="1370"/>
      <c r="E8" s="1364" t="s">
        <v>515</v>
      </c>
      <c r="F8" s="1383"/>
      <c r="G8" s="1372"/>
      <c r="H8" s="1364" t="str">
        <f>E9&amp;"+……+"&amp;E22</f>
        <v>TV1+……+TV14</v>
      </c>
      <c r="I8" s="1373">
        <f>SUM(I9:I22)</f>
        <v>3252370111</v>
      </c>
      <c r="J8" s="1374">
        <f t="shared" ref="J8:K8" si="1">SUM(J9:J22)</f>
        <v>260189610</v>
      </c>
      <c r="K8" s="1373">
        <f t="shared" si="1"/>
        <v>3512559721</v>
      </c>
      <c r="L8" s="1375"/>
      <c r="M8" s="1377">
        <f>+K7+K8+K23</f>
        <v>5280168817</v>
      </c>
    </row>
    <row r="9" spans="1:19" ht="36" customHeight="1">
      <c r="A9" s="1384">
        <v>1</v>
      </c>
      <c r="B9" s="1385" t="s">
        <v>516</v>
      </c>
      <c r="C9" s="1386" t="s">
        <v>517</v>
      </c>
      <c r="D9" s="1386" t="s">
        <v>518</v>
      </c>
      <c r="E9" s="1387" t="str">
        <f>"TV"&amp;A9</f>
        <v>TV1</v>
      </c>
      <c r="F9" s="1388">
        <f>ROUND(M9%,5)</f>
        <v>8.0099999999999998E-3</v>
      </c>
      <c r="G9" s="1389"/>
      <c r="H9" s="1387" t="s">
        <v>519</v>
      </c>
      <c r="I9" s="1390">
        <f>ROUND(K9/1.08,0)</f>
        <v>307437551</v>
      </c>
      <c r="J9" s="1391">
        <f>ROUND(I9*0.08,0)</f>
        <v>24595004</v>
      </c>
      <c r="K9" s="1390">
        <v>332032555</v>
      </c>
      <c r="L9" s="1392">
        <v>387124961</v>
      </c>
      <c r="M9" s="1379">
        <f t="shared" ref="M9:M20" si="2">FORECAST(R9,N9:O9,P9:Q9)</f>
        <v>0.80073873278270857</v>
      </c>
      <c r="N9" s="1381">
        <v>0.91400000000000003</v>
      </c>
      <c r="O9" s="1381">
        <v>0.751</v>
      </c>
      <c r="P9" s="1381">
        <v>20</v>
      </c>
      <c r="Q9" s="1381">
        <v>50</v>
      </c>
      <c r="R9" s="1382">
        <f>$R$7</f>
        <v>40.845632003182494</v>
      </c>
    </row>
    <row r="10" spans="1:19" ht="36" customHeight="1">
      <c r="A10" s="1384">
        <v>2</v>
      </c>
      <c r="B10" s="1385" t="s">
        <v>520</v>
      </c>
      <c r="C10" s="1386" t="s">
        <v>521</v>
      </c>
      <c r="D10" s="1386" t="s">
        <v>522</v>
      </c>
      <c r="E10" s="1387" t="str">
        <f t="shared" ref="E10:E22" si="3">"TV"&amp;A10</f>
        <v>TV2</v>
      </c>
      <c r="F10" s="1388">
        <f>ROUND(M10%,5)</f>
        <v>1.47E-3</v>
      </c>
      <c r="G10" s="1389"/>
      <c r="H10" s="1387" t="s">
        <v>523</v>
      </c>
      <c r="I10" s="1390">
        <f>ROUND(K10/1.08,0)</f>
        <v>56307244</v>
      </c>
      <c r="J10" s="1393">
        <f>ROUND(I10*0.08,0)</f>
        <v>4504580</v>
      </c>
      <c r="K10" s="1390">
        <v>60811824</v>
      </c>
      <c r="L10" s="1392">
        <v>61956516</v>
      </c>
      <c r="M10" s="1379">
        <f t="shared" si="2"/>
        <v>0.14715436799681753</v>
      </c>
      <c r="N10" s="1381">
        <v>0.16800000000000001</v>
      </c>
      <c r="O10" s="1381">
        <v>0.13800000000000001</v>
      </c>
      <c r="P10" s="1381">
        <v>20</v>
      </c>
      <c r="Q10" s="1381">
        <v>50</v>
      </c>
      <c r="R10" s="1382">
        <f>$R$7</f>
        <v>40.845632003182494</v>
      </c>
    </row>
    <row r="11" spans="1:19" ht="29.25">
      <c r="A11" s="1384">
        <v>3</v>
      </c>
      <c r="B11" s="1385" t="s">
        <v>524</v>
      </c>
      <c r="C11" s="1386" t="s">
        <v>517</v>
      </c>
      <c r="D11" s="1386" t="s">
        <v>518</v>
      </c>
      <c r="E11" s="1387" t="str">
        <f t="shared" si="3"/>
        <v>TV3</v>
      </c>
      <c r="F11" s="1394"/>
      <c r="G11" s="1389"/>
      <c r="H11" s="1387" t="s">
        <v>198</v>
      </c>
      <c r="I11" s="1390">
        <v>285000000</v>
      </c>
      <c r="J11" s="1393">
        <f>ROUND(I11*8%,0)</f>
        <v>22800000</v>
      </c>
      <c r="K11" s="1390">
        <f>+J11+I11</f>
        <v>307800000</v>
      </c>
      <c r="L11" s="1395"/>
      <c r="M11" s="1396">
        <f>((I1+I2)/1.1)*F11*1.1</f>
        <v>0</v>
      </c>
      <c r="N11" s="1379"/>
      <c r="O11" s="1381"/>
      <c r="P11" s="1381"/>
      <c r="Q11" s="1381"/>
      <c r="R11" s="1381"/>
      <c r="S11" s="1382">
        <f>$S$7</f>
        <v>0</v>
      </c>
    </row>
    <row r="12" spans="1:19" ht="18" customHeight="1">
      <c r="A12" s="1384">
        <v>4</v>
      </c>
      <c r="B12" s="1385" t="s">
        <v>525</v>
      </c>
      <c r="C12" s="1386" t="s">
        <v>517</v>
      </c>
      <c r="D12" s="1386" t="s">
        <v>518</v>
      </c>
      <c r="E12" s="1387" t="str">
        <f t="shared" si="3"/>
        <v>TV4</v>
      </c>
      <c r="F12" s="1394"/>
      <c r="G12" s="1389"/>
      <c r="H12" s="1387" t="s">
        <v>198</v>
      </c>
      <c r="I12" s="1390">
        <f>+ROUND(K12/1.08,0)</f>
        <v>277777778</v>
      </c>
      <c r="J12" s="1393">
        <f>ROUND(I12*8%,0)</f>
        <v>22222222</v>
      </c>
      <c r="K12" s="1390">
        <v>300000000</v>
      </c>
      <c r="L12" s="1395"/>
      <c r="M12" s="1396">
        <f>((I2+I3)/1.1)*F12*1.1</f>
        <v>0</v>
      </c>
      <c r="N12" s="1379"/>
      <c r="O12" s="1381"/>
      <c r="P12" s="1381"/>
      <c r="Q12" s="1381"/>
      <c r="R12" s="1381"/>
      <c r="S12" s="1382">
        <f>$S$7</f>
        <v>0</v>
      </c>
    </row>
    <row r="13" spans="1:19" ht="58.5">
      <c r="A13" s="1384">
        <v>5</v>
      </c>
      <c r="B13" s="1385" t="s">
        <v>526</v>
      </c>
      <c r="C13" s="1386" t="s">
        <v>527</v>
      </c>
      <c r="D13" s="1386" t="s">
        <v>528</v>
      </c>
      <c r="E13" s="1387" t="str">
        <f t="shared" si="3"/>
        <v>TV5</v>
      </c>
      <c r="F13" s="1388">
        <f t="shared" ref="F13:F21" si="4">ROUND(M13%,5)</f>
        <v>8.1600000000000006E-3</v>
      </c>
      <c r="G13" s="1389"/>
      <c r="H13" s="1387" t="s">
        <v>529</v>
      </c>
      <c r="I13" s="1390">
        <f>ROUND($I$14*F13,0)</f>
        <v>8659203</v>
      </c>
      <c r="J13" s="1393">
        <f>+ROUND(I13*0.08,0)</f>
        <v>692736</v>
      </c>
      <c r="K13" s="1390">
        <f t="shared" ref="K13:K21" si="5">ROUND(I13+J13,0)</f>
        <v>9351939</v>
      </c>
      <c r="L13" s="1392"/>
      <c r="M13" s="1379">
        <v>0.81599999999999995</v>
      </c>
      <c r="N13" s="1381"/>
      <c r="O13" s="1381"/>
      <c r="P13" s="1381"/>
      <c r="Q13" s="1381"/>
      <c r="R13" s="1382">
        <f>I14/10^9</f>
        <v>1.0611768829999999</v>
      </c>
    </row>
    <row r="14" spans="1:19" s="1440" customFormat="1" ht="36" customHeight="1">
      <c r="A14" s="1622">
        <v>6</v>
      </c>
      <c r="B14" s="1623" t="s">
        <v>530</v>
      </c>
      <c r="C14" s="1624" t="s">
        <v>531</v>
      </c>
      <c r="D14" s="1624" t="s">
        <v>532</v>
      </c>
      <c r="E14" s="1625" t="str">
        <f t="shared" si="3"/>
        <v>TV6</v>
      </c>
      <c r="F14" s="1626">
        <f t="shared" si="4"/>
        <v>3.1199999999999999E-2</v>
      </c>
      <c r="G14" s="1627"/>
      <c r="H14" s="1625" t="s">
        <v>533</v>
      </c>
      <c r="I14" s="1628">
        <f>ROUND($I$5*F14,0)</f>
        <v>1061176883</v>
      </c>
      <c r="J14" s="1629">
        <f>ROUND(I14*0.08,0)</f>
        <v>84894151</v>
      </c>
      <c r="K14" s="1628">
        <f t="shared" si="5"/>
        <v>1146071034</v>
      </c>
      <c r="L14" s="1630"/>
      <c r="M14" s="1631">
        <f t="shared" si="2"/>
        <v>3.1198188063411516</v>
      </c>
      <c r="N14" s="1405">
        <v>3.33</v>
      </c>
      <c r="O14" s="1405">
        <v>2.88</v>
      </c>
      <c r="P14" s="1405">
        <v>20</v>
      </c>
      <c r="Q14" s="1405">
        <v>50</v>
      </c>
      <c r="R14" s="1406">
        <f>$I$5/10^9</f>
        <v>34.012079577256571</v>
      </c>
    </row>
    <row r="15" spans="1:19" ht="36" customHeight="1">
      <c r="A15" s="1384">
        <v>7</v>
      </c>
      <c r="B15" s="1385" t="s">
        <v>534</v>
      </c>
      <c r="C15" s="1386" t="s">
        <v>535</v>
      </c>
      <c r="D15" s="1386" t="s">
        <v>536</v>
      </c>
      <c r="E15" s="1387" t="str">
        <f t="shared" si="3"/>
        <v>TV7</v>
      </c>
      <c r="F15" s="1388">
        <f t="shared" si="4"/>
        <v>1.99E-3</v>
      </c>
      <c r="G15" s="1389"/>
      <c r="H15" s="1387" t="s">
        <v>537</v>
      </c>
      <c r="I15" s="1390">
        <f>MAX(ROUND(I5*F15,0),IF(F15 &gt; 0, 2000000, 0))</f>
        <v>67684038</v>
      </c>
      <c r="J15" s="1393">
        <f>ROUND(I15*0.08,0)</f>
        <v>5414723</v>
      </c>
      <c r="K15" s="1390">
        <f t="shared" si="5"/>
        <v>73098761</v>
      </c>
      <c r="L15" s="1392"/>
      <c r="M15" s="1379">
        <f t="shared" si="2"/>
        <v>0.19917946471866382</v>
      </c>
      <c r="N15" s="1381">
        <v>0.223</v>
      </c>
      <c r="O15" s="1381">
        <v>0.17199999999999999</v>
      </c>
      <c r="P15" s="1381">
        <v>20</v>
      </c>
      <c r="Q15" s="1381">
        <v>50</v>
      </c>
      <c r="R15" s="1382">
        <f>$I$5/10^9</f>
        <v>34.012079577256571</v>
      </c>
    </row>
    <row r="16" spans="1:19" ht="36" customHeight="1">
      <c r="A16" s="1384">
        <v>8</v>
      </c>
      <c r="B16" s="1385" t="s">
        <v>538</v>
      </c>
      <c r="C16" s="1386" t="s">
        <v>539</v>
      </c>
      <c r="D16" s="1386" t="s">
        <v>540</v>
      </c>
      <c r="E16" s="1387" t="str">
        <f t="shared" si="3"/>
        <v>TV8</v>
      </c>
      <c r="F16" s="1388">
        <f t="shared" si="4"/>
        <v>1.9400000000000001E-3</v>
      </c>
      <c r="G16" s="1389"/>
      <c r="H16" s="1387" t="s">
        <v>541</v>
      </c>
      <c r="I16" s="1390">
        <f>MAX(ROUND(I5*F16,0),IF(F16 &gt; 0, 2000000, 0))</f>
        <v>65983434</v>
      </c>
      <c r="J16" s="1393">
        <f>ROUND(I16*0.08,0)</f>
        <v>5278675</v>
      </c>
      <c r="K16" s="1390">
        <f t="shared" si="5"/>
        <v>71262109</v>
      </c>
      <c r="L16" s="1392"/>
      <c r="M16" s="1379">
        <f t="shared" si="2"/>
        <v>0.19424532608018008</v>
      </c>
      <c r="N16" s="1381">
        <v>0.219</v>
      </c>
      <c r="O16" s="1381">
        <v>0.16600000000000001</v>
      </c>
      <c r="P16" s="1381">
        <v>20</v>
      </c>
      <c r="Q16" s="1381">
        <v>50</v>
      </c>
      <c r="R16" s="1382">
        <f>$I$5/10^9</f>
        <v>34.012079577256571</v>
      </c>
    </row>
    <row r="17" spans="1:18" ht="36" customHeight="1">
      <c r="A17" s="1384">
        <v>9</v>
      </c>
      <c r="B17" s="1385" t="s">
        <v>542</v>
      </c>
      <c r="C17" s="1386" t="s">
        <v>543</v>
      </c>
      <c r="D17" s="1386" t="s">
        <v>544</v>
      </c>
      <c r="E17" s="1387" t="str">
        <f t="shared" si="3"/>
        <v>TV9</v>
      </c>
      <c r="F17" s="1388">
        <f t="shared" si="4"/>
        <v>2.7499999999999998E-3</v>
      </c>
      <c r="G17" s="1389"/>
      <c r="H17" s="1387" t="s">
        <v>541</v>
      </c>
      <c r="I17" s="1390">
        <f>ROUND($I$5*F17,0)</f>
        <v>93533219</v>
      </c>
      <c r="J17" s="1393">
        <f>ROUND(+I17*0.08,0)</f>
        <v>7482658</v>
      </c>
      <c r="K17" s="1390">
        <f t="shared" si="5"/>
        <v>101015877</v>
      </c>
      <c r="L17" s="1392"/>
      <c r="M17" s="1379">
        <f t="shared" si="2"/>
        <v>0.27547253279447526</v>
      </c>
      <c r="N17" s="1381">
        <v>0.34599999999999997</v>
      </c>
      <c r="O17" s="1381">
        <v>0.19500000000000001</v>
      </c>
      <c r="P17" s="1381">
        <v>20</v>
      </c>
      <c r="Q17" s="1381">
        <v>50</v>
      </c>
      <c r="R17" s="1382">
        <f>$I$5/10^9</f>
        <v>34.012079577256571</v>
      </c>
    </row>
    <row r="18" spans="1:18" ht="36" customHeight="1">
      <c r="A18" s="1384">
        <v>10</v>
      </c>
      <c r="B18" s="1385" t="s">
        <v>545</v>
      </c>
      <c r="C18" s="1386" t="s">
        <v>546</v>
      </c>
      <c r="D18" s="1386" t="s">
        <v>547</v>
      </c>
      <c r="E18" s="1387" t="str">
        <f t="shared" si="3"/>
        <v>TV10</v>
      </c>
      <c r="F18" s="1388">
        <f t="shared" si="4"/>
        <v>3.6700000000000001E-3</v>
      </c>
      <c r="G18" s="1389"/>
      <c r="H18" s="1387" t="s">
        <v>548</v>
      </c>
      <c r="I18" s="1390">
        <f>ROUND(I6*F18,0)</f>
        <v>25079137</v>
      </c>
      <c r="J18" s="1393">
        <f>ROUND(+I18*0.08,0)</f>
        <v>2006331</v>
      </c>
      <c r="K18" s="1390">
        <f t="shared" si="5"/>
        <v>27085468</v>
      </c>
      <c r="L18" s="1392"/>
      <c r="M18" s="1379">
        <v>0.36699999999999999</v>
      </c>
      <c r="N18" s="1381"/>
      <c r="O18" s="1381"/>
      <c r="P18" s="1381"/>
      <c r="Q18" s="1381"/>
      <c r="R18" s="1382">
        <f>I6/10^9</f>
        <v>6.8335524259259248</v>
      </c>
    </row>
    <row r="19" spans="1:18" ht="49.35" customHeight="1">
      <c r="A19" s="1384">
        <v>11</v>
      </c>
      <c r="B19" s="1385" t="s">
        <v>549</v>
      </c>
      <c r="C19" s="1386" t="s">
        <v>527</v>
      </c>
      <c r="D19" s="1386" t="s">
        <v>528</v>
      </c>
      <c r="E19" s="1387" t="str">
        <f t="shared" si="3"/>
        <v>TV11</v>
      </c>
      <c r="F19" s="1388">
        <f t="shared" si="4"/>
        <v>8.1600000000000006E-3</v>
      </c>
      <c r="G19" s="1389"/>
      <c r="H19" s="1387" t="s">
        <v>529</v>
      </c>
      <c r="I19" s="1390">
        <f>ROUND((I20+I21)*F19,0)</f>
        <v>7847605</v>
      </c>
      <c r="J19" s="1393">
        <f>ROUND(+I19*0.08,0)</f>
        <v>627808</v>
      </c>
      <c r="K19" s="1390">
        <f t="shared" si="5"/>
        <v>8475413</v>
      </c>
      <c r="L19" s="1392"/>
      <c r="M19" s="1379">
        <v>0.81599999999999995</v>
      </c>
      <c r="N19" s="1381"/>
      <c r="O19" s="1381"/>
      <c r="P19" s="1381"/>
      <c r="Q19" s="1381"/>
      <c r="R19" s="1382">
        <f>(I20+I21)/10^9</f>
        <v>0.96171625699999996</v>
      </c>
    </row>
    <row r="20" spans="1:18" ht="34.700000000000003" customHeight="1">
      <c r="A20" s="1384">
        <v>12</v>
      </c>
      <c r="B20" s="1385" t="s">
        <v>550</v>
      </c>
      <c r="C20" s="1386" t="s">
        <v>551</v>
      </c>
      <c r="D20" s="1386" t="s">
        <v>552</v>
      </c>
      <c r="E20" s="1387" t="str">
        <f t="shared" si="3"/>
        <v>TV12</v>
      </c>
      <c r="F20" s="1388">
        <f t="shared" si="4"/>
        <v>2.6579999999999999E-2</v>
      </c>
      <c r="G20" s="1389"/>
      <c r="H20" s="1387" t="s">
        <v>541</v>
      </c>
      <c r="I20" s="1390">
        <f>ROUND($I$5*F20,0)</f>
        <v>904041075</v>
      </c>
      <c r="J20" s="1393">
        <f>ROUND(+I20*0.08,0)</f>
        <v>72323286</v>
      </c>
      <c r="K20" s="1390">
        <f t="shared" si="5"/>
        <v>976364361</v>
      </c>
      <c r="L20" s="1392"/>
      <c r="M20" s="1379">
        <f t="shared" si="2"/>
        <v>2.657765024556892</v>
      </c>
      <c r="N20" s="1381">
        <v>2.8530000000000002</v>
      </c>
      <c r="O20" s="1381">
        <v>2.4350000000000001</v>
      </c>
      <c r="P20" s="1381">
        <v>20</v>
      </c>
      <c r="Q20" s="1381">
        <v>50</v>
      </c>
      <c r="R20" s="1382">
        <f>$I$5/10^9</f>
        <v>34.012079577256571</v>
      </c>
    </row>
    <row r="21" spans="1:18" ht="34.700000000000003" customHeight="1">
      <c r="A21" s="1384">
        <v>13</v>
      </c>
      <c r="B21" s="1385" t="s">
        <v>553</v>
      </c>
      <c r="C21" s="1386" t="s">
        <v>554</v>
      </c>
      <c r="D21" s="1386" t="s">
        <v>555</v>
      </c>
      <c r="E21" s="1387" t="str">
        <f t="shared" si="3"/>
        <v>TV13</v>
      </c>
      <c r="F21" s="1388">
        <f t="shared" si="4"/>
        <v>8.4399999999999996E-3</v>
      </c>
      <c r="G21" s="1389"/>
      <c r="H21" s="1387" t="s">
        <v>548</v>
      </c>
      <c r="I21" s="1390">
        <f>ROUND($I$6*F21,0)</f>
        <v>57675182</v>
      </c>
      <c r="J21" s="1393">
        <f>+ROUND(I21*0.08,0)</f>
        <v>4614015</v>
      </c>
      <c r="K21" s="1390">
        <f t="shared" si="5"/>
        <v>62289197</v>
      </c>
      <c r="L21" s="1392"/>
      <c r="M21" s="1381">
        <v>0.84399999999999997</v>
      </c>
    </row>
    <row r="22" spans="1:18" ht="36" customHeight="1">
      <c r="A22" s="1384">
        <v>14</v>
      </c>
      <c r="B22" s="1385" t="s">
        <v>556</v>
      </c>
      <c r="C22" s="1386"/>
      <c r="D22" s="1386"/>
      <c r="E22" s="1387" t="str">
        <f t="shared" si="3"/>
        <v>TV14</v>
      </c>
      <c r="F22" s="1388">
        <v>5.0000000000000001E-3</v>
      </c>
      <c r="G22" s="1389"/>
      <c r="H22" s="1387" t="s">
        <v>548</v>
      </c>
      <c r="I22" s="1390">
        <f>ROUND(0.5%*I6,0)</f>
        <v>34167762</v>
      </c>
      <c r="J22" s="1393">
        <f>ROUND(I22*0.08,0)</f>
        <v>2733421</v>
      </c>
      <c r="K22" s="1390">
        <f>ROUND(I22+J22,0)</f>
        <v>36901183</v>
      </c>
      <c r="L22" s="1392"/>
      <c r="M22" s="1379"/>
      <c r="N22" s="1381"/>
      <c r="O22" s="1381"/>
      <c r="P22" s="1381"/>
      <c r="Q22" s="1381"/>
      <c r="R22" s="1382"/>
    </row>
    <row r="23" spans="1:18" ht="20.100000000000001" customHeight="1">
      <c r="A23" s="1363" t="s">
        <v>557</v>
      </c>
      <c r="B23" s="1369" t="s">
        <v>558</v>
      </c>
      <c r="C23" s="1370"/>
      <c r="D23" s="1370"/>
      <c r="E23" s="1370" t="s">
        <v>559</v>
      </c>
      <c r="F23" s="1371"/>
      <c r="G23" s="1372"/>
      <c r="H23" s="1364" t="str">
        <f>E24&amp;"+……+"&amp;E40</f>
        <v>K1+……+K17</v>
      </c>
      <c r="I23" s="1373">
        <f>SUM(I24:I40)</f>
        <v>712310637</v>
      </c>
      <c r="J23" s="1374">
        <f>SUM(J24:J40)</f>
        <v>20106186</v>
      </c>
      <c r="K23" s="1373">
        <f>SUM(K24:K40)</f>
        <v>732416823</v>
      </c>
      <c r="L23" s="1375"/>
    </row>
    <row r="24" spans="1:18" ht="30">
      <c r="A24" s="1384">
        <v>1</v>
      </c>
      <c r="B24" s="1407" t="s">
        <v>560</v>
      </c>
      <c r="C24" s="1386" t="s">
        <v>561</v>
      </c>
      <c r="D24" s="1386" t="s">
        <v>561</v>
      </c>
      <c r="E24" s="1386" t="str">
        <f>"K"&amp;A24</f>
        <v>K1</v>
      </c>
      <c r="F24" s="1408">
        <v>8.0000000000000004E-4</v>
      </c>
      <c r="G24" s="1389"/>
      <c r="H24" s="1387" t="s">
        <v>541</v>
      </c>
      <c r="I24" s="1390">
        <f>ROUND(I5*F24,0)</f>
        <v>27209664</v>
      </c>
      <c r="J24" s="1393">
        <f>ROUND(I24*0.08,0)</f>
        <v>2176773</v>
      </c>
      <c r="K24" s="1390">
        <f t="shared" ref="K24:K34" si="6">ROUND(I24+J24,0)</f>
        <v>29386437</v>
      </c>
      <c r="L24" s="1392"/>
    </row>
    <row r="25" spans="1:18" ht="30">
      <c r="A25" s="1384">
        <v>2</v>
      </c>
      <c r="B25" s="1407" t="s">
        <v>562</v>
      </c>
      <c r="C25" s="1386" t="s">
        <v>563</v>
      </c>
      <c r="D25" s="1386" t="s">
        <v>564</v>
      </c>
      <c r="E25" s="1386" t="str">
        <f t="shared" ref="E25:E40" si="7">"K"&amp;A25</f>
        <v>K2</v>
      </c>
      <c r="F25" s="1388">
        <f>ROUND(M25%,6)</f>
        <v>1.4999999999999999E-4</v>
      </c>
      <c r="G25" s="1389"/>
      <c r="H25" s="1387" t="s">
        <v>565</v>
      </c>
      <c r="I25" s="1390">
        <f>+M45*F25*50%</f>
        <v>3749999.9999999995</v>
      </c>
      <c r="J25" s="1393"/>
      <c r="K25" s="1390">
        <f t="shared" si="6"/>
        <v>3750000</v>
      </c>
      <c r="L25" s="1392"/>
      <c r="M25" s="1379">
        <f t="shared" ref="M25:M39" si="8">FORECAST(R25,N25:O25,P25:Q25)</f>
        <v>1.4999999999999999E-2</v>
      </c>
      <c r="N25" s="1381">
        <v>1.4999999999999999E-2</v>
      </c>
      <c r="O25" s="1381">
        <v>1.2500000000000001E-2</v>
      </c>
      <c r="P25" s="1381">
        <v>50</v>
      </c>
      <c r="Q25" s="1381">
        <v>100</v>
      </c>
      <c r="R25" s="1382">
        <f>$M$45/10^9</f>
        <v>50</v>
      </c>
    </row>
    <row r="26" spans="1:18" ht="30">
      <c r="A26" s="1384">
        <v>3</v>
      </c>
      <c r="B26" s="1407" t="s">
        <v>566</v>
      </c>
      <c r="C26" s="1386" t="s">
        <v>563</v>
      </c>
      <c r="D26" s="1386" t="s">
        <v>564</v>
      </c>
      <c r="E26" s="1386" t="str">
        <f t="shared" si="7"/>
        <v>K3</v>
      </c>
      <c r="F26" s="1388"/>
      <c r="G26" s="1389"/>
      <c r="H26" s="1387" t="s">
        <v>567</v>
      </c>
      <c r="I26" s="1390">
        <v>19300000</v>
      </c>
      <c r="J26" s="1393"/>
      <c r="K26" s="1390">
        <f t="shared" si="6"/>
        <v>19300000</v>
      </c>
      <c r="L26" s="1392"/>
      <c r="M26" s="1379"/>
      <c r="N26" s="1381"/>
      <c r="O26" s="1381"/>
      <c r="P26" s="1381"/>
      <c r="Q26" s="1381"/>
      <c r="R26" s="1382"/>
    </row>
    <row r="27" spans="1:18" ht="45">
      <c r="A27" s="1384">
        <v>4</v>
      </c>
      <c r="B27" s="1385" t="s">
        <v>568</v>
      </c>
      <c r="C27" s="1386"/>
      <c r="D27" s="1386"/>
      <c r="E27" s="1386" t="str">
        <f t="shared" si="7"/>
        <v>K4</v>
      </c>
      <c r="F27" s="1408">
        <v>1E-3</v>
      </c>
      <c r="G27" s="1409"/>
      <c r="H27" s="1387" t="s">
        <v>529</v>
      </c>
      <c r="I27" s="1390">
        <f>MAX(ROUND($I$14*F27,0),2000000)</f>
        <v>2000000</v>
      </c>
      <c r="J27" s="1393"/>
      <c r="K27" s="1390">
        <f t="shared" si="6"/>
        <v>2000000</v>
      </c>
      <c r="L27" s="1392"/>
      <c r="M27" s="1379"/>
      <c r="N27" s="1381"/>
      <c r="O27" s="1381"/>
      <c r="P27" s="1381"/>
      <c r="Q27" s="1381"/>
      <c r="R27" s="1382"/>
    </row>
    <row r="28" spans="1:18" ht="47.45" customHeight="1">
      <c r="A28" s="1384">
        <v>5</v>
      </c>
      <c r="B28" s="1385" t="s">
        <v>569</v>
      </c>
      <c r="C28" s="1386"/>
      <c r="D28" s="1386"/>
      <c r="E28" s="1387" t="str">
        <f t="shared" si="7"/>
        <v>K5</v>
      </c>
      <c r="F28" s="1388">
        <v>1E-3</v>
      </c>
      <c r="G28" s="1389"/>
      <c r="H28" s="1387" t="s">
        <v>529</v>
      </c>
      <c r="I28" s="1390">
        <f>MAX(ROUND($I$14*F28,0),3000000)</f>
        <v>3000000</v>
      </c>
      <c r="J28" s="1393"/>
      <c r="K28" s="1390">
        <f t="shared" si="6"/>
        <v>3000000</v>
      </c>
      <c r="L28" s="1392"/>
      <c r="M28" s="1381"/>
    </row>
    <row r="29" spans="1:18" ht="33" customHeight="1">
      <c r="A29" s="1384">
        <v>6</v>
      </c>
      <c r="B29" s="1385" t="s">
        <v>570</v>
      </c>
      <c r="C29" s="1386"/>
      <c r="D29" s="1386"/>
      <c r="E29" s="1386" t="str">
        <f t="shared" si="7"/>
        <v>K6</v>
      </c>
      <c r="F29" s="1408">
        <v>1E-3</v>
      </c>
      <c r="G29" s="1409"/>
      <c r="H29" s="1387" t="s">
        <v>541</v>
      </c>
      <c r="I29" s="1390">
        <f>MAX(ROUND(I5*F29,0),2000000)</f>
        <v>34012080</v>
      </c>
      <c r="J29" s="1393"/>
      <c r="K29" s="1390">
        <f t="shared" si="6"/>
        <v>34012080</v>
      </c>
      <c r="L29" s="1392"/>
      <c r="M29" s="1379"/>
      <c r="N29" s="1381"/>
      <c r="O29" s="1381"/>
      <c r="P29" s="1381"/>
      <c r="Q29" s="1381"/>
      <c r="R29" s="1382"/>
    </row>
    <row r="30" spans="1:18" ht="33" customHeight="1">
      <c r="A30" s="1384">
        <v>7</v>
      </c>
      <c r="B30" s="1385" t="s">
        <v>571</v>
      </c>
      <c r="C30" s="1386"/>
      <c r="D30" s="1386"/>
      <c r="E30" s="1386" t="str">
        <f t="shared" si="7"/>
        <v>K7</v>
      </c>
      <c r="F30" s="1408">
        <v>1E-3</v>
      </c>
      <c r="G30" s="1409"/>
      <c r="H30" s="1387" t="s">
        <v>541</v>
      </c>
      <c r="I30" s="1390">
        <f>MAX(ROUND(I5*F30,0),3000000)</f>
        <v>34012080</v>
      </c>
      <c r="J30" s="1393"/>
      <c r="K30" s="1390">
        <f t="shared" si="6"/>
        <v>34012080</v>
      </c>
      <c r="L30" s="1392"/>
      <c r="M30" s="1379"/>
      <c r="N30" s="1381"/>
      <c r="O30" s="1381"/>
      <c r="P30" s="1381"/>
      <c r="Q30" s="1381"/>
      <c r="R30" s="1382"/>
    </row>
    <row r="31" spans="1:18" ht="33" customHeight="1">
      <c r="A31" s="1384">
        <v>8</v>
      </c>
      <c r="B31" s="1385" t="s">
        <v>572</v>
      </c>
      <c r="C31" s="1386"/>
      <c r="D31" s="1386"/>
      <c r="E31" s="1387" t="str">
        <f t="shared" si="7"/>
        <v>K8</v>
      </c>
      <c r="F31" s="1408">
        <v>1E-3</v>
      </c>
      <c r="G31" s="1409"/>
      <c r="H31" s="1387" t="s">
        <v>548</v>
      </c>
      <c r="I31" s="1390">
        <f>MAX(ROUND(I6*F31,0),2000000)</f>
        <v>6833552</v>
      </c>
      <c r="J31" s="1393"/>
      <c r="K31" s="1390">
        <f t="shared" si="6"/>
        <v>6833552</v>
      </c>
      <c r="L31" s="1392"/>
      <c r="M31" s="1379"/>
      <c r="N31" s="1381"/>
      <c r="O31" s="1381"/>
      <c r="P31" s="1381"/>
      <c r="Q31" s="1381"/>
      <c r="R31" s="1382"/>
    </row>
    <row r="32" spans="1:18" ht="33" customHeight="1">
      <c r="A32" s="1384">
        <v>9</v>
      </c>
      <c r="B32" s="1385" t="s">
        <v>573</v>
      </c>
      <c r="C32" s="1386"/>
      <c r="D32" s="1386"/>
      <c r="E32" s="1387" t="str">
        <f t="shared" si="7"/>
        <v>K9</v>
      </c>
      <c r="F32" s="1408">
        <v>1E-3</v>
      </c>
      <c r="G32" s="1409"/>
      <c r="H32" s="1387" t="s">
        <v>548</v>
      </c>
      <c r="I32" s="1390">
        <f>MAX(ROUND(I6*F32,0),3000000)</f>
        <v>6833552</v>
      </c>
      <c r="J32" s="1393"/>
      <c r="K32" s="1390">
        <f t="shared" si="6"/>
        <v>6833552</v>
      </c>
      <c r="L32" s="1392"/>
      <c r="M32" s="1379"/>
      <c r="N32" s="1381"/>
      <c r="O32" s="1381"/>
      <c r="P32" s="1381"/>
      <c r="Q32" s="1381"/>
      <c r="R32" s="1382"/>
    </row>
    <row r="33" spans="1:18" ht="49.7" customHeight="1">
      <c r="A33" s="1384">
        <v>10</v>
      </c>
      <c r="B33" s="1385" t="s">
        <v>574</v>
      </c>
      <c r="C33" s="1386"/>
      <c r="D33" s="1386"/>
      <c r="E33" s="1387" t="str">
        <f t="shared" si="7"/>
        <v>K10</v>
      </c>
      <c r="F33" s="1408">
        <v>1E-3</v>
      </c>
      <c r="G33" s="1409"/>
      <c r="H33" s="1387" t="s">
        <v>529</v>
      </c>
      <c r="I33" s="1390">
        <f>MAX(ROUND((I20+I21)*F33,0),2000000)</f>
        <v>2000000</v>
      </c>
      <c r="J33" s="1393"/>
      <c r="K33" s="1390">
        <f t="shared" si="6"/>
        <v>2000000</v>
      </c>
      <c r="L33" s="1392"/>
      <c r="M33" s="1379"/>
      <c r="N33" s="1381"/>
      <c r="O33" s="1381"/>
      <c r="P33" s="1381"/>
      <c r="Q33" s="1381"/>
      <c r="R33" s="1382"/>
    </row>
    <row r="34" spans="1:18" ht="49.7" customHeight="1">
      <c r="A34" s="1384">
        <v>11</v>
      </c>
      <c r="B34" s="1385" t="s">
        <v>575</v>
      </c>
      <c r="C34" s="1386"/>
      <c r="D34" s="1386"/>
      <c r="E34" s="1387" t="str">
        <f t="shared" si="7"/>
        <v>K11</v>
      </c>
      <c r="F34" s="1408">
        <v>1E-3</v>
      </c>
      <c r="G34" s="1409"/>
      <c r="H34" s="1387" t="s">
        <v>529</v>
      </c>
      <c r="I34" s="1390">
        <f>MAX(ROUND((I21+I20)*F34,0),3000000)</f>
        <v>3000000</v>
      </c>
      <c r="J34" s="1393"/>
      <c r="K34" s="1390">
        <f t="shared" si="6"/>
        <v>3000000</v>
      </c>
      <c r="L34" s="1392"/>
      <c r="M34" s="1379"/>
      <c r="N34" s="1381"/>
      <c r="O34" s="1381"/>
      <c r="P34" s="1381"/>
      <c r="Q34" s="1381"/>
      <c r="R34" s="1382"/>
    </row>
    <row r="35" spans="1:18" ht="43.5" customHeight="1">
      <c r="A35" s="1397">
        <v>12</v>
      </c>
      <c r="B35" s="1398" t="s">
        <v>576</v>
      </c>
      <c r="C35" s="1399" t="s">
        <v>577</v>
      </c>
      <c r="D35" s="1399" t="s">
        <v>578</v>
      </c>
      <c r="E35" s="1400" t="str">
        <f t="shared" si="7"/>
        <v>K12</v>
      </c>
      <c r="F35" s="1401">
        <f>ROUND(M35%,5)</f>
        <v>2.8600000000000001E-3</v>
      </c>
      <c r="G35" s="1402"/>
      <c r="H35" s="1400" t="s">
        <v>579</v>
      </c>
      <c r="I35" s="1403">
        <f>ROUND(MAX(ROUND(M41*F35,0),IF(F35 &gt; 0,500000,0))*0.5,0)</f>
        <v>71061699</v>
      </c>
      <c r="J35" s="1404"/>
      <c r="K35" s="1403">
        <f>ROUND(I35,0)</f>
        <v>71061699</v>
      </c>
      <c r="L35" s="1410"/>
      <c r="M35" s="1379">
        <f t="shared" si="8"/>
        <v>0.28580457468362275</v>
      </c>
      <c r="N35" s="1381">
        <v>0.39</v>
      </c>
      <c r="O35" s="1381">
        <v>0.28499999999999998</v>
      </c>
      <c r="P35" s="1381">
        <v>10</v>
      </c>
      <c r="Q35" s="1381">
        <v>50</v>
      </c>
      <c r="R35" s="1382">
        <f>$M$41/10^9</f>
        <v>49.693495358619892</v>
      </c>
    </row>
    <row r="36" spans="1:18" ht="31.15" customHeight="1">
      <c r="A36" s="1397">
        <v>13</v>
      </c>
      <c r="B36" s="1398" t="s">
        <v>580</v>
      </c>
      <c r="C36" s="1399" t="s">
        <v>581</v>
      </c>
      <c r="D36" s="1399" t="s">
        <v>582</v>
      </c>
      <c r="E36" s="1400" t="str">
        <f t="shared" si="7"/>
        <v>K13</v>
      </c>
      <c r="F36" s="1401">
        <f>ROUND(M36%,5)</f>
        <v>4.5100000000000001E-3</v>
      </c>
      <c r="G36" s="1402"/>
      <c r="H36" s="1400" t="s">
        <v>583</v>
      </c>
      <c r="I36" s="1403">
        <f>MAX(ROUND(M41*F36,0),IF(F36 &gt; 0,1000000,0))</f>
        <v>224117664</v>
      </c>
      <c r="J36" s="1404">
        <f>ROUND(I36*0.08,0)</f>
        <v>17929413</v>
      </c>
      <c r="K36" s="1403">
        <f t="shared" ref="K36:K40" si="9">ROUND(I36+J36,0)</f>
        <v>242047077</v>
      </c>
      <c r="L36" s="1410"/>
      <c r="M36" s="1379">
        <f t="shared" si="8"/>
        <v>0.45149421012672797</v>
      </c>
      <c r="N36" s="1381">
        <v>0.64500000000000002</v>
      </c>
      <c r="O36" s="1381">
        <v>0.45</v>
      </c>
      <c r="P36" s="1381">
        <v>10</v>
      </c>
      <c r="Q36" s="1381">
        <v>50</v>
      </c>
      <c r="R36" s="1382">
        <f>$M$41/10^9</f>
        <v>49.693495358619892</v>
      </c>
    </row>
    <row r="37" spans="1:18" ht="31.15" customHeight="1">
      <c r="A37" s="1384">
        <v>14</v>
      </c>
      <c r="B37" s="1407" t="s">
        <v>584</v>
      </c>
      <c r="C37" s="1386" t="s">
        <v>585</v>
      </c>
      <c r="D37" s="1386" t="s">
        <v>586</v>
      </c>
      <c r="E37" s="1386" t="str">
        <f t="shared" si="7"/>
        <v>K14</v>
      </c>
      <c r="F37" s="1388">
        <f>ROUND(M37%,5)</f>
        <v>1.3500000000000001E-3</v>
      </c>
      <c r="G37" s="1389"/>
      <c r="H37" s="1387" t="s">
        <v>541</v>
      </c>
      <c r="I37" s="1390">
        <f>ROUND(I5*F37,0)</f>
        <v>45916307</v>
      </c>
      <c r="J37" s="1393"/>
      <c r="K37" s="1390">
        <f t="shared" si="9"/>
        <v>45916307</v>
      </c>
      <c r="L37" s="1392"/>
      <c r="M37" s="1379">
        <f t="shared" si="8"/>
        <v>0.1351238749500254</v>
      </c>
      <c r="N37" s="1381">
        <v>0.16500000000000001</v>
      </c>
      <c r="O37" s="1381">
        <v>0.11</v>
      </c>
      <c r="P37" s="1381">
        <v>15</v>
      </c>
      <c r="Q37" s="1381">
        <v>50</v>
      </c>
      <c r="R37" s="1382">
        <f>$I$5/10^9</f>
        <v>34.012079577256571</v>
      </c>
    </row>
    <row r="38" spans="1:18" ht="35.450000000000003" customHeight="1">
      <c r="A38" s="1384">
        <v>15</v>
      </c>
      <c r="B38" s="1407" t="s">
        <v>587</v>
      </c>
      <c r="C38" s="1386" t="s">
        <v>588</v>
      </c>
      <c r="D38" s="1386" t="s">
        <v>589</v>
      </c>
      <c r="E38" s="1386" t="str">
        <f t="shared" si="7"/>
        <v>K15</v>
      </c>
      <c r="F38" s="1388">
        <f>ROUND(M38%,5)</f>
        <v>1.31E-3</v>
      </c>
      <c r="G38" s="1389"/>
      <c r="H38" s="1387" t="s">
        <v>541</v>
      </c>
      <c r="I38" s="1390">
        <f>ROUND(I5*F38,0)</f>
        <v>44555824</v>
      </c>
      <c r="J38" s="1393"/>
      <c r="K38" s="1390">
        <f t="shared" si="9"/>
        <v>44555824</v>
      </c>
      <c r="L38" s="1392"/>
      <c r="M38" s="1379">
        <f t="shared" si="8"/>
        <v>0.1306670772236613</v>
      </c>
      <c r="N38" s="1381">
        <v>0.16</v>
      </c>
      <c r="O38" s="1381">
        <v>0.106</v>
      </c>
      <c r="P38" s="1381">
        <v>15</v>
      </c>
      <c r="Q38" s="1381">
        <v>50</v>
      </c>
      <c r="R38" s="1382">
        <f>$I$5/10^9</f>
        <v>34.012079577256571</v>
      </c>
    </row>
    <row r="39" spans="1:18" ht="33" customHeight="1">
      <c r="A39" s="1384">
        <v>16</v>
      </c>
      <c r="B39" s="1385" t="s">
        <v>590</v>
      </c>
      <c r="C39" s="1386" t="s">
        <v>591</v>
      </c>
      <c r="D39" s="1386" t="s">
        <v>592</v>
      </c>
      <c r="E39" s="1386" t="str">
        <f t="shared" si="7"/>
        <v>K16</v>
      </c>
      <c r="F39" s="1411">
        <f>+ROUND(M39%,6)</f>
        <v>7.7999999999999999E-5</v>
      </c>
      <c r="G39" s="1389"/>
      <c r="H39" s="1387" t="s">
        <v>593</v>
      </c>
      <c r="I39" s="1390">
        <f>MIN(MAX(ROUND(M45*F39,0),IF(F39&gt;0,500000,0)),150000000)</f>
        <v>3900000</v>
      </c>
      <c r="J39" s="1393"/>
      <c r="K39" s="1390">
        <f t="shared" si="9"/>
        <v>3900000</v>
      </c>
      <c r="L39" s="1392"/>
      <c r="M39" s="1412">
        <f t="shared" si="8"/>
        <v>7.8417647058823536E-3</v>
      </c>
      <c r="N39" s="1381">
        <v>9.6699999999999998E-3</v>
      </c>
      <c r="O39" s="1381">
        <v>5.2300000000000003E-3</v>
      </c>
      <c r="P39" s="1381">
        <v>15</v>
      </c>
      <c r="Q39" s="1381">
        <v>100</v>
      </c>
      <c r="R39" s="1382">
        <f>$M$45/10^9</f>
        <v>50</v>
      </c>
    </row>
    <row r="40" spans="1:18" ht="32.450000000000003" customHeight="1">
      <c r="A40" s="1384">
        <v>17</v>
      </c>
      <c r="B40" s="1385" t="s">
        <v>594</v>
      </c>
      <c r="C40" s="1386"/>
      <c r="D40" s="1386"/>
      <c r="E40" s="1386" t="str">
        <f t="shared" si="7"/>
        <v>K17</v>
      </c>
      <c r="F40" s="1413">
        <v>0.2</v>
      </c>
      <c r="G40" s="1389"/>
      <c r="H40" s="1387" t="s">
        <v>595</v>
      </c>
      <c r="I40" s="1390">
        <f>ROUND(I20*F40,0)</f>
        <v>180808215</v>
      </c>
      <c r="J40" s="1393">
        <v>0</v>
      </c>
      <c r="K40" s="1390">
        <f t="shared" si="9"/>
        <v>180808215</v>
      </c>
      <c r="L40" s="1392"/>
    </row>
    <row r="41" spans="1:18" ht="20.100000000000001" customHeight="1">
      <c r="A41" s="1384"/>
      <c r="B41" s="1364" t="s">
        <v>596</v>
      </c>
      <c r="C41" s="1386"/>
      <c r="D41" s="1386"/>
      <c r="E41" s="1386"/>
      <c r="F41" s="1414"/>
      <c r="G41" s="1389"/>
      <c r="H41" s="1387"/>
      <c r="I41" s="1373">
        <f>I5+I6+I7+I8+I23</f>
        <v>45845505024.182495</v>
      </c>
      <c r="J41" s="1374">
        <f>+J5+J6+J7+J8+J23</f>
        <v>3547946356.1805258</v>
      </c>
      <c r="K41" s="1373">
        <f>K5+K6+K7+K8+K23</f>
        <v>49393451380</v>
      </c>
      <c r="L41" s="1375"/>
      <c r="M41" s="1415">
        <v>49693495358.619888</v>
      </c>
      <c r="N41" s="1353">
        <f>10%*K41</f>
        <v>4939345138</v>
      </c>
    </row>
    <row r="42" spans="1:18" ht="20.100000000000001" customHeight="1">
      <c r="A42" s="1363" t="s">
        <v>597</v>
      </c>
      <c r="B42" s="1369" t="s">
        <v>598</v>
      </c>
      <c r="C42" s="1370"/>
      <c r="D42" s="1370"/>
      <c r="E42" s="1370" t="s">
        <v>599</v>
      </c>
      <c r="F42" s="1371"/>
      <c r="G42" s="1372"/>
      <c r="H42" s="1364" t="s">
        <v>600</v>
      </c>
      <c r="I42" s="1373">
        <f>SUM(I43:I44)</f>
        <v>0</v>
      </c>
      <c r="J42" s="1374">
        <f>SUM(J43:J44)</f>
        <v>0</v>
      </c>
      <c r="K42" s="1373">
        <f>50000000000-K41</f>
        <v>606548620</v>
      </c>
      <c r="L42" s="1375"/>
      <c r="N42" s="1416">
        <f>K42/K41</f>
        <v>1.227994001337592E-2</v>
      </c>
    </row>
    <row r="43" spans="1:18" ht="18" customHeight="1">
      <c r="A43" s="1384">
        <v>1</v>
      </c>
      <c r="B43" s="1385" t="s">
        <v>601</v>
      </c>
      <c r="C43" s="1386" t="s">
        <v>602</v>
      </c>
      <c r="D43" s="1386" t="s">
        <v>602</v>
      </c>
      <c r="E43" s="1417" t="s">
        <v>603</v>
      </c>
      <c r="F43" s="1418">
        <f>N42</f>
        <v>1.227994001337592E-2</v>
      </c>
      <c r="G43" s="1389"/>
      <c r="H43" s="1387" t="str">
        <f>CONCATENATE(ROUND(F43*100,4),"% x (I+II+III+IV+V)")</f>
        <v>1,228% x (I+II+III+IV+V)</v>
      </c>
      <c r="I43" s="1390"/>
      <c r="J43" s="1393"/>
      <c r="K43" s="1390">
        <f>N42*K41</f>
        <v>606548620</v>
      </c>
      <c r="L43" s="1392"/>
      <c r="M43" s="1353">
        <f>+K41*0.1</f>
        <v>4939345138</v>
      </c>
      <c r="N43" s="1377"/>
    </row>
    <row r="44" spans="1:18" ht="18.75" hidden="1">
      <c r="A44" s="1384">
        <v>2</v>
      </c>
      <c r="B44" s="1385" t="s">
        <v>224</v>
      </c>
      <c r="C44" s="1386" t="s">
        <v>604</v>
      </c>
      <c r="D44" s="1386" t="s">
        <v>604</v>
      </c>
      <c r="E44" s="1417" t="s">
        <v>605</v>
      </c>
      <c r="F44" s="1408"/>
      <c r="G44" s="1389"/>
      <c r="H44" s="1387" t="s">
        <v>606</v>
      </c>
      <c r="I44" s="1390"/>
      <c r="J44" s="1393"/>
      <c r="K44" s="1390">
        <v>0</v>
      </c>
      <c r="L44" s="1392"/>
      <c r="M44" s="1377">
        <f>'[11]TRƯỢT GIÁ'!H22</f>
        <v>969982913</v>
      </c>
    </row>
    <row r="45" spans="1:18" ht="20.100000000000001" customHeight="1">
      <c r="A45" s="1384"/>
      <c r="B45" s="1364" t="s">
        <v>357</v>
      </c>
      <c r="C45" s="1386"/>
      <c r="D45" s="1386"/>
      <c r="E45" s="1370" t="s">
        <v>607</v>
      </c>
      <c r="F45" s="1419"/>
      <c r="G45" s="1389"/>
      <c r="H45" s="1364" t="s">
        <v>608</v>
      </c>
      <c r="I45" s="1373"/>
      <c r="J45" s="1374"/>
      <c r="K45" s="1373">
        <f>K42+K41</f>
        <v>50000000000</v>
      </c>
      <c r="L45" s="1375"/>
      <c r="M45" s="1420">
        <v>50000000000</v>
      </c>
      <c r="N45" s="1421"/>
    </row>
    <row r="46" spans="1:18" hidden="1">
      <c r="A46" s="1384"/>
      <c r="B46" s="1364"/>
      <c r="C46" s="1386"/>
      <c r="D46" s="1386"/>
      <c r="E46" s="1386"/>
      <c r="F46" s="1419"/>
      <c r="G46" s="1389"/>
      <c r="H46" s="1387"/>
      <c r="I46" s="1390"/>
      <c r="J46" s="1393"/>
      <c r="K46" s="1373"/>
      <c r="L46" s="1375"/>
      <c r="M46" s="1421">
        <f>M45-K45</f>
        <v>0</v>
      </c>
    </row>
    <row r="47" spans="1:18" ht="20.100000000000001" hidden="1" customHeight="1">
      <c r="A47" s="1661"/>
      <c r="B47" s="1661"/>
      <c r="C47" s="1661"/>
      <c r="D47" s="1661"/>
      <c r="E47" s="1661"/>
      <c r="F47" s="1661"/>
      <c r="G47" s="1661"/>
      <c r="H47" s="1661"/>
      <c r="I47" s="1661"/>
      <c r="J47" s="1661"/>
      <c r="K47" s="1661"/>
      <c r="L47" s="1422"/>
      <c r="M47" s="1420">
        <v>68680000000</v>
      </c>
      <c r="N47" s="1353" t="s">
        <v>609</v>
      </c>
    </row>
    <row r="48" spans="1:18" hidden="1">
      <c r="A48" s="1355"/>
      <c r="B48" s="1356"/>
      <c r="C48" s="1357"/>
      <c r="D48" s="1357"/>
      <c r="E48" s="1357"/>
      <c r="F48" s="1355"/>
      <c r="G48" s="1358"/>
      <c r="H48" s="1357"/>
      <c r="I48" s="1359"/>
      <c r="J48" s="1360"/>
      <c r="K48" s="1359"/>
      <c r="L48" s="1359"/>
      <c r="M48" s="1421">
        <f>M47-M45</f>
        <v>18680000000</v>
      </c>
    </row>
    <row r="49" spans="1:14" hidden="1">
      <c r="A49" s="1355"/>
      <c r="B49" s="1423"/>
      <c r="C49" s="1357"/>
      <c r="D49" s="1357"/>
      <c r="E49" s="1357"/>
      <c r="F49" s="1355"/>
      <c r="G49" s="1358"/>
      <c r="H49" s="1357"/>
      <c r="I49" s="1359"/>
      <c r="J49" s="1662" t="s">
        <v>610</v>
      </c>
      <c r="K49" s="1662"/>
      <c r="L49" s="1424"/>
    </row>
    <row r="50" spans="1:14" hidden="1">
      <c r="A50" s="1355"/>
      <c r="B50" s="1356"/>
      <c r="C50" s="1357"/>
      <c r="D50" s="1357"/>
      <c r="E50" s="1357"/>
      <c r="F50" s="1355"/>
      <c r="G50" s="1358"/>
      <c r="H50" s="1357"/>
      <c r="I50" s="1359"/>
      <c r="J50" s="1360"/>
      <c r="K50" s="1359"/>
      <c r="L50" s="1359"/>
    </row>
    <row r="51" spans="1:14" hidden="1">
      <c r="A51" s="1355"/>
      <c r="B51" s="1356"/>
      <c r="C51" s="1357"/>
      <c r="D51" s="1357"/>
      <c r="E51" s="1357"/>
      <c r="F51" s="1355"/>
      <c r="G51" s="1358"/>
      <c r="H51" s="1357"/>
      <c r="I51" s="1359"/>
      <c r="J51" s="1360"/>
      <c r="K51" s="1359"/>
      <c r="L51" s="1359"/>
    </row>
    <row r="52" spans="1:14" hidden="1">
      <c r="A52" s="1355"/>
      <c r="B52" s="1356"/>
      <c r="C52" s="1357"/>
      <c r="D52" s="1357"/>
      <c r="E52" s="1357"/>
      <c r="F52" s="1355"/>
      <c r="G52" s="1358"/>
      <c r="H52" s="1357"/>
      <c r="I52" s="1359"/>
      <c r="J52" s="1360"/>
      <c r="K52" s="1359"/>
      <c r="L52" s="1359"/>
    </row>
    <row r="53" spans="1:14" hidden="1">
      <c r="A53" s="1355"/>
      <c r="B53" s="1356"/>
      <c r="C53" s="1357"/>
      <c r="D53" s="1357"/>
      <c r="E53" s="1357"/>
      <c r="F53" s="1355"/>
      <c r="G53" s="1358"/>
      <c r="H53" s="1357"/>
      <c r="I53" s="1359"/>
      <c r="J53" s="1360"/>
      <c r="K53" s="1359"/>
      <c r="L53" s="1359"/>
    </row>
    <row r="54" spans="1:14" hidden="1">
      <c r="A54" s="1355"/>
      <c r="B54" s="1355"/>
      <c r="C54" s="1355"/>
      <c r="D54" s="1355"/>
      <c r="E54" s="1355"/>
      <c r="F54" s="1355"/>
      <c r="G54" s="1358"/>
      <c r="H54" s="1355"/>
      <c r="I54" s="1425"/>
      <c r="J54" s="1663"/>
      <c r="K54" s="1663"/>
      <c r="L54" s="1355"/>
    </row>
    <row r="55" spans="1:14" hidden="1">
      <c r="A55" s="1355"/>
      <c r="B55" s="1355"/>
      <c r="C55" s="1357"/>
      <c r="D55" s="1357"/>
      <c r="E55" s="1357"/>
      <c r="F55" s="1355"/>
      <c r="G55" s="1358"/>
      <c r="H55" s="1357"/>
      <c r="I55" s="1359"/>
      <c r="J55" s="1658"/>
      <c r="K55" s="1658"/>
      <c r="L55" s="1426"/>
    </row>
    <row r="56" spans="1:14" hidden="1">
      <c r="A56" s="1355"/>
      <c r="B56" s="1356"/>
      <c r="C56" s="1357"/>
      <c r="D56" s="1357"/>
      <c r="E56" s="1357"/>
      <c r="F56" s="1355"/>
      <c r="G56" s="1358"/>
      <c r="H56" s="1357"/>
      <c r="I56" s="1359"/>
      <c r="J56" s="1658"/>
      <c r="K56" s="1658"/>
      <c r="L56" s="1426"/>
    </row>
    <row r="57" spans="1:14">
      <c r="A57" s="1355"/>
      <c r="B57" s="1356"/>
      <c r="C57" s="1357"/>
      <c r="D57" s="1357"/>
      <c r="E57" s="1357"/>
      <c r="F57" s="1355"/>
      <c r="G57" s="1358"/>
      <c r="H57" s="1357"/>
      <c r="I57" s="1359"/>
      <c r="J57" s="1360"/>
      <c r="K57" s="1359"/>
      <c r="L57" s="1359"/>
    </row>
    <row r="58" spans="1:14" ht="15.75">
      <c r="A58" s="1355"/>
      <c r="B58" s="1356"/>
      <c r="C58" s="1357"/>
      <c r="D58" s="1357"/>
      <c r="E58" s="1357"/>
      <c r="F58" s="1355"/>
      <c r="G58" s="1358"/>
      <c r="H58" s="1357"/>
      <c r="I58" s="1664"/>
      <c r="J58" s="1664"/>
      <c r="K58" s="1664"/>
      <c r="L58" s="1427"/>
      <c r="M58" s="1428"/>
      <c r="N58" s="1428"/>
    </row>
    <row r="59" spans="1:14" ht="15.75">
      <c r="A59" s="1355"/>
      <c r="B59" s="1356"/>
      <c r="C59" s="1357"/>
      <c r="D59" s="1357"/>
      <c r="E59" s="1357"/>
      <c r="F59" s="1355"/>
      <c r="G59" s="1358"/>
      <c r="H59" s="1357"/>
      <c r="I59" s="1665"/>
      <c r="J59" s="1665"/>
      <c r="K59" s="1665"/>
      <c r="L59" s="1429"/>
      <c r="M59" s="1430"/>
      <c r="N59" s="1430"/>
    </row>
    <row r="60" spans="1:14" ht="15.75">
      <c r="A60" s="1355"/>
      <c r="B60" s="1356"/>
      <c r="C60" s="1357"/>
      <c r="D60" s="1357"/>
      <c r="E60" s="1357"/>
      <c r="F60" s="1355"/>
      <c r="G60" s="1358"/>
      <c r="H60" s="1357"/>
      <c r="I60" s="1431"/>
      <c r="J60" s="1431"/>
      <c r="K60" s="1431"/>
      <c r="L60" s="1431"/>
      <c r="M60" s="1431"/>
      <c r="N60" s="1432"/>
    </row>
    <row r="61" spans="1:14" ht="15.75">
      <c r="A61" s="1355"/>
      <c r="B61" s="1356"/>
      <c r="C61" s="1357"/>
      <c r="D61" s="1357"/>
      <c r="E61" s="1357"/>
      <c r="F61" s="1355"/>
      <c r="G61" s="1358"/>
      <c r="H61" s="1357"/>
      <c r="I61" s="1431"/>
      <c r="J61" s="1431"/>
      <c r="K61" s="1431"/>
      <c r="L61" s="1431"/>
      <c r="M61" s="1431"/>
      <c r="N61" s="1431"/>
    </row>
    <row r="62" spans="1:14" ht="15.75">
      <c r="A62" s="1355"/>
      <c r="B62" s="1356"/>
      <c r="C62" s="1357"/>
      <c r="D62" s="1357"/>
      <c r="E62" s="1357"/>
      <c r="F62" s="1355"/>
      <c r="G62" s="1358"/>
      <c r="H62" s="1357"/>
      <c r="I62" s="1431"/>
      <c r="J62" s="1431"/>
      <c r="K62" s="1431"/>
      <c r="L62" s="1431"/>
      <c r="M62" s="1431"/>
      <c r="N62" s="1431"/>
    </row>
    <row r="63" spans="1:14" ht="15.75">
      <c r="A63" s="1355"/>
      <c r="B63" s="1356"/>
      <c r="C63" s="1357"/>
      <c r="D63" s="1357"/>
      <c r="E63" s="1357"/>
      <c r="F63" s="1355"/>
      <c r="G63" s="1358"/>
      <c r="H63" s="1357"/>
      <c r="I63" s="1431"/>
      <c r="J63" s="1431"/>
      <c r="K63" s="1431"/>
      <c r="L63" s="1431"/>
      <c r="M63" s="1431"/>
      <c r="N63" s="1431"/>
    </row>
    <row r="64" spans="1:14" ht="15.75">
      <c r="A64" s="1355"/>
      <c r="B64" s="1356"/>
      <c r="C64" s="1357"/>
      <c r="D64" s="1357"/>
      <c r="E64" s="1357"/>
      <c r="F64" s="1355"/>
      <c r="G64" s="1358"/>
      <c r="H64" s="1357"/>
      <c r="I64" s="1431"/>
      <c r="J64" s="1431"/>
      <c r="K64" s="1431"/>
      <c r="L64" s="1431"/>
      <c r="M64" s="1431"/>
      <c r="N64" s="1431"/>
    </row>
    <row r="65" spans="1:14" ht="15.75">
      <c r="A65" s="1355"/>
      <c r="B65" s="1356"/>
      <c r="C65" s="1357"/>
      <c r="D65" s="1357"/>
      <c r="E65" s="1357"/>
      <c r="F65" s="1355"/>
      <c r="G65" s="1358"/>
      <c r="H65" s="1357"/>
      <c r="I65" s="1665"/>
      <c r="J65" s="1665"/>
      <c r="K65" s="1665"/>
      <c r="L65" s="1429"/>
      <c r="M65" s="1430"/>
      <c r="N65" s="1430"/>
    </row>
    <row r="66" spans="1:14">
      <c r="A66" s="1355"/>
      <c r="B66" s="1356"/>
      <c r="C66" s="1357"/>
      <c r="D66" s="1357"/>
      <c r="E66" s="1357"/>
      <c r="F66" s="1355"/>
      <c r="G66" s="1358"/>
      <c r="H66" s="1357"/>
      <c r="I66" s="1359"/>
      <c r="J66" s="1360"/>
      <c r="K66" s="1359"/>
      <c r="L66" s="1359"/>
    </row>
    <row r="67" spans="1:14">
      <c r="A67" s="1355"/>
      <c r="B67" s="1356"/>
      <c r="C67" s="1357"/>
      <c r="D67" s="1357"/>
      <c r="E67" s="1357"/>
      <c r="F67" s="1355"/>
      <c r="G67" s="1358"/>
      <c r="H67" s="1357"/>
      <c r="I67" s="1359"/>
      <c r="J67" s="1360"/>
      <c r="K67" s="1359"/>
      <c r="L67" s="1359"/>
    </row>
    <row r="68" spans="1:14">
      <c r="A68" s="1355"/>
      <c r="B68" s="1356"/>
      <c r="C68" s="1357"/>
      <c r="D68" s="1357"/>
      <c r="E68" s="1357"/>
      <c r="F68" s="1355"/>
      <c r="G68" s="1358"/>
      <c r="H68" s="1357"/>
      <c r="I68" s="1359"/>
      <c r="J68" s="1360"/>
      <c r="K68" s="1359"/>
      <c r="L68" s="1359"/>
    </row>
    <row r="69" spans="1:14">
      <c r="A69" s="1355"/>
      <c r="B69" s="1356"/>
      <c r="C69" s="1357"/>
      <c r="D69" s="1357"/>
      <c r="E69" s="1357"/>
      <c r="F69" s="1355"/>
      <c r="G69" s="1358"/>
      <c r="H69" s="1357"/>
      <c r="I69" s="1359"/>
      <c r="J69" s="1360"/>
      <c r="K69" s="1359"/>
      <c r="L69" s="1359"/>
    </row>
    <row r="70" spans="1:14">
      <c r="A70" s="1355"/>
      <c r="B70" s="1356"/>
      <c r="C70" s="1357"/>
      <c r="D70" s="1357"/>
      <c r="E70" s="1357"/>
      <c r="F70" s="1355"/>
      <c r="G70" s="1358"/>
      <c r="H70" s="1357"/>
      <c r="I70" s="1359"/>
      <c r="J70" s="1360"/>
      <c r="K70" s="1359"/>
      <c r="L70" s="1359"/>
    </row>
    <row r="71" spans="1:14">
      <c r="A71" s="1355"/>
      <c r="B71" s="1356"/>
      <c r="C71" s="1357"/>
      <c r="D71" s="1357"/>
      <c r="E71" s="1357"/>
      <c r="F71" s="1355"/>
      <c r="G71" s="1358"/>
      <c r="H71" s="1357"/>
      <c r="I71" s="1359"/>
      <c r="J71" s="1360"/>
      <c r="K71" s="1359"/>
      <c r="L71" s="1359"/>
    </row>
    <row r="72" spans="1:14">
      <c r="A72" s="1355"/>
      <c r="B72" s="1356"/>
      <c r="C72" s="1357"/>
      <c r="D72" s="1357"/>
      <c r="E72" s="1357"/>
      <c r="F72" s="1355"/>
      <c r="G72" s="1358"/>
      <c r="H72" s="1357"/>
      <c r="I72" s="1359"/>
      <c r="J72" s="1360"/>
      <c r="K72" s="1359"/>
      <c r="L72" s="1359"/>
    </row>
    <row r="73" spans="1:14">
      <c r="A73" s="1355"/>
      <c r="B73" s="1356"/>
      <c r="C73" s="1357"/>
      <c r="D73" s="1357"/>
      <c r="E73" s="1357"/>
      <c r="F73" s="1355"/>
      <c r="G73" s="1358"/>
      <c r="H73" s="1357"/>
      <c r="I73" s="1359"/>
      <c r="J73" s="1360"/>
      <c r="K73" s="1359"/>
      <c r="L73" s="1359"/>
    </row>
    <row r="74" spans="1:14">
      <c r="A74" s="1355"/>
      <c r="B74" s="1356"/>
      <c r="C74" s="1357"/>
      <c r="D74" s="1357"/>
      <c r="E74" s="1357"/>
      <c r="F74" s="1355"/>
      <c r="G74" s="1358"/>
      <c r="H74" s="1357"/>
      <c r="I74" s="1359"/>
      <c r="J74" s="1360"/>
      <c r="K74" s="1359"/>
      <c r="L74" s="1359"/>
    </row>
    <row r="75" spans="1:14">
      <c r="A75" s="1355"/>
      <c r="B75" s="1356"/>
      <c r="C75" s="1357"/>
      <c r="D75" s="1357"/>
      <c r="E75" s="1357"/>
      <c r="F75" s="1355"/>
      <c r="G75" s="1358"/>
      <c r="H75" s="1357"/>
      <c r="I75" s="1359"/>
      <c r="J75" s="1360"/>
      <c r="K75" s="1359"/>
      <c r="L75" s="1359"/>
    </row>
    <row r="76" spans="1:14">
      <c r="A76" s="1355"/>
      <c r="B76" s="1356"/>
      <c r="C76" s="1357"/>
      <c r="D76" s="1357"/>
      <c r="E76" s="1357"/>
      <c r="F76" s="1355"/>
      <c r="G76" s="1358"/>
      <c r="H76" s="1357"/>
      <c r="I76" s="1359"/>
      <c r="J76" s="1360"/>
      <c r="K76" s="1359"/>
      <c r="L76" s="1359"/>
    </row>
    <row r="77" spans="1:14" ht="15.75">
      <c r="A77" s="1656" t="s">
        <v>456</v>
      </c>
      <c r="B77" s="1656"/>
      <c r="C77" s="1656"/>
      <c r="D77" s="1656"/>
      <c r="E77" s="1656"/>
      <c r="F77" s="1656"/>
      <c r="G77" s="1433"/>
      <c r="H77" s="1655" t="s">
        <v>457</v>
      </c>
      <c r="I77" s="1655"/>
      <c r="J77" s="1655"/>
      <c r="K77" s="1655"/>
      <c r="L77" s="1339"/>
    </row>
    <row r="78" spans="1:14" ht="15.75">
      <c r="A78" s="1656" t="s">
        <v>458</v>
      </c>
      <c r="B78" s="1656"/>
      <c r="C78" s="1656"/>
      <c r="D78" s="1656"/>
      <c r="E78" s="1656"/>
      <c r="F78" s="1656"/>
      <c r="G78" s="1433"/>
      <c r="H78" s="1657" t="s">
        <v>432</v>
      </c>
      <c r="I78" s="1657"/>
      <c r="J78" s="1657"/>
      <c r="K78" s="1657"/>
      <c r="L78" s="1434"/>
    </row>
    <row r="79" spans="1:14" ht="15.75">
      <c r="A79" s="1656" t="s">
        <v>459</v>
      </c>
      <c r="B79" s="1656"/>
      <c r="C79" s="1656"/>
      <c r="D79" s="1656"/>
      <c r="E79" s="1656"/>
      <c r="F79" s="1656"/>
      <c r="G79" s="1433"/>
      <c r="H79" s="1655" t="s">
        <v>434</v>
      </c>
      <c r="I79" s="1655"/>
      <c r="J79" s="1655"/>
      <c r="K79" s="1655"/>
      <c r="L79" s="1339"/>
    </row>
    <row r="80" spans="1:14" ht="15.75">
      <c r="A80" s="1655"/>
      <c r="B80" s="1655"/>
      <c r="C80" s="1655"/>
      <c r="D80" s="1655"/>
      <c r="E80" s="1655"/>
      <c r="F80" s="1655"/>
      <c r="G80" s="1340"/>
      <c r="H80" s="1655" t="s">
        <v>460</v>
      </c>
      <c r="I80" s="1655"/>
      <c r="J80" s="1655" t="s">
        <v>461</v>
      </c>
      <c r="K80" s="1655"/>
      <c r="L80" s="1339"/>
    </row>
    <row r="81" spans="1:12" ht="15.75">
      <c r="A81" s="1289"/>
      <c r="B81" s="1340"/>
      <c r="C81" s="1435"/>
      <c r="D81" s="1433"/>
      <c r="E81" s="1433"/>
      <c r="F81" s="1435"/>
      <c r="G81" s="1433"/>
      <c r="H81" s="1436"/>
      <c r="I81" s="1437"/>
      <c r="J81" s="1295"/>
      <c r="K81" s="1438"/>
      <c r="L81" s="1438"/>
    </row>
    <row r="82" spans="1:12" ht="15.75">
      <c r="A82" s="1289"/>
      <c r="B82" s="1340"/>
      <c r="C82" s="1439"/>
      <c r="D82" s="1436"/>
      <c r="E82" s="1436"/>
      <c r="F82" s="1439"/>
      <c r="G82" s="1436"/>
      <c r="H82" s="1436"/>
      <c r="I82" s="1437"/>
      <c r="J82" s="1295"/>
      <c r="K82" s="1438"/>
      <c r="L82" s="1438"/>
    </row>
    <row r="83" spans="1:12" ht="15.75">
      <c r="A83" s="1289"/>
      <c r="B83" s="1340"/>
      <c r="C83" s="1439"/>
      <c r="D83" s="1436"/>
      <c r="E83" s="1436"/>
      <c r="F83" s="1439"/>
      <c r="G83" s="1436"/>
      <c r="H83" s="1436"/>
      <c r="I83" s="1437"/>
      <c r="J83" s="1289"/>
      <c r="K83" s="1438"/>
      <c r="L83" s="1438"/>
    </row>
    <row r="84" spans="1:12" ht="15.75">
      <c r="A84" s="1289"/>
      <c r="B84" s="1340"/>
      <c r="C84" s="1439"/>
      <c r="D84" s="1436"/>
      <c r="E84" s="1436"/>
      <c r="F84" s="1439"/>
      <c r="G84" s="1436"/>
      <c r="H84" s="1436"/>
      <c r="I84" s="1437"/>
      <c r="J84" s="1339"/>
      <c r="K84" s="1438"/>
      <c r="L84" s="1438"/>
    </row>
    <row r="85" spans="1:12" s="1440" customFormat="1" ht="15.75">
      <c r="A85" s="1655"/>
      <c r="B85" s="1655"/>
      <c r="C85" s="1655"/>
      <c r="D85" s="1655"/>
      <c r="E85" s="1655"/>
      <c r="F85" s="1655"/>
      <c r="G85" s="1340"/>
      <c r="H85" s="1655" t="s">
        <v>462</v>
      </c>
      <c r="I85" s="1655"/>
      <c r="J85" s="1655" t="s">
        <v>463</v>
      </c>
      <c r="K85" s="1655"/>
      <c r="L85" s="1339"/>
    </row>
    <row r="86" spans="1:12" ht="43.7" customHeight="1">
      <c r="A86" s="1289"/>
      <c r="B86" s="1289"/>
      <c r="C86" s="1289"/>
      <c r="D86" s="1289"/>
      <c r="E86" s="1441"/>
      <c r="F86" s="1289"/>
      <c r="G86" s="1289"/>
      <c r="H86" s="1289"/>
      <c r="I86" s="1442"/>
      <c r="J86" s="1666" t="s">
        <v>464</v>
      </c>
      <c r="K86" s="1666"/>
      <c r="L86" s="1443"/>
    </row>
  </sheetData>
  <mergeCells count="23">
    <mergeCell ref="A85:F85"/>
    <mergeCell ref="H85:I85"/>
    <mergeCell ref="J85:K85"/>
    <mergeCell ref="J86:K86"/>
    <mergeCell ref="A78:F78"/>
    <mergeCell ref="H78:K78"/>
    <mergeCell ref="A79:F79"/>
    <mergeCell ref="H79:K79"/>
    <mergeCell ref="A80:F80"/>
    <mergeCell ref="H80:I80"/>
    <mergeCell ref="J80:K80"/>
    <mergeCell ref="J56:K56"/>
    <mergeCell ref="I58:K58"/>
    <mergeCell ref="I59:K59"/>
    <mergeCell ref="I65:K65"/>
    <mergeCell ref="A77:F77"/>
    <mergeCell ref="H77:K77"/>
    <mergeCell ref="J55:K55"/>
    <mergeCell ref="A1:K1"/>
    <mergeCell ref="A2:K2"/>
    <mergeCell ref="A47:K47"/>
    <mergeCell ref="J49:K49"/>
    <mergeCell ref="J54:K54"/>
  </mergeCells>
  <printOptions horizontalCentered="1"/>
  <pageMargins left="0.75" right="0.5" top="0.5" bottom="0.53" header="0.45" footer="0.3"/>
  <pageSetup paperSize="9" scale="86" fitToHeight="0" orientation="landscape" r:id="rId1"/>
  <headerFooter alignWithMargins="0">
    <oddFooter>&amp;C&amp;P/&amp;N</oddFooter>
  </headerFooter>
  <drawing r:id="rId2"/>
  <legacyDrawing r:id="rId3"/>
  <oleObjects>
    <mc:AlternateContent xmlns:mc="http://schemas.openxmlformats.org/markup-compatibility/2006">
      <mc:Choice Requires="x14">
        <oleObject progId="Packager Shell Object" dvAspect="DVASPECT_ICON" shapeId="140289" r:id="rId4">
          <objectPr defaultSize="0" autoPict="0" r:id="rId5">
            <anchor moveWithCells="1">
              <from>
                <xdr:col>11</xdr:col>
                <xdr:colOff>0</xdr:colOff>
                <xdr:row>21</xdr:row>
                <xdr:rowOff>0</xdr:rowOff>
              </from>
              <to>
                <xdr:col>15</xdr:col>
                <xdr:colOff>533400</xdr:colOff>
                <xdr:row>22</xdr:row>
                <xdr:rowOff>190500</xdr:rowOff>
              </to>
            </anchor>
          </objectPr>
        </oleObject>
      </mc:Choice>
      <mc:Fallback>
        <oleObject progId="Packager Shell Object" dvAspect="DVASPECT_ICON" shapeId="140289"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25"/>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outlinePr summaryBelow="0"/>
  </sheetPr>
  <dimension ref="A1:O39"/>
  <sheetViews>
    <sheetView showZeros="0" tabSelected="1" view="pageBreakPreview" zoomScale="96" zoomScaleSheetLayoutView="96" workbookViewId="0">
      <selection activeCell="I16" sqref="I16"/>
    </sheetView>
  </sheetViews>
  <sheetFormatPr defaultColWidth="9.140625" defaultRowHeight="14.25" outlineLevelRow="1"/>
  <cols>
    <col min="1" max="1" width="6.42578125" style="185" bestFit="1" customWidth="1"/>
    <col min="2" max="2" width="61.140625" style="185" customWidth="1"/>
    <col min="3" max="3" width="23.85546875" style="185" customWidth="1"/>
    <col min="4" max="4" width="18.42578125" style="185" customWidth="1"/>
    <col min="5" max="5" width="22.42578125" style="185" customWidth="1"/>
    <col min="6" max="6" width="15.42578125" style="185" hidden="1" customWidth="1"/>
    <col min="7" max="7" width="18.28515625" style="185" hidden="1" customWidth="1"/>
    <col min="8" max="8" width="63.7109375" style="185" hidden="1" customWidth="1"/>
    <col min="9" max="9" width="26.85546875" style="185" customWidth="1"/>
    <col min="10" max="11" width="17.140625" style="185" customWidth="1"/>
    <col min="12" max="12" width="26.85546875" style="185" customWidth="1"/>
    <col min="13" max="14" width="17.140625" style="185" customWidth="1"/>
    <col min="15" max="16384" width="9.140625" style="185"/>
  </cols>
  <sheetData>
    <row r="1" spans="1:14" ht="33">
      <c r="A1" s="1667" t="s">
        <v>611</v>
      </c>
      <c r="B1" s="1667"/>
      <c r="C1" s="1667"/>
      <c r="D1" s="1667"/>
      <c r="E1" s="1667"/>
      <c r="F1" s="1667"/>
      <c r="G1" s="1667"/>
      <c r="H1" s="187"/>
      <c r="I1" s="187"/>
      <c r="J1" s="187"/>
      <c r="K1" s="187"/>
    </row>
    <row r="2" spans="1:14" ht="7.5" customHeight="1">
      <c r="A2" s="187"/>
      <c r="B2" s="187"/>
      <c r="C2" s="187"/>
      <c r="D2" s="187"/>
      <c r="E2" s="187"/>
      <c r="F2" s="187"/>
      <c r="G2" s="187"/>
      <c r="H2" s="187"/>
      <c r="I2" s="187"/>
      <c r="J2" s="187"/>
      <c r="K2" s="187"/>
    </row>
    <row r="3" spans="1:14" ht="39.75" customHeight="1">
      <c r="A3" s="1668" t="s">
        <v>466</v>
      </c>
      <c r="B3" s="1669"/>
      <c r="C3" s="1669"/>
      <c r="D3" s="1669"/>
      <c r="E3" s="1669"/>
      <c r="F3" s="1669"/>
      <c r="G3" s="1669"/>
      <c r="H3" s="187"/>
      <c r="I3" s="187"/>
      <c r="J3" s="187"/>
      <c r="K3" s="187"/>
    </row>
    <row r="4" spans="1:14" ht="17.25">
      <c r="A4" s="327"/>
      <c r="B4" s="187"/>
      <c r="C4" s="187"/>
      <c r="D4" s="187"/>
      <c r="E4" s="187"/>
      <c r="F4" s="187"/>
      <c r="G4" s="187"/>
      <c r="H4" s="187"/>
      <c r="I4" s="187"/>
      <c r="J4" s="187"/>
      <c r="K4" s="187"/>
    </row>
    <row r="5" spans="1:14">
      <c r="A5" s="186"/>
      <c r="B5" s="186"/>
      <c r="C5" s="328"/>
      <c r="F5" s="328"/>
      <c r="G5" s="328" t="s">
        <v>352</v>
      </c>
      <c r="H5" s="328"/>
      <c r="I5" s="328"/>
      <c r="J5" s="328"/>
      <c r="K5" s="328"/>
    </row>
    <row r="6" spans="1:14">
      <c r="A6" s="329" t="s">
        <v>51</v>
      </c>
      <c r="B6" s="329" t="s">
        <v>52</v>
      </c>
      <c r="C6" s="329" t="s">
        <v>353</v>
      </c>
      <c r="D6" s="329" t="s">
        <v>354</v>
      </c>
      <c r="E6" s="329" t="s">
        <v>353</v>
      </c>
      <c r="F6" s="329" t="s">
        <v>356</v>
      </c>
      <c r="G6" s="329" t="s">
        <v>357</v>
      </c>
      <c r="H6" s="1651" t="s">
        <v>401</v>
      </c>
      <c r="I6" s="1217"/>
      <c r="J6" s="1217"/>
      <c r="K6" s="1217"/>
    </row>
    <row r="7" spans="1:14">
      <c r="A7" s="330"/>
      <c r="B7" s="331"/>
      <c r="C7" s="331" t="s">
        <v>358</v>
      </c>
      <c r="D7" s="331" t="s">
        <v>358</v>
      </c>
      <c r="E7" s="331" t="s">
        <v>359</v>
      </c>
      <c r="F7" s="331" t="s">
        <v>359</v>
      </c>
      <c r="G7" s="331" t="s">
        <v>359</v>
      </c>
      <c r="H7" s="1652"/>
      <c r="I7" s="1217"/>
      <c r="J7" s="1217"/>
      <c r="K7" s="1217"/>
    </row>
    <row r="8" spans="1:14">
      <c r="A8" s="332" t="s">
        <v>360</v>
      </c>
      <c r="B8" s="332" t="s">
        <v>361</v>
      </c>
      <c r="C8" s="332" t="s">
        <v>362</v>
      </c>
      <c r="D8" s="332" t="s">
        <v>402</v>
      </c>
      <c r="E8" s="332" t="s">
        <v>364</v>
      </c>
      <c r="F8" s="332" t="s">
        <v>365</v>
      </c>
      <c r="G8" s="332" t="s">
        <v>366</v>
      </c>
      <c r="H8" s="332" t="s">
        <v>403</v>
      </c>
      <c r="I8" s="1218"/>
      <c r="J8" s="1218"/>
      <c r="K8" s="1218"/>
    </row>
    <row r="9" spans="1:14">
      <c r="A9" s="496"/>
      <c r="B9" s="497"/>
      <c r="C9" s="497"/>
      <c r="D9" s="497"/>
      <c r="E9" s="497"/>
      <c r="F9" s="496"/>
      <c r="G9" s="496"/>
      <c r="H9" s="496"/>
      <c r="I9" s="1218"/>
      <c r="J9" s="1218"/>
      <c r="K9" s="1218"/>
    </row>
    <row r="10" spans="1:14" s="336" customFormat="1" ht="17.25" customHeight="1">
      <c r="A10" s="333" t="s">
        <v>67</v>
      </c>
      <c r="B10" s="334" t="s">
        <v>367</v>
      </c>
      <c r="C10" s="335"/>
      <c r="D10" s="335"/>
      <c r="E10" s="335"/>
      <c r="F10" s="335"/>
      <c r="G10" s="335">
        <f>SUM(G11:G33)</f>
        <v>36733045943.437088</v>
      </c>
      <c r="H10" s="335">
        <f>SUM(H11:H33)</f>
        <v>0</v>
      </c>
      <c r="I10" s="672"/>
      <c r="J10" s="672"/>
      <c r="K10" s="672"/>
      <c r="L10" s="670"/>
      <c r="M10" s="667"/>
      <c r="N10" s="632"/>
    </row>
    <row r="11" spans="1:14" outlineLevel="1">
      <c r="A11" s="337">
        <v>1</v>
      </c>
      <c r="B11" s="321" t="s">
        <v>404</v>
      </c>
      <c r="C11" s="1216">
        <f>+[12]THKP!$F$33</f>
        <v>15062064552.139397</v>
      </c>
      <c r="D11" s="321">
        <f>C11*8%</f>
        <v>1204965164.1711519</v>
      </c>
      <c r="E11" s="321">
        <f>SUM(C11:D11)</f>
        <v>16267029716.310549</v>
      </c>
      <c r="F11" s="322"/>
      <c r="G11" s="322">
        <f>F11+E11</f>
        <v>16267029716.310549</v>
      </c>
      <c r="H11" s="1223"/>
      <c r="I11" s="672"/>
      <c r="J11" s="672"/>
      <c r="K11" s="672"/>
      <c r="L11" s="671"/>
      <c r="M11" s="668"/>
      <c r="N11" s="632"/>
    </row>
    <row r="12" spans="1:14" outlineLevel="1">
      <c r="A12" s="337">
        <v>2</v>
      </c>
      <c r="B12" s="321" t="s">
        <v>406</v>
      </c>
      <c r="C12" s="1216">
        <f>+'[13]THKP hạng mục'!$H$21</f>
        <v>1196999586.9780567</v>
      </c>
      <c r="D12" s="321">
        <f t="shared" ref="D12:D32" si="0">C12*8%</f>
        <v>95759966.958244532</v>
      </c>
      <c r="E12" s="321">
        <f>SUM(C12:D12)</f>
        <v>1292759553.9363012</v>
      </c>
      <c r="F12" s="322"/>
      <c r="G12" s="322">
        <f>F12+E12</f>
        <v>1292759553.9363012</v>
      </c>
      <c r="H12" s="1222"/>
      <c r="I12" s="672"/>
      <c r="J12" s="672"/>
      <c r="K12" s="672"/>
      <c r="L12" s="671"/>
      <c r="M12" s="668"/>
      <c r="N12" s="632"/>
    </row>
    <row r="13" spans="1:14" outlineLevel="1">
      <c r="A13" s="337">
        <v>3</v>
      </c>
      <c r="B13" s="321" t="s">
        <v>408</v>
      </c>
      <c r="C13" s="1216">
        <f>+'[14]THKP hạng mục'!$H$21</f>
        <v>1285139918.6798341</v>
      </c>
      <c r="D13" s="321">
        <f t="shared" si="0"/>
        <v>102811193.49438673</v>
      </c>
      <c r="E13" s="321">
        <f t="shared" ref="E13:E32" si="1">SUM(C13:D13)</f>
        <v>1387951112.1742208</v>
      </c>
      <c r="F13" s="322"/>
      <c r="G13" s="322">
        <f>F13+E13</f>
        <v>1387951112.1742208</v>
      </c>
      <c r="H13" s="1222"/>
      <c r="I13" s="672"/>
      <c r="J13" s="672"/>
      <c r="K13" s="672"/>
      <c r="L13" s="671"/>
      <c r="M13" s="668"/>
      <c r="N13" s="632"/>
    </row>
    <row r="14" spans="1:14" outlineLevel="1">
      <c r="A14" s="337">
        <v>4</v>
      </c>
      <c r="B14" s="321" t="s">
        <v>410</v>
      </c>
      <c r="C14" s="1216">
        <f>+'[15]THKP hạng mục'!$H$21</f>
        <v>281677032.16772449</v>
      </c>
      <c r="D14" s="321">
        <f t="shared" si="0"/>
        <v>22534162.573417958</v>
      </c>
      <c r="E14" s="321">
        <f t="shared" si="1"/>
        <v>304211194.74114245</v>
      </c>
      <c r="F14" s="321"/>
      <c r="G14" s="322">
        <f t="shared" ref="G14:G25" si="2">F14+E14</f>
        <v>304211194.74114245</v>
      </c>
      <c r="H14" s="1223"/>
      <c r="I14" s="672"/>
      <c r="J14" s="672"/>
      <c r="K14" s="672"/>
      <c r="L14" s="671"/>
      <c r="M14" s="668"/>
      <c r="N14" s="632"/>
    </row>
    <row r="15" spans="1:14" outlineLevel="1">
      <c r="A15" s="337">
        <v>5</v>
      </c>
      <c r="B15" s="321" t="s">
        <v>412</v>
      </c>
      <c r="C15" s="1216">
        <f>+'[16]THKP hạng mục'!$H$21</f>
        <v>390770817.11927366</v>
      </c>
      <c r="D15" s="321">
        <f t="shared" si="0"/>
        <v>31261665.369541895</v>
      </c>
      <c r="E15" s="321">
        <f t="shared" si="1"/>
        <v>422032482.48881555</v>
      </c>
      <c r="F15" s="321"/>
      <c r="G15" s="322">
        <f t="shared" si="2"/>
        <v>422032482.48881555</v>
      </c>
      <c r="H15" s="1223"/>
      <c r="I15" s="672"/>
      <c r="J15" s="672"/>
      <c r="K15" s="672"/>
      <c r="L15" s="671"/>
      <c r="M15" s="668"/>
      <c r="N15" s="632"/>
    </row>
    <row r="16" spans="1:14" s="336" customFormat="1" outlineLevel="1">
      <c r="A16" s="337">
        <v>6</v>
      </c>
      <c r="B16" s="321" t="s">
        <v>413</v>
      </c>
      <c r="C16" s="1216">
        <f>+'[17]THKP hạng mục'!$H$21</f>
        <v>658702591.69486034</v>
      </c>
      <c r="D16" s="321">
        <f t="shared" si="0"/>
        <v>52696207.335588828</v>
      </c>
      <c r="E16" s="321">
        <f t="shared" si="1"/>
        <v>711398799.03044915</v>
      </c>
      <c r="F16" s="321"/>
      <c r="G16" s="322">
        <f t="shared" si="2"/>
        <v>711398799.03044915</v>
      </c>
      <c r="H16" s="1223"/>
      <c r="I16" s="672"/>
      <c r="J16" s="672"/>
      <c r="K16" s="672"/>
      <c r="L16" s="671"/>
      <c r="M16" s="667"/>
      <c r="N16" s="632"/>
    </row>
    <row r="17" spans="1:15" outlineLevel="1">
      <c r="A17" s="337">
        <v>7</v>
      </c>
      <c r="B17" s="321" t="s">
        <v>414</v>
      </c>
      <c r="C17" s="1216">
        <f>+'[18]THKP hạng mục'!$H$21</f>
        <v>355276653.09488833</v>
      </c>
      <c r="D17" s="321">
        <f t="shared" si="0"/>
        <v>28422132.247591067</v>
      </c>
      <c r="E17" s="321">
        <f t="shared" si="1"/>
        <v>383698785.34247941</v>
      </c>
      <c r="F17" s="498"/>
      <c r="G17" s="322">
        <f t="shared" si="2"/>
        <v>383698785.34247941</v>
      </c>
      <c r="H17" s="1223"/>
      <c r="I17" s="672"/>
      <c r="J17" s="672"/>
      <c r="K17" s="672"/>
      <c r="L17" s="671"/>
      <c r="M17" s="668"/>
      <c r="N17" s="632"/>
    </row>
    <row r="18" spans="1:15" outlineLevel="1">
      <c r="A18" s="337">
        <v>8</v>
      </c>
      <c r="B18" s="321" t="s">
        <v>416</v>
      </c>
      <c r="C18" s="1216">
        <f>+'[19]THKP hạng mục'!$H$21</f>
        <v>36385567.30733835</v>
      </c>
      <c r="D18" s="321">
        <f t="shared" si="0"/>
        <v>2910845.3845870681</v>
      </c>
      <c r="E18" s="321">
        <f t="shared" si="1"/>
        <v>39296412.691925421</v>
      </c>
      <c r="F18" s="498"/>
      <c r="G18" s="322">
        <f t="shared" si="2"/>
        <v>39296412.691925421</v>
      </c>
      <c r="H18" s="1223"/>
      <c r="I18" s="672"/>
      <c r="J18" s="672"/>
      <c r="K18" s="672"/>
      <c r="L18" s="671"/>
      <c r="M18" s="668"/>
      <c r="N18" s="632"/>
    </row>
    <row r="19" spans="1:15" outlineLevel="1">
      <c r="A19" s="337">
        <v>9</v>
      </c>
      <c r="B19" s="321" t="s">
        <v>417</v>
      </c>
      <c r="C19" s="1216">
        <f>+'[20]THKP hạng mục'!$H$21</f>
        <v>15431758.435930384</v>
      </c>
      <c r="D19" s="321">
        <f t="shared" si="0"/>
        <v>1234540.6748744308</v>
      </c>
      <c r="E19" s="321">
        <f t="shared" si="1"/>
        <v>16666299.110804815</v>
      </c>
      <c r="F19" s="499"/>
      <c r="G19" s="322">
        <f t="shared" si="2"/>
        <v>16666299.110804815</v>
      </c>
      <c r="H19" s="1223"/>
      <c r="I19" s="672"/>
      <c r="J19" s="672"/>
      <c r="K19" s="672"/>
      <c r="L19" s="671"/>
      <c r="M19" s="668"/>
      <c r="N19" s="632"/>
    </row>
    <row r="20" spans="1:15" outlineLevel="1">
      <c r="A20" s="337">
        <v>10</v>
      </c>
      <c r="B20" s="321" t="s">
        <v>418</v>
      </c>
      <c r="C20" s="1216">
        <f>+'[21]THKP hạng mục'!$H$21</f>
        <v>4354304665.5439177</v>
      </c>
      <c r="D20" s="321">
        <f t="shared" si="0"/>
        <v>348344373.24351341</v>
      </c>
      <c r="E20" s="321">
        <f t="shared" si="1"/>
        <v>4702649038.7874308</v>
      </c>
      <c r="F20" s="499"/>
      <c r="G20" s="322">
        <f t="shared" si="2"/>
        <v>4702649038.7874308</v>
      </c>
      <c r="H20" s="1223"/>
      <c r="I20" s="672"/>
      <c r="J20" s="672"/>
      <c r="K20" s="672"/>
      <c r="L20" s="671"/>
      <c r="M20" s="668"/>
      <c r="N20" s="632"/>
    </row>
    <row r="21" spans="1:15" outlineLevel="1">
      <c r="A21" s="337">
        <v>11</v>
      </c>
      <c r="B21" s="321" t="s">
        <v>419</v>
      </c>
      <c r="C21" s="1216">
        <f>+'[22]THKP hạng mục'!$H$21</f>
        <v>103067374.30223122</v>
      </c>
      <c r="D21" s="321">
        <f t="shared" si="0"/>
        <v>8245389.9441784984</v>
      </c>
      <c r="E21" s="321">
        <f t="shared" si="1"/>
        <v>111312764.24640971</v>
      </c>
      <c r="F21" s="499"/>
      <c r="G21" s="322">
        <f t="shared" si="2"/>
        <v>111312764.24640971</v>
      </c>
      <c r="H21" s="1223"/>
      <c r="I21" s="672"/>
      <c r="J21" s="672"/>
      <c r="K21" s="672"/>
      <c r="L21" s="671"/>
      <c r="M21" s="668"/>
      <c r="N21" s="632"/>
    </row>
    <row r="22" spans="1:15" outlineLevel="1">
      <c r="A22" s="337">
        <v>12</v>
      </c>
      <c r="B22" s="321" t="s">
        <v>420</v>
      </c>
      <c r="C22" s="1216">
        <f>+'[23]THKP hạng mục'!$H$21</f>
        <v>36779184.277861133</v>
      </c>
      <c r="D22" s="321">
        <f t="shared" si="0"/>
        <v>2942334.7422288908</v>
      </c>
      <c r="E22" s="321">
        <f t="shared" si="1"/>
        <v>39721519.020090021</v>
      </c>
      <c r="F22" s="499"/>
      <c r="G22" s="322">
        <f t="shared" si="2"/>
        <v>39721519.020090021</v>
      </c>
      <c r="H22" s="1223"/>
      <c r="I22" s="672"/>
      <c r="J22" s="672"/>
      <c r="K22" s="672"/>
      <c r="L22" s="671"/>
      <c r="M22" s="668"/>
      <c r="N22" s="632"/>
    </row>
    <row r="23" spans="1:15" outlineLevel="1">
      <c r="A23" s="337">
        <v>13</v>
      </c>
      <c r="B23" s="321" t="s">
        <v>421</v>
      </c>
      <c r="C23" s="1216">
        <f>+'[24]THKP hạng mục'!$H$21</f>
        <v>998399874.33597863</v>
      </c>
      <c r="D23" s="321">
        <f t="shared" si="0"/>
        <v>79871989.946878299</v>
      </c>
      <c r="E23" s="321">
        <f t="shared" si="1"/>
        <v>1078271864.2828569</v>
      </c>
      <c r="F23" s="499"/>
      <c r="G23" s="322">
        <f t="shared" si="2"/>
        <v>1078271864.2828569</v>
      </c>
      <c r="H23" s="1223"/>
      <c r="I23" s="672"/>
      <c r="J23" s="672"/>
      <c r="K23" s="672"/>
      <c r="L23" s="671"/>
      <c r="M23" s="668"/>
      <c r="N23" s="632"/>
    </row>
    <row r="24" spans="1:15" outlineLevel="1">
      <c r="A24" s="337">
        <v>14</v>
      </c>
      <c r="B24" s="321" t="s">
        <v>422</v>
      </c>
      <c r="C24" s="1216">
        <f>+'[25]THKP hạng mục'!$H$21</f>
        <v>47175235.982357107</v>
      </c>
      <c r="D24" s="321">
        <f t="shared" si="0"/>
        <v>3774018.8785885684</v>
      </c>
      <c r="E24" s="321">
        <f t="shared" si="1"/>
        <v>50949254.860945672</v>
      </c>
      <c r="F24" s="498"/>
      <c r="G24" s="322">
        <f t="shared" si="2"/>
        <v>50949254.860945672</v>
      </c>
      <c r="H24" s="1223"/>
      <c r="I24" s="672"/>
      <c r="J24" s="672"/>
      <c r="K24" s="672"/>
      <c r="L24" s="671"/>
      <c r="M24" s="668"/>
      <c r="N24" s="632"/>
    </row>
    <row r="25" spans="1:15" outlineLevel="1">
      <c r="A25" s="337">
        <v>15</v>
      </c>
      <c r="B25" s="321" t="s">
        <v>423</v>
      </c>
      <c r="C25" s="1216">
        <f>+'[26]THKP hạng mục'!$H$21</f>
        <v>28936317.647392511</v>
      </c>
      <c r="D25" s="321">
        <f t="shared" si="0"/>
        <v>2314905.411791401</v>
      </c>
      <c r="E25" s="321">
        <f t="shared" si="1"/>
        <v>31251223.05918391</v>
      </c>
      <c r="F25" s="498"/>
      <c r="G25" s="322">
        <f t="shared" si="2"/>
        <v>31251223.05918391</v>
      </c>
      <c r="H25" s="1223"/>
      <c r="I25" s="672"/>
      <c r="J25" s="672"/>
      <c r="K25" s="672"/>
      <c r="L25" s="671"/>
      <c r="M25" s="668"/>
      <c r="N25" s="632"/>
    </row>
    <row r="26" spans="1:15" outlineLevel="1">
      <c r="A26" s="337">
        <v>16</v>
      </c>
      <c r="B26" s="321" t="s">
        <v>389</v>
      </c>
      <c r="C26" s="1216">
        <f>+'[27]THKP hạng mục'!$H$21</f>
        <v>1191190145.7300262</v>
      </c>
      <c r="D26" s="321">
        <f t="shared" si="0"/>
        <v>95295211.6584021</v>
      </c>
      <c r="E26" s="321">
        <f t="shared" si="1"/>
        <v>1286485357.3884284</v>
      </c>
      <c r="F26" s="498"/>
      <c r="G26" s="322">
        <f>F26+E26</f>
        <v>1286485357.3884284</v>
      </c>
      <c r="H26" s="1223"/>
      <c r="I26" s="672"/>
      <c r="J26" s="672"/>
      <c r="K26" s="672"/>
      <c r="L26" s="671"/>
      <c r="M26" s="668"/>
      <c r="N26" s="632">
        <v>293068800</v>
      </c>
      <c r="O26" s="185">
        <v>1077423756.0437169</v>
      </c>
    </row>
    <row r="27" spans="1:15" outlineLevel="1">
      <c r="A27" s="337">
        <v>17</v>
      </c>
      <c r="B27" s="321" t="s">
        <v>390</v>
      </c>
      <c r="C27" s="1216">
        <f>+'[28]THKP hạng mục'!$H$21</f>
        <v>1782018110.0968912</v>
      </c>
      <c r="D27" s="321">
        <f t="shared" si="0"/>
        <v>142561448.8077513</v>
      </c>
      <c r="E27" s="321">
        <f t="shared" si="1"/>
        <v>1924579558.9046426</v>
      </c>
      <c r="F27" s="321"/>
      <c r="G27" s="322">
        <f>F27+E27</f>
        <v>1924579558.9046426</v>
      </c>
      <c r="H27" s="1223"/>
      <c r="I27" s="672"/>
      <c r="J27" s="672"/>
      <c r="K27" s="672"/>
      <c r="L27" s="671"/>
      <c r="M27" s="668"/>
      <c r="N27" s="632"/>
    </row>
    <row r="28" spans="1:15" outlineLevel="1">
      <c r="A28" s="337">
        <v>18</v>
      </c>
      <c r="B28" s="321" t="s">
        <v>424</v>
      </c>
      <c r="C28" s="1216">
        <f>+'[29]THKP hạng mục'!$H$21</f>
        <v>1468888540.8818955</v>
      </c>
      <c r="D28" s="321">
        <f t="shared" si="0"/>
        <v>117511083.27055165</v>
      </c>
      <c r="E28" s="321">
        <f t="shared" si="1"/>
        <v>1586399624.1524472</v>
      </c>
      <c r="F28" s="321"/>
      <c r="G28" s="322">
        <f t="shared" ref="G28:G30" si="3">F28+E28</f>
        <v>1586399624.1524472</v>
      </c>
      <c r="H28" s="1223"/>
      <c r="I28" s="672"/>
      <c r="J28" s="672"/>
      <c r="K28" s="672"/>
      <c r="L28" s="671"/>
      <c r="M28" s="668"/>
      <c r="N28" s="632"/>
    </row>
    <row r="29" spans="1:15" outlineLevel="1">
      <c r="A29" s="337">
        <v>19</v>
      </c>
      <c r="B29" s="321" t="s">
        <v>426</v>
      </c>
      <c r="C29" s="1216">
        <f>+'[30]THKP hạng mục'!$H$21</f>
        <v>40983189.695399292</v>
      </c>
      <c r="D29" s="321">
        <f t="shared" si="0"/>
        <v>3278655.1756319436</v>
      </c>
      <c r="E29" s="321">
        <f t="shared" si="1"/>
        <v>44261844.871031232</v>
      </c>
      <c r="F29" s="321"/>
      <c r="G29" s="322">
        <f t="shared" si="3"/>
        <v>44261844.871031232</v>
      </c>
      <c r="H29" s="1223"/>
      <c r="I29" s="672"/>
      <c r="J29" s="672"/>
      <c r="K29" s="672"/>
      <c r="L29" s="671"/>
      <c r="M29" s="668"/>
      <c r="N29" s="632"/>
    </row>
    <row r="30" spans="1:15" outlineLevel="1">
      <c r="A30" s="337">
        <v>20</v>
      </c>
      <c r="B30" s="321" t="s">
        <v>391</v>
      </c>
      <c r="C30" s="1216">
        <f>+'[31]THKP hạng mục'!$H$23</f>
        <v>1125632925.5470793</v>
      </c>
      <c r="D30" s="321">
        <f t="shared" si="0"/>
        <v>90050634.04376635</v>
      </c>
      <c r="E30" s="321">
        <f t="shared" si="1"/>
        <v>1215683559.5908456</v>
      </c>
      <c r="F30" s="321"/>
      <c r="G30" s="322">
        <f t="shared" si="3"/>
        <v>1215683559.5908456</v>
      </c>
      <c r="H30" s="1223"/>
      <c r="I30" s="672"/>
      <c r="J30" s="672"/>
      <c r="K30" s="672"/>
      <c r="L30" s="671"/>
      <c r="M30" s="668"/>
      <c r="N30" s="632"/>
    </row>
    <row r="31" spans="1:15" outlineLevel="1">
      <c r="A31" s="337">
        <v>21</v>
      </c>
      <c r="B31" s="321" t="s">
        <v>392</v>
      </c>
      <c r="C31" s="1216">
        <f>+'[32]THKP hạng mục'!$H$21</f>
        <v>129976512.16965406</v>
      </c>
      <c r="D31" s="321">
        <f t="shared" si="0"/>
        <v>10398120.973572325</v>
      </c>
      <c r="E31" s="321">
        <f t="shared" si="1"/>
        <v>140374633.14322639</v>
      </c>
      <c r="F31" s="321"/>
      <c r="G31" s="322">
        <f t="shared" ref="G31:G33" si="4">F31+E31</f>
        <v>140374633.14322639</v>
      </c>
      <c r="H31" s="1223"/>
      <c r="I31" s="672"/>
      <c r="J31" s="672"/>
      <c r="K31" s="672"/>
      <c r="L31" s="671"/>
      <c r="M31" s="668"/>
      <c r="N31" s="632"/>
    </row>
    <row r="32" spans="1:15" outlineLevel="1">
      <c r="A32" s="337">
        <v>22</v>
      </c>
      <c r="B32" s="321" t="s">
        <v>427</v>
      </c>
      <c r="C32" s="1216">
        <f>+'[33]THKP hạng mục'!$H$25</f>
        <v>628386225.88996315</v>
      </c>
      <c r="D32" s="321">
        <f t="shared" si="0"/>
        <v>50270898.071197055</v>
      </c>
      <c r="E32" s="321">
        <f t="shared" si="1"/>
        <v>678657123.96116018</v>
      </c>
      <c r="F32" s="321"/>
      <c r="G32" s="322">
        <f t="shared" si="4"/>
        <v>678657123.96116018</v>
      </c>
      <c r="H32" s="1222"/>
      <c r="I32" s="672"/>
      <c r="J32" s="672"/>
      <c r="K32" s="672"/>
      <c r="L32" s="671"/>
      <c r="M32" s="668"/>
      <c r="N32" s="632"/>
    </row>
    <row r="33" spans="1:14" outlineLevel="1">
      <c r="A33" s="337">
        <v>23</v>
      </c>
      <c r="B33" s="321" t="s">
        <v>429</v>
      </c>
      <c r="C33" s="1216">
        <f>+'[34]THKP hạng mục'!$H$21</f>
        <v>2793892797.5386147</v>
      </c>
      <c r="D33" s="321">
        <f t="shared" ref="D33" si="5">C33*8%</f>
        <v>223511423.80308917</v>
      </c>
      <c r="E33" s="321">
        <f t="shared" ref="E33" si="6">SUM(C33:D33)</f>
        <v>3017404221.3417039</v>
      </c>
      <c r="F33" s="321"/>
      <c r="G33" s="322">
        <f t="shared" si="4"/>
        <v>3017404221.3417039</v>
      </c>
      <c r="H33" s="1223"/>
      <c r="I33" s="672">
        <f>+G33*0.2</f>
        <v>603480844.26834083</v>
      </c>
      <c r="J33" s="672"/>
      <c r="K33" s="672"/>
      <c r="L33" s="671"/>
      <c r="M33" s="668"/>
      <c r="N33" s="632"/>
    </row>
    <row r="34" spans="1:14">
      <c r="A34" s="343"/>
      <c r="B34" s="344" t="s">
        <v>397</v>
      </c>
      <c r="C34" s="346">
        <f>SUM(C11:C33)</f>
        <v>34012079577.256573</v>
      </c>
      <c r="D34" s="346">
        <f t="shared" ref="D34:E34" si="7">SUM(D11:D33)</f>
        <v>2720966366.1805258</v>
      </c>
      <c r="E34" s="346">
        <f t="shared" si="7"/>
        <v>36733045943.437088</v>
      </c>
      <c r="F34" s="346" t="e">
        <f>+#REF!+F10</f>
        <v>#REF!</v>
      </c>
      <c r="G34" s="346" t="e">
        <f>+#REF!+G10</f>
        <v>#REF!</v>
      </c>
      <c r="H34" s="346" t="e">
        <f>+#REF!+H10</f>
        <v>#REF!</v>
      </c>
      <c r="I34" s="672" t="e">
        <f>+G34*0.02</f>
        <v>#REF!</v>
      </c>
      <c r="J34" s="672"/>
      <c r="K34" s="672"/>
      <c r="M34" s="359"/>
    </row>
    <row r="35" spans="1:14">
      <c r="F35" s="508"/>
      <c r="M35" s="359"/>
    </row>
    <row r="36" spans="1:14">
      <c r="G36" s="508"/>
      <c r="H36" s="508"/>
      <c r="M36" s="359"/>
    </row>
    <row r="37" spans="1:14">
      <c r="G37" s="359"/>
      <c r="H37" s="359"/>
      <c r="I37" s="359"/>
      <c r="J37" s="359"/>
      <c r="K37" s="359"/>
      <c r="M37" s="359"/>
    </row>
    <row r="38" spans="1:14">
      <c r="B38" s="508"/>
    </row>
    <row r="39" spans="1:14">
      <c r="B39" s="511"/>
    </row>
  </sheetData>
  <mergeCells count="3">
    <mergeCell ref="H6:H7"/>
    <mergeCell ref="A1:G1"/>
    <mergeCell ref="A3:G3"/>
  </mergeCells>
  <printOptions horizontalCentered="1"/>
  <pageMargins left="0.31496062992125984" right="0.15748031496062992" top="0.39370078740157483" bottom="0.39370078740157483" header="0.15748031496062992" footer="0.15748031496062992"/>
  <pageSetup paperSize="9" scale="80" orientation="landscape" blackAndWhite="1" r:id="rId1"/>
  <headerFooter alignWithMargins="0">
    <oddHeader>&amp;L&amp;"VNI-Aptima,Italic"&amp;8&amp;F&amp;R&amp;"VNI-Aptima,Italic"&amp;8&amp;A</oddHeader>
    <oddFooter>&amp;C&amp;"VNI-Aptima,Italic"&amp;8TRANG THU &amp;P/&amp;N</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5FCAE-C483-4D87-8843-6DEEB88DFDD3}">
  <sheetPr>
    <pageSetUpPr fitToPage="1"/>
  </sheetPr>
  <dimension ref="A2:M75"/>
  <sheetViews>
    <sheetView view="pageBreakPreview" topLeftCell="A61" zoomScaleNormal="100" zoomScaleSheetLayoutView="100" workbookViewId="0">
      <selection activeCell="H72" sqref="H72"/>
    </sheetView>
  </sheetViews>
  <sheetFormatPr defaultRowHeight="15.75"/>
  <cols>
    <col min="1" max="1" width="9.28515625" style="1583" customWidth="1"/>
    <col min="2" max="2" width="59.42578125" style="1612" customWidth="1"/>
    <col min="3" max="3" width="34" style="1612" customWidth="1"/>
    <col min="4" max="4" width="9.140625" style="1582"/>
    <col min="5" max="5" width="9.5703125" style="1613" bestFit="1" customWidth="1"/>
    <col min="6" max="6" width="16" style="1583" customWidth="1"/>
    <col min="7" max="7" width="16.42578125" style="1583" customWidth="1"/>
    <col min="8" max="8" width="71.140625" style="1583" customWidth="1"/>
    <col min="9" max="9" width="13.7109375" style="1583" customWidth="1"/>
    <col min="10" max="10" width="6.7109375" style="1583" customWidth="1"/>
    <col min="11" max="11" width="13.85546875" style="1583" customWidth="1"/>
    <col min="12" max="12" width="14.7109375" style="1583" customWidth="1"/>
    <col min="13" max="13" width="14.28515625" style="1583" bestFit="1" customWidth="1"/>
    <col min="14" max="18" width="9.140625" style="1583"/>
    <col min="19" max="19" width="13.140625" style="1583" bestFit="1" customWidth="1"/>
    <col min="20" max="257" width="9.140625" style="1583"/>
    <col min="258" max="258" width="9.28515625" style="1583" customWidth="1"/>
    <col min="259" max="259" width="59.42578125" style="1583" customWidth="1"/>
    <col min="260" max="260" width="9.140625" style="1583"/>
    <col min="261" max="261" width="9.5703125" style="1583" bestFit="1" customWidth="1"/>
    <col min="262" max="262" width="13.7109375" style="1583" customWidth="1"/>
    <col min="263" max="263" width="16.42578125" style="1583" customWidth="1"/>
    <col min="264" max="265" width="13.7109375" style="1583" customWidth="1"/>
    <col min="266" max="266" width="6.7109375" style="1583" customWidth="1"/>
    <col min="267" max="267" width="13.85546875" style="1583" customWidth="1"/>
    <col min="268" max="268" width="14.7109375" style="1583" customWidth="1"/>
    <col min="269" max="269" width="14.28515625" style="1583" bestFit="1" customWidth="1"/>
    <col min="270" max="274" width="9.140625" style="1583"/>
    <col min="275" max="275" width="13.140625" style="1583" bestFit="1" customWidth="1"/>
    <col min="276" max="513" width="9.140625" style="1583"/>
    <col min="514" max="514" width="9.28515625" style="1583" customWidth="1"/>
    <col min="515" max="515" width="59.42578125" style="1583" customWidth="1"/>
    <col min="516" max="516" width="9.140625" style="1583"/>
    <col min="517" max="517" width="9.5703125" style="1583" bestFit="1" customWidth="1"/>
    <col min="518" max="518" width="13.7109375" style="1583" customWidth="1"/>
    <col min="519" max="519" width="16.42578125" style="1583" customWidth="1"/>
    <col min="520" max="521" width="13.7109375" style="1583" customWidth="1"/>
    <col min="522" max="522" width="6.7109375" style="1583" customWidth="1"/>
    <col min="523" max="523" width="13.85546875" style="1583" customWidth="1"/>
    <col min="524" max="524" width="14.7109375" style="1583" customWidth="1"/>
    <col min="525" max="525" width="14.28515625" style="1583" bestFit="1" customWidth="1"/>
    <col min="526" max="530" width="9.140625" style="1583"/>
    <col min="531" max="531" width="13.140625" style="1583" bestFit="1" customWidth="1"/>
    <col min="532" max="769" width="9.140625" style="1583"/>
    <col min="770" max="770" width="9.28515625" style="1583" customWidth="1"/>
    <col min="771" max="771" width="59.42578125" style="1583" customWidth="1"/>
    <col min="772" max="772" width="9.140625" style="1583"/>
    <col min="773" max="773" width="9.5703125" style="1583" bestFit="1" customWidth="1"/>
    <col min="774" max="774" width="13.7109375" style="1583" customWidth="1"/>
    <col min="775" max="775" width="16.42578125" style="1583" customWidth="1"/>
    <col min="776" max="777" width="13.7109375" style="1583" customWidth="1"/>
    <col min="778" max="778" width="6.7109375" style="1583" customWidth="1"/>
    <col min="779" max="779" width="13.85546875" style="1583" customWidth="1"/>
    <col min="780" max="780" width="14.7109375" style="1583" customWidth="1"/>
    <col min="781" max="781" width="14.28515625" style="1583" bestFit="1" customWidth="1"/>
    <col min="782" max="786" width="9.140625" style="1583"/>
    <col min="787" max="787" width="13.140625" style="1583" bestFit="1" customWidth="1"/>
    <col min="788" max="1025" width="9.140625" style="1583"/>
    <col min="1026" max="1026" width="9.28515625" style="1583" customWidth="1"/>
    <col min="1027" max="1027" width="59.42578125" style="1583" customWidth="1"/>
    <col min="1028" max="1028" width="9.140625" style="1583"/>
    <col min="1029" max="1029" width="9.5703125" style="1583" bestFit="1" customWidth="1"/>
    <col min="1030" max="1030" width="13.7109375" style="1583" customWidth="1"/>
    <col min="1031" max="1031" width="16.42578125" style="1583" customWidth="1"/>
    <col min="1032" max="1033" width="13.7109375" style="1583" customWidth="1"/>
    <col min="1034" max="1034" width="6.7109375" style="1583" customWidth="1"/>
    <col min="1035" max="1035" width="13.85546875" style="1583" customWidth="1"/>
    <col min="1036" max="1036" width="14.7109375" style="1583" customWidth="1"/>
    <col min="1037" max="1037" width="14.28515625" style="1583" bestFit="1" customWidth="1"/>
    <col min="1038" max="1042" width="9.140625" style="1583"/>
    <col min="1043" max="1043" width="13.140625" style="1583" bestFit="1" customWidth="1"/>
    <col min="1044" max="1281" width="9.140625" style="1583"/>
    <col min="1282" max="1282" width="9.28515625" style="1583" customWidth="1"/>
    <col min="1283" max="1283" width="59.42578125" style="1583" customWidth="1"/>
    <col min="1284" max="1284" width="9.140625" style="1583"/>
    <col min="1285" max="1285" width="9.5703125" style="1583" bestFit="1" customWidth="1"/>
    <col min="1286" max="1286" width="13.7109375" style="1583" customWidth="1"/>
    <col min="1287" max="1287" width="16.42578125" style="1583" customWidth="1"/>
    <col min="1288" max="1289" width="13.7109375" style="1583" customWidth="1"/>
    <col min="1290" max="1290" width="6.7109375" style="1583" customWidth="1"/>
    <col min="1291" max="1291" width="13.85546875" style="1583" customWidth="1"/>
    <col min="1292" max="1292" width="14.7109375" style="1583" customWidth="1"/>
    <col min="1293" max="1293" width="14.28515625" style="1583" bestFit="1" customWidth="1"/>
    <col min="1294" max="1298" width="9.140625" style="1583"/>
    <col min="1299" max="1299" width="13.140625" style="1583" bestFit="1" customWidth="1"/>
    <col min="1300" max="1537" width="9.140625" style="1583"/>
    <col min="1538" max="1538" width="9.28515625" style="1583" customWidth="1"/>
    <col min="1539" max="1539" width="59.42578125" style="1583" customWidth="1"/>
    <col min="1540" max="1540" width="9.140625" style="1583"/>
    <col min="1541" max="1541" width="9.5703125" style="1583" bestFit="1" customWidth="1"/>
    <col min="1542" max="1542" width="13.7109375" style="1583" customWidth="1"/>
    <col min="1543" max="1543" width="16.42578125" style="1583" customWidth="1"/>
    <col min="1544" max="1545" width="13.7109375" style="1583" customWidth="1"/>
    <col min="1546" max="1546" width="6.7109375" style="1583" customWidth="1"/>
    <col min="1547" max="1547" width="13.85546875" style="1583" customWidth="1"/>
    <col min="1548" max="1548" width="14.7109375" style="1583" customWidth="1"/>
    <col min="1549" max="1549" width="14.28515625" style="1583" bestFit="1" customWidth="1"/>
    <col min="1550" max="1554" width="9.140625" style="1583"/>
    <col min="1555" max="1555" width="13.140625" style="1583" bestFit="1" customWidth="1"/>
    <col min="1556" max="1793" width="9.140625" style="1583"/>
    <col min="1794" max="1794" width="9.28515625" style="1583" customWidth="1"/>
    <col min="1795" max="1795" width="59.42578125" style="1583" customWidth="1"/>
    <col min="1796" max="1796" width="9.140625" style="1583"/>
    <col min="1797" max="1797" width="9.5703125" style="1583" bestFit="1" customWidth="1"/>
    <col min="1798" max="1798" width="13.7109375" style="1583" customWidth="1"/>
    <col min="1799" max="1799" width="16.42578125" style="1583" customWidth="1"/>
    <col min="1800" max="1801" width="13.7109375" style="1583" customWidth="1"/>
    <col min="1802" max="1802" width="6.7109375" style="1583" customWidth="1"/>
    <col min="1803" max="1803" width="13.85546875" style="1583" customWidth="1"/>
    <col min="1804" max="1804" width="14.7109375" style="1583" customWidth="1"/>
    <col min="1805" max="1805" width="14.28515625" style="1583" bestFit="1" customWidth="1"/>
    <col min="1806" max="1810" width="9.140625" style="1583"/>
    <col min="1811" max="1811" width="13.140625" style="1583" bestFit="1" customWidth="1"/>
    <col min="1812" max="2049" width="9.140625" style="1583"/>
    <col min="2050" max="2050" width="9.28515625" style="1583" customWidth="1"/>
    <col min="2051" max="2051" width="59.42578125" style="1583" customWidth="1"/>
    <col min="2052" max="2052" width="9.140625" style="1583"/>
    <col min="2053" max="2053" width="9.5703125" style="1583" bestFit="1" customWidth="1"/>
    <col min="2054" max="2054" width="13.7109375" style="1583" customWidth="1"/>
    <col min="2055" max="2055" width="16.42578125" style="1583" customWidth="1"/>
    <col min="2056" max="2057" width="13.7109375" style="1583" customWidth="1"/>
    <col min="2058" max="2058" width="6.7109375" style="1583" customWidth="1"/>
    <col min="2059" max="2059" width="13.85546875" style="1583" customWidth="1"/>
    <col min="2060" max="2060" width="14.7109375" style="1583" customWidth="1"/>
    <col min="2061" max="2061" width="14.28515625" style="1583" bestFit="1" customWidth="1"/>
    <col min="2062" max="2066" width="9.140625" style="1583"/>
    <col min="2067" max="2067" width="13.140625" style="1583" bestFit="1" customWidth="1"/>
    <col min="2068" max="2305" width="9.140625" style="1583"/>
    <col min="2306" max="2306" width="9.28515625" style="1583" customWidth="1"/>
    <col min="2307" max="2307" width="59.42578125" style="1583" customWidth="1"/>
    <col min="2308" max="2308" width="9.140625" style="1583"/>
    <col min="2309" max="2309" width="9.5703125" style="1583" bestFit="1" customWidth="1"/>
    <col min="2310" max="2310" width="13.7109375" style="1583" customWidth="1"/>
    <col min="2311" max="2311" width="16.42578125" style="1583" customWidth="1"/>
    <col min="2312" max="2313" width="13.7109375" style="1583" customWidth="1"/>
    <col min="2314" max="2314" width="6.7109375" style="1583" customWidth="1"/>
    <col min="2315" max="2315" width="13.85546875" style="1583" customWidth="1"/>
    <col min="2316" max="2316" width="14.7109375" style="1583" customWidth="1"/>
    <col min="2317" max="2317" width="14.28515625" style="1583" bestFit="1" customWidth="1"/>
    <col min="2318" max="2322" width="9.140625" style="1583"/>
    <col min="2323" max="2323" width="13.140625" style="1583" bestFit="1" customWidth="1"/>
    <col min="2324" max="2561" width="9.140625" style="1583"/>
    <col min="2562" max="2562" width="9.28515625" style="1583" customWidth="1"/>
    <col min="2563" max="2563" width="59.42578125" style="1583" customWidth="1"/>
    <col min="2564" max="2564" width="9.140625" style="1583"/>
    <col min="2565" max="2565" width="9.5703125" style="1583" bestFit="1" customWidth="1"/>
    <col min="2566" max="2566" width="13.7109375" style="1583" customWidth="1"/>
    <col min="2567" max="2567" width="16.42578125" style="1583" customWidth="1"/>
    <col min="2568" max="2569" width="13.7109375" style="1583" customWidth="1"/>
    <col min="2570" max="2570" width="6.7109375" style="1583" customWidth="1"/>
    <col min="2571" max="2571" width="13.85546875" style="1583" customWidth="1"/>
    <col min="2572" max="2572" width="14.7109375" style="1583" customWidth="1"/>
    <col min="2573" max="2573" width="14.28515625" style="1583" bestFit="1" customWidth="1"/>
    <col min="2574" max="2578" width="9.140625" style="1583"/>
    <col min="2579" max="2579" width="13.140625" style="1583" bestFit="1" customWidth="1"/>
    <col min="2580" max="2817" width="9.140625" style="1583"/>
    <col min="2818" max="2818" width="9.28515625" style="1583" customWidth="1"/>
    <col min="2819" max="2819" width="59.42578125" style="1583" customWidth="1"/>
    <col min="2820" max="2820" width="9.140625" style="1583"/>
    <col min="2821" max="2821" width="9.5703125" style="1583" bestFit="1" customWidth="1"/>
    <col min="2822" max="2822" width="13.7109375" style="1583" customWidth="1"/>
    <col min="2823" max="2823" width="16.42578125" style="1583" customWidth="1"/>
    <col min="2824" max="2825" width="13.7109375" style="1583" customWidth="1"/>
    <col min="2826" max="2826" width="6.7109375" style="1583" customWidth="1"/>
    <col min="2827" max="2827" width="13.85546875" style="1583" customWidth="1"/>
    <col min="2828" max="2828" width="14.7109375" style="1583" customWidth="1"/>
    <col min="2829" max="2829" width="14.28515625" style="1583" bestFit="1" customWidth="1"/>
    <col min="2830" max="2834" width="9.140625" style="1583"/>
    <col min="2835" max="2835" width="13.140625" style="1583" bestFit="1" customWidth="1"/>
    <col min="2836" max="3073" width="9.140625" style="1583"/>
    <col min="3074" max="3074" width="9.28515625" style="1583" customWidth="1"/>
    <col min="3075" max="3075" width="59.42578125" style="1583" customWidth="1"/>
    <col min="3076" max="3076" width="9.140625" style="1583"/>
    <col min="3077" max="3077" width="9.5703125" style="1583" bestFit="1" customWidth="1"/>
    <col min="3078" max="3078" width="13.7109375" style="1583" customWidth="1"/>
    <col min="3079" max="3079" width="16.42578125" style="1583" customWidth="1"/>
    <col min="3080" max="3081" width="13.7109375" style="1583" customWidth="1"/>
    <col min="3082" max="3082" width="6.7109375" style="1583" customWidth="1"/>
    <col min="3083" max="3083" width="13.85546875" style="1583" customWidth="1"/>
    <col min="3084" max="3084" width="14.7109375" style="1583" customWidth="1"/>
    <col min="3085" max="3085" width="14.28515625" style="1583" bestFit="1" customWidth="1"/>
    <col min="3086" max="3090" width="9.140625" style="1583"/>
    <col min="3091" max="3091" width="13.140625" style="1583" bestFit="1" customWidth="1"/>
    <col min="3092" max="3329" width="9.140625" style="1583"/>
    <col min="3330" max="3330" width="9.28515625" style="1583" customWidth="1"/>
    <col min="3331" max="3331" width="59.42578125" style="1583" customWidth="1"/>
    <col min="3332" max="3332" width="9.140625" style="1583"/>
    <col min="3333" max="3333" width="9.5703125" style="1583" bestFit="1" customWidth="1"/>
    <col min="3334" max="3334" width="13.7109375" style="1583" customWidth="1"/>
    <col min="3335" max="3335" width="16.42578125" style="1583" customWidth="1"/>
    <col min="3336" max="3337" width="13.7109375" style="1583" customWidth="1"/>
    <col min="3338" max="3338" width="6.7109375" style="1583" customWidth="1"/>
    <col min="3339" max="3339" width="13.85546875" style="1583" customWidth="1"/>
    <col min="3340" max="3340" width="14.7109375" style="1583" customWidth="1"/>
    <col min="3341" max="3341" width="14.28515625" style="1583" bestFit="1" customWidth="1"/>
    <col min="3342" max="3346" width="9.140625" style="1583"/>
    <col min="3347" max="3347" width="13.140625" style="1583" bestFit="1" customWidth="1"/>
    <col min="3348" max="3585" width="9.140625" style="1583"/>
    <col min="3586" max="3586" width="9.28515625" style="1583" customWidth="1"/>
    <col min="3587" max="3587" width="59.42578125" style="1583" customWidth="1"/>
    <col min="3588" max="3588" width="9.140625" style="1583"/>
    <col min="3589" max="3589" width="9.5703125" style="1583" bestFit="1" customWidth="1"/>
    <col min="3590" max="3590" width="13.7109375" style="1583" customWidth="1"/>
    <col min="3591" max="3591" width="16.42578125" style="1583" customWidth="1"/>
    <col min="3592" max="3593" width="13.7109375" style="1583" customWidth="1"/>
    <col min="3594" max="3594" width="6.7109375" style="1583" customWidth="1"/>
    <col min="3595" max="3595" width="13.85546875" style="1583" customWidth="1"/>
    <col min="3596" max="3596" width="14.7109375" style="1583" customWidth="1"/>
    <col min="3597" max="3597" width="14.28515625" style="1583" bestFit="1" customWidth="1"/>
    <col min="3598" max="3602" width="9.140625" style="1583"/>
    <col min="3603" max="3603" width="13.140625" style="1583" bestFit="1" customWidth="1"/>
    <col min="3604" max="3841" width="9.140625" style="1583"/>
    <col min="3842" max="3842" width="9.28515625" style="1583" customWidth="1"/>
    <col min="3843" max="3843" width="59.42578125" style="1583" customWidth="1"/>
    <col min="3844" max="3844" width="9.140625" style="1583"/>
    <col min="3845" max="3845" width="9.5703125" style="1583" bestFit="1" customWidth="1"/>
    <col min="3846" max="3846" width="13.7109375" style="1583" customWidth="1"/>
    <col min="3847" max="3847" width="16.42578125" style="1583" customWidth="1"/>
    <col min="3848" max="3849" width="13.7109375" style="1583" customWidth="1"/>
    <col min="3850" max="3850" width="6.7109375" style="1583" customWidth="1"/>
    <col min="3851" max="3851" width="13.85546875" style="1583" customWidth="1"/>
    <col min="3852" max="3852" width="14.7109375" style="1583" customWidth="1"/>
    <col min="3853" max="3853" width="14.28515625" style="1583" bestFit="1" customWidth="1"/>
    <col min="3854" max="3858" width="9.140625" style="1583"/>
    <col min="3859" max="3859" width="13.140625" style="1583" bestFit="1" customWidth="1"/>
    <col min="3860" max="4097" width="9.140625" style="1583"/>
    <col min="4098" max="4098" width="9.28515625" style="1583" customWidth="1"/>
    <col min="4099" max="4099" width="59.42578125" style="1583" customWidth="1"/>
    <col min="4100" max="4100" width="9.140625" style="1583"/>
    <col min="4101" max="4101" width="9.5703125" style="1583" bestFit="1" customWidth="1"/>
    <col min="4102" max="4102" width="13.7109375" style="1583" customWidth="1"/>
    <col min="4103" max="4103" width="16.42578125" style="1583" customWidth="1"/>
    <col min="4104" max="4105" width="13.7109375" style="1583" customWidth="1"/>
    <col min="4106" max="4106" width="6.7109375" style="1583" customWidth="1"/>
    <col min="4107" max="4107" width="13.85546875" style="1583" customWidth="1"/>
    <col min="4108" max="4108" width="14.7109375" style="1583" customWidth="1"/>
    <col min="4109" max="4109" width="14.28515625" style="1583" bestFit="1" customWidth="1"/>
    <col min="4110" max="4114" width="9.140625" style="1583"/>
    <col min="4115" max="4115" width="13.140625" style="1583" bestFit="1" customWidth="1"/>
    <col min="4116" max="4353" width="9.140625" style="1583"/>
    <col min="4354" max="4354" width="9.28515625" style="1583" customWidth="1"/>
    <col min="4355" max="4355" width="59.42578125" style="1583" customWidth="1"/>
    <col min="4356" max="4356" width="9.140625" style="1583"/>
    <col min="4357" max="4357" width="9.5703125" style="1583" bestFit="1" customWidth="1"/>
    <col min="4358" max="4358" width="13.7109375" style="1583" customWidth="1"/>
    <col min="4359" max="4359" width="16.42578125" style="1583" customWidth="1"/>
    <col min="4360" max="4361" width="13.7109375" style="1583" customWidth="1"/>
    <col min="4362" max="4362" width="6.7109375" style="1583" customWidth="1"/>
    <col min="4363" max="4363" width="13.85546875" style="1583" customWidth="1"/>
    <col min="4364" max="4364" width="14.7109375" style="1583" customWidth="1"/>
    <col min="4365" max="4365" width="14.28515625" style="1583" bestFit="1" customWidth="1"/>
    <col min="4366" max="4370" width="9.140625" style="1583"/>
    <col min="4371" max="4371" width="13.140625" style="1583" bestFit="1" customWidth="1"/>
    <col min="4372" max="4609" width="9.140625" style="1583"/>
    <col min="4610" max="4610" width="9.28515625" style="1583" customWidth="1"/>
    <col min="4611" max="4611" width="59.42578125" style="1583" customWidth="1"/>
    <col min="4612" max="4612" width="9.140625" style="1583"/>
    <col min="4613" max="4613" width="9.5703125" style="1583" bestFit="1" customWidth="1"/>
    <col min="4614" max="4614" width="13.7109375" style="1583" customWidth="1"/>
    <col min="4615" max="4615" width="16.42578125" style="1583" customWidth="1"/>
    <col min="4616" max="4617" width="13.7109375" style="1583" customWidth="1"/>
    <col min="4618" max="4618" width="6.7109375" style="1583" customWidth="1"/>
    <col min="4619" max="4619" width="13.85546875" style="1583" customWidth="1"/>
    <col min="4620" max="4620" width="14.7109375" style="1583" customWidth="1"/>
    <col min="4621" max="4621" width="14.28515625" style="1583" bestFit="1" customWidth="1"/>
    <col min="4622" max="4626" width="9.140625" style="1583"/>
    <col min="4627" max="4627" width="13.140625" style="1583" bestFit="1" customWidth="1"/>
    <col min="4628" max="4865" width="9.140625" style="1583"/>
    <col min="4866" max="4866" width="9.28515625" style="1583" customWidth="1"/>
    <col min="4867" max="4867" width="59.42578125" style="1583" customWidth="1"/>
    <col min="4868" max="4868" width="9.140625" style="1583"/>
    <col min="4869" max="4869" width="9.5703125" style="1583" bestFit="1" customWidth="1"/>
    <col min="4870" max="4870" width="13.7109375" style="1583" customWidth="1"/>
    <col min="4871" max="4871" width="16.42578125" style="1583" customWidth="1"/>
    <col min="4872" max="4873" width="13.7109375" style="1583" customWidth="1"/>
    <col min="4874" max="4874" width="6.7109375" style="1583" customWidth="1"/>
    <col min="4875" max="4875" width="13.85546875" style="1583" customWidth="1"/>
    <col min="4876" max="4876" width="14.7109375" style="1583" customWidth="1"/>
    <col min="4877" max="4877" width="14.28515625" style="1583" bestFit="1" customWidth="1"/>
    <col min="4878" max="4882" width="9.140625" style="1583"/>
    <col min="4883" max="4883" width="13.140625" style="1583" bestFit="1" customWidth="1"/>
    <col min="4884" max="5121" width="9.140625" style="1583"/>
    <col min="5122" max="5122" width="9.28515625" style="1583" customWidth="1"/>
    <col min="5123" max="5123" width="59.42578125" style="1583" customWidth="1"/>
    <col min="5124" max="5124" width="9.140625" style="1583"/>
    <col min="5125" max="5125" width="9.5703125" style="1583" bestFit="1" customWidth="1"/>
    <col min="5126" max="5126" width="13.7109375" style="1583" customWidth="1"/>
    <col min="5127" max="5127" width="16.42578125" style="1583" customWidth="1"/>
    <col min="5128" max="5129" width="13.7109375" style="1583" customWidth="1"/>
    <col min="5130" max="5130" width="6.7109375" style="1583" customWidth="1"/>
    <col min="5131" max="5131" width="13.85546875" style="1583" customWidth="1"/>
    <col min="5132" max="5132" width="14.7109375" style="1583" customWidth="1"/>
    <col min="5133" max="5133" width="14.28515625" style="1583" bestFit="1" customWidth="1"/>
    <col min="5134" max="5138" width="9.140625" style="1583"/>
    <col min="5139" max="5139" width="13.140625" style="1583" bestFit="1" customWidth="1"/>
    <col min="5140" max="5377" width="9.140625" style="1583"/>
    <col min="5378" max="5378" width="9.28515625" style="1583" customWidth="1"/>
    <col min="5379" max="5379" width="59.42578125" style="1583" customWidth="1"/>
    <col min="5380" max="5380" width="9.140625" style="1583"/>
    <col min="5381" max="5381" width="9.5703125" style="1583" bestFit="1" customWidth="1"/>
    <col min="5382" max="5382" width="13.7109375" style="1583" customWidth="1"/>
    <col min="5383" max="5383" width="16.42578125" style="1583" customWidth="1"/>
    <col min="5384" max="5385" width="13.7109375" style="1583" customWidth="1"/>
    <col min="5386" max="5386" width="6.7109375" style="1583" customWidth="1"/>
    <col min="5387" max="5387" width="13.85546875" style="1583" customWidth="1"/>
    <col min="5388" max="5388" width="14.7109375" style="1583" customWidth="1"/>
    <col min="5389" max="5389" width="14.28515625" style="1583" bestFit="1" customWidth="1"/>
    <col min="5390" max="5394" width="9.140625" style="1583"/>
    <col min="5395" max="5395" width="13.140625" style="1583" bestFit="1" customWidth="1"/>
    <col min="5396" max="5633" width="9.140625" style="1583"/>
    <col min="5634" max="5634" width="9.28515625" style="1583" customWidth="1"/>
    <col min="5635" max="5635" width="59.42578125" style="1583" customWidth="1"/>
    <col min="5636" max="5636" width="9.140625" style="1583"/>
    <col min="5637" max="5637" width="9.5703125" style="1583" bestFit="1" customWidth="1"/>
    <col min="5638" max="5638" width="13.7109375" style="1583" customWidth="1"/>
    <col min="5639" max="5639" width="16.42578125" style="1583" customWidth="1"/>
    <col min="5640" max="5641" width="13.7109375" style="1583" customWidth="1"/>
    <col min="5642" max="5642" width="6.7109375" style="1583" customWidth="1"/>
    <col min="5643" max="5643" width="13.85546875" style="1583" customWidth="1"/>
    <col min="5644" max="5644" width="14.7109375" style="1583" customWidth="1"/>
    <col min="5645" max="5645" width="14.28515625" style="1583" bestFit="1" customWidth="1"/>
    <col min="5646" max="5650" width="9.140625" style="1583"/>
    <col min="5651" max="5651" width="13.140625" style="1583" bestFit="1" customWidth="1"/>
    <col min="5652" max="5889" width="9.140625" style="1583"/>
    <col min="5890" max="5890" width="9.28515625" style="1583" customWidth="1"/>
    <col min="5891" max="5891" width="59.42578125" style="1583" customWidth="1"/>
    <col min="5892" max="5892" width="9.140625" style="1583"/>
    <col min="5893" max="5893" width="9.5703125" style="1583" bestFit="1" customWidth="1"/>
    <col min="5894" max="5894" width="13.7109375" style="1583" customWidth="1"/>
    <col min="5895" max="5895" width="16.42578125" style="1583" customWidth="1"/>
    <col min="5896" max="5897" width="13.7109375" style="1583" customWidth="1"/>
    <col min="5898" max="5898" width="6.7109375" style="1583" customWidth="1"/>
    <col min="5899" max="5899" width="13.85546875" style="1583" customWidth="1"/>
    <col min="5900" max="5900" width="14.7109375" style="1583" customWidth="1"/>
    <col min="5901" max="5901" width="14.28515625" style="1583" bestFit="1" customWidth="1"/>
    <col min="5902" max="5906" width="9.140625" style="1583"/>
    <col min="5907" max="5907" width="13.140625" style="1583" bestFit="1" customWidth="1"/>
    <col min="5908" max="6145" width="9.140625" style="1583"/>
    <col min="6146" max="6146" width="9.28515625" style="1583" customWidth="1"/>
    <col min="6147" max="6147" width="59.42578125" style="1583" customWidth="1"/>
    <col min="6148" max="6148" width="9.140625" style="1583"/>
    <col min="6149" max="6149" width="9.5703125" style="1583" bestFit="1" customWidth="1"/>
    <col min="6150" max="6150" width="13.7109375" style="1583" customWidth="1"/>
    <col min="6151" max="6151" width="16.42578125" style="1583" customWidth="1"/>
    <col min="6152" max="6153" width="13.7109375" style="1583" customWidth="1"/>
    <col min="6154" max="6154" width="6.7109375" style="1583" customWidth="1"/>
    <col min="6155" max="6155" width="13.85546875" style="1583" customWidth="1"/>
    <col min="6156" max="6156" width="14.7109375" style="1583" customWidth="1"/>
    <col min="6157" max="6157" width="14.28515625" style="1583" bestFit="1" customWidth="1"/>
    <col min="6158" max="6162" width="9.140625" style="1583"/>
    <col min="6163" max="6163" width="13.140625" style="1583" bestFit="1" customWidth="1"/>
    <col min="6164" max="6401" width="9.140625" style="1583"/>
    <col min="6402" max="6402" width="9.28515625" style="1583" customWidth="1"/>
    <col min="6403" max="6403" width="59.42578125" style="1583" customWidth="1"/>
    <col min="6404" max="6404" width="9.140625" style="1583"/>
    <col min="6405" max="6405" width="9.5703125" style="1583" bestFit="1" customWidth="1"/>
    <col min="6406" max="6406" width="13.7109375" style="1583" customWidth="1"/>
    <col min="6407" max="6407" width="16.42578125" style="1583" customWidth="1"/>
    <col min="6408" max="6409" width="13.7109375" style="1583" customWidth="1"/>
    <col min="6410" max="6410" width="6.7109375" style="1583" customWidth="1"/>
    <col min="6411" max="6411" width="13.85546875" style="1583" customWidth="1"/>
    <col min="6412" max="6412" width="14.7109375" style="1583" customWidth="1"/>
    <col min="6413" max="6413" width="14.28515625" style="1583" bestFit="1" customWidth="1"/>
    <col min="6414" max="6418" width="9.140625" style="1583"/>
    <col min="6419" max="6419" width="13.140625" style="1583" bestFit="1" customWidth="1"/>
    <col min="6420" max="6657" width="9.140625" style="1583"/>
    <col min="6658" max="6658" width="9.28515625" style="1583" customWidth="1"/>
    <col min="6659" max="6659" width="59.42578125" style="1583" customWidth="1"/>
    <col min="6660" max="6660" width="9.140625" style="1583"/>
    <col min="6661" max="6661" width="9.5703125" style="1583" bestFit="1" customWidth="1"/>
    <col min="6662" max="6662" width="13.7109375" style="1583" customWidth="1"/>
    <col min="6663" max="6663" width="16.42578125" style="1583" customWidth="1"/>
    <col min="6664" max="6665" width="13.7109375" style="1583" customWidth="1"/>
    <col min="6666" max="6666" width="6.7109375" style="1583" customWidth="1"/>
    <col min="6667" max="6667" width="13.85546875" style="1583" customWidth="1"/>
    <col min="6668" max="6668" width="14.7109375" style="1583" customWidth="1"/>
    <col min="6669" max="6669" width="14.28515625" style="1583" bestFit="1" customWidth="1"/>
    <col min="6670" max="6674" width="9.140625" style="1583"/>
    <col min="6675" max="6675" width="13.140625" style="1583" bestFit="1" customWidth="1"/>
    <col min="6676" max="6913" width="9.140625" style="1583"/>
    <col min="6914" max="6914" width="9.28515625" style="1583" customWidth="1"/>
    <col min="6915" max="6915" width="59.42578125" style="1583" customWidth="1"/>
    <col min="6916" max="6916" width="9.140625" style="1583"/>
    <col min="6917" max="6917" width="9.5703125" style="1583" bestFit="1" customWidth="1"/>
    <col min="6918" max="6918" width="13.7109375" style="1583" customWidth="1"/>
    <col min="6919" max="6919" width="16.42578125" style="1583" customWidth="1"/>
    <col min="6920" max="6921" width="13.7109375" style="1583" customWidth="1"/>
    <col min="6922" max="6922" width="6.7109375" style="1583" customWidth="1"/>
    <col min="6923" max="6923" width="13.85546875" style="1583" customWidth="1"/>
    <col min="6924" max="6924" width="14.7109375" style="1583" customWidth="1"/>
    <col min="6925" max="6925" width="14.28515625" style="1583" bestFit="1" customWidth="1"/>
    <col min="6926" max="6930" width="9.140625" style="1583"/>
    <col min="6931" max="6931" width="13.140625" style="1583" bestFit="1" customWidth="1"/>
    <col min="6932" max="7169" width="9.140625" style="1583"/>
    <col min="7170" max="7170" width="9.28515625" style="1583" customWidth="1"/>
    <col min="7171" max="7171" width="59.42578125" style="1583" customWidth="1"/>
    <col min="7172" max="7172" width="9.140625" style="1583"/>
    <col min="7173" max="7173" width="9.5703125" style="1583" bestFit="1" customWidth="1"/>
    <col min="7174" max="7174" width="13.7109375" style="1583" customWidth="1"/>
    <col min="7175" max="7175" width="16.42578125" style="1583" customWidth="1"/>
    <col min="7176" max="7177" width="13.7109375" style="1583" customWidth="1"/>
    <col min="7178" max="7178" width="6.7109375" style="1583" customWidth="1"/>
    <col min="7179" max="7179" width="13.85546875" style="1583" customWidth="1"/>
    <col min="7180" max="7180" width="14.7109375" style="1583" customWidth="1"/>
    <col min="7181" max="7181" width="14.28515625" style="1583" bestFit="1" customWidth="1"/>
    <col min="7182" max="7186" width="9.140625" style="1583"/>
    <col min="7187" max="7187" width="13.140625" style="1583" bestFit="1" customWidth="1"/>
    <col min="7188" max="7425" width="9.140625" style="1583"/>
    <col min="7426" max="7426" width="9.28515625" style="1583" customWidth="1"/>
    <col min="7427" max="7427" width="59.42578125" style="1583" customWidth="1"/>
    <col min="7428" max="7428" width="9.140625" style="1583"/>
    <col min="7429" max="7429" width="9.5703125" style="1583" bestFit="1" customWidth="1"/>
    <col min="7430" max="7430" width="13.7109375" style="1583" customWidth="1"/>
    <col min="7431" max="7431" width="16.42578125" style="1583" customWidth="1"/>
    <col min="7432" max="7433" width="13.7109375" style="1583" customWidth="1"/>
    <col min="7434" max="7434" width="6.7109375" style="1583" customWidth="1"/>
    <col min="7435" max="7435" width="13.85546875" style="1583" customWidth="1"/>
    <col min="7436" max="7436" width="14.7109375" style="1583" customWidth="1"/>
    <col min="7437" max="7437" width="14.28515625" style="1583" bestFit="1" customWidth="1"/>
    <col min="7438" max="7442" width="9.140625" style="1583"/>
    <col min="7443" max="7443" width="13.140625" style="1583" bestFit="1" customWidth="1"/>
    <col min="7444" max="7681" width="9.140625" style="1583"/>
    <col min="7682" max="7682" width="9.28515625" style="1583" customWidth="1"/>
    <col min="7683" max="7683" width="59.42578125" style="1583" customWidth="1"/>
    <col min="7684" max="7684" width="9.140625" style="1583"/>
    <col min="7685" max="7685" width="9.5703125" style="1583" bestFit="1" customWidth="1"/>
    <col min="7686" max="7686" width="13.7109375" style="1583" customWidth="1"/>
    <col min="7687" max="7687" width="16.42578125" style="1583" customWidth="1"/>
    <col min="7688" max="7689" width="13.7109375" style="1583" customWidth="1"/>
    <col min="7690" max="7690" width="6.7109375" style="1583" customWidth="1"/>
    <col min="7691" max="7691" width="13.85546875" style="1583" customWidth="1"/>
    <col min="7692" max="7692" width="14.7109375" style="1583" customWidth="1"/>
    <col min="7693" max="7693" width="14.28515625" style="1583" bestFit="1" customWidth="1"/>
    <col min="7694" max="7698" width="9.140625" style="1583"/>
    <col min="7699" max="7699" width="13.140625" style="1583" bestFit="1" customWidth="1"/>
    <col min="7700" max="7937" width="9.140625" style="1583"/>
    <col min="7938" max="7938" width="9.28515625" style="1583" customWidth="1"/>
    <col min="7939" max="7939" width="59.42578125" style="1583" customWidth="1"/>
    <col min="7940" max="7940" width="9.140625" style="1583"/>
    <col min="7941" max="7941" width="9.5703125" style="1583" bestFit="1" customWidth="1"/>
    <col min="7942" max="7942" width="13.7109375" style="1583" customWidth="1"/>
    <col min="7943" max="7943" width="16.42578125" style="1583" customWidth="1"/>
    <col min="7944" max="7945" width="13.7109375" style="1583" customWidth="1"/>
    <col min="7946" max="7946" width="6.7109375" style="1583" customWidth="1"/>
    <col min="7947" max="7947" width="13.85546875" style="1583" customWidth="1"/>
    <col min="7948" max="7948" width="14.7109375" style="1583" customWidth="1"/>
    <col min="7949" max="7949" width="14.28515625" style="1583" bestFit="1" customWidth="1"/>
    <col min="7950" max="7954" width="9.140625" style="1583"/>
    <col min="7955" max="7955" width="13.140625" style="1583" bestFit="1" customWidth="1"/>
    <col min="7956" max="8193" width="9.140625" style="1583"/>
    <col min="8194" max="8194" width="9.28515625" style="1583" customWidth="1"/>
    <col min="8195" max="8195" width="59.42578125" style="1583" customWidth="1"/>
    <col min="8196" max="8196" width="9.140625" style="1583"/>
    <col min="8197" max="8197" width="9.5703125" style="1583" bestFit="1" customWidth="1"/>
    <col min="8198" max="8198" width="13.7109375" style="1583" customWidth="1"/>
    <col min="8199" max="8199" width="16.42578125" style="1583" customWidth="1"/>
    <col min="8200" max="8201" width="13.7109375" style="1583" customWidth="1"/>
    <col min="8202" max="8202" width="6.7109375" style="1583" customWidth="1"/>
    <col min="8203" max="8203" width="13.85546875" style="1583" customWidth="1"/>
    <col min="8204" max="8204" width="14.7109375" style="1583" customWidth="1"/>
    <col min="8205" max="8205" width="14.28515625" style="1583" bestFit="1" customWidth="1"/>
    <col min="8206" max="8210" width="9.140625" style="1583"/>
    <col min="8211" max="8211" width="13.140625" style="1583" bestFit="1" customWidth="1"/>
    <col min="8212" max="8449" width="9.140625" style="1583"/>
    <col min="8450" max="8450" width="9.28515625" style="1583" customWidth="1"/>
    <col min="8451" max="8451" width="59.42578125" style="1583" customWidth="1"/>
    <col min="8452" max="8452" width="9.140625" style="1583"/>
    <col min="8453" max="8453" width="9.5703125" style="1583" bestFit="1" customWidth="1"/>
    <col min="8454" max="8454" width="13.7109375" style="1583" customWidth="1"/>
    <col min="8455" max="8455" width="16.42578125" style="1583" customWidth="1"/>
    <col min="8456" max="8457" width="13.7109375" style="1583" customWidth="1"/>
    <col min="8458" max="8458" width="6.7109375" style="1583" customWidth="1"/>
    <col min="8459" max="8459" width="13.85546875" style="1583" customWidth="1"/>
    <col min="8460" max="8460" width="14.7109375" style="1583" customWidth="1"/>
    <col min="8461" max="8461" width="14.28515625" style="1583" bestFit="1" customWidth="1"/>
    <col min="8462" max="8466" width="9.140625" style="1583"/>
    <col min="8467" max="8467" width="13.140625" style="1583" bestFit="1" customWidth="1"/>
    <col min="8468" max="8705" width="9.140625" style="1583"/>
    <col min="8706" max="8706" width="9.28515625" style="1583" customWidth="1"/>
    <col min="8707" max="8707" width="59.42578125" style="1583" customWidth="1"/>
    <col min="8708" max="8708" width="9.140625" style="1583"/>
    <col min="8709" max="8709" width="9.5703125" style="1583" bestFit="1" customWidth="1"/>
    <col min="8710" max="8710" width="13.7109375" style="1583" customWidth="1"/>
    <col min="8711" max="8711" width="16.42578125" style="1583" customWidth="1"/>
    <col min="8712" max="8713" width="13.7109375" style="1583" customWidth="1"/>
    <col min="8714" max="8714" width="6.7109375" style="1583" customWidth="1"/>
    <col min="8715" max="8715" width="13.85546875" style="1583" customWidth="1"/>
    <col min="8716" max="8716" width="14.7109375" style="1583" customWidth="1"/>
    <col min="8717" max="8717" width="14.28515625" style="1583" bestFit="1" customWidth="1"/>
    <col min="8718" max="8722" width="9.140625" style="1583"/>
    <col min="8723" max="8723" width="13.140625" style="1583" bestFit="1" customWidth="1"/>
    <col min="8724" max="8961" width="9.140625" style="1583"/>
    <col min="8962" max="8962" width="9.28515625" style="1583" customWidth="1"/>
    <col min="8963" max="8963" width="59.42578125" style="1583" customWidth="1"/>
    <col min="8964" max="8964" width="9.140625" style="1583"/>
    <col min="8965" max="8965" width="9.5703125" style="1583" bestFit="1" customWidth="1"/>
    <col min="8966" max="8966" width="13.7109375" style="1583" customWidth="1"/>
    <col min="8967" max="8967" width="16.42578125" style="1583" customWidth="1"/>
    <col min="8968" max="8969" width="13.7109375" style="1583" customWidth="1"/>
    <col min="8970" max="8970" width="6.7109375" style="1583" customWidth="1"/>
    <col min="8971" max="8971" width="13.85546875" style="1583" customWidth="1"/>
    <col min="8972" max="8972" width="14.7109375" style="1583" customWidth="1"/>
    <col min="8973" max="8973" width="14.28515625" style="1583" bestFit="1" customWidth="1"/>
    <col min="8974" max="8978" width="9.140625" style="1583"/>
    <col min="8979" max="8979" width="13.140625" style="1583" bestFit="1" customWidth="1"/>
    <col min="8980" max="9217" width="9.140625" style="1583"/>
    <col min="9218" max="9218" width="9.28515625" style="1583" customWidth="1"/>
    <col min="9219" max="9219" width="59.42578125" style="1583" customWidth="1"/>
    <col min="9220" max="9220" width="9.140625" style="1583"/>
    <col min="9221" max="9221" width="9.5703125" style="1583" bestFit="1" customWidth="1"/>
    <col min="9222" max="9222" width="13.7109375" style="1583" customWidth="1"/>
    <col min="9223" max="9223" width="16.42578125" style="1583" customWidth="1"/>
    <col min="9224" max="9225" width="13.7109375" style="1583" customWidth="1"/>
    <col min="9226" max="9226" width="6.7109375" style="1583" customWidth="1"/>
    <col min="9227" max="9227" width="13.85546875" style="1583" customWidth="1"/>
    <col min="9228" max="9228" width="14.7109375" style="1583" customWidth="1"/>
    <col min="9229" max="9229" width="14.28515625" style="1583" bestFit="1" customWidth="1"/>
    <col min="9230" max="9234" width="9.140625" style="1583"/>
    <col min="9235" max="9235" width="13.140625" style="1583" bestFit="1" customWidth="1"/>
    <col min="9236" max="9473" width="9.140625" style="1583"/>
    <col min="9474" max="9474" width="9.28515625" style="1583" customWidth="1"/>
    <col min="9475" max="9475" width="59.42578125" style="1583" customWidth="1"/>
    <col min="9476" max="9476" width="9.140625" style="1583"/>
    <col min="9477" max="9477" width="9.5703125" style="1583" bestFit="1" customWidth="1"/>
    <col min="9478" max="9478" width="13.7109375" style="1583" customWidth="1"/>
    <col min="9479" max="9479" width="16.42578125" style="1583" customWidth="1"/>
    <col min="9480" max="9481" width="13.7109375" style="1583" customWidth="1"/>
    <col min="9482" max="9482" width="6.7109375" style="1583" customWidth="1"/>
    <col min="9483" max="9483" width="13.85546875" style="1583" customWidth="1"/>
    <col min="9484" max="9484" width="14.7109375" style="1583" customWidth="1"/>
    <col min="9485" max="9485" width="14.28515625" style="1583" bestFit="1" customWidth="1"/>
    <col min="9486" max="9490" width="9.140625" style="1583"/>
    <col min="9491" max="9491" width="13.140625" style="1583" bestFit="1" customWidth="1"/>
    <col min="9492" max="9729" width="9.140625" style="1583"/>
    <col min="9730" max="9730" width="9.28515625" style="1583" customWidth="1"/>
    <col min="9731" max="9731" width="59.42578125" style="1583" customWidth="1"/>
    <col min="9732" max="9732" width="9.140625" style="1583"/>
    <col min="9733" max="9733" width="9.5703125" style="1583" bestFit="1" customWidth="1"/>
    <col min="9734" max="9734" width="13.7109375" style="1583" customWidth="1"/>
    <col min="9735" max="9735" width="16.42578125" style="1583" customWidth="1"/>
    <col min="9736" max="9737" width="13.7109375" style="1583" customWidth="1"/>
    <col min="9738" max="9738" width="6.7109375" style="1583" customWidth="1"/>
    <col min="9739" max="9739" width="13.85546875" style="1583" customWidth="1"/>
    <col min="9740" max="9740" width="14.7109375" style="1583" customWidth="1"/>
    <col min="9741" max="9741" width="14.28515625" style="1583" bestFit="1" customWidth="1"/>
    <col min="9742" max="9746" width="9.140625" style="1583"/>
    <col min="9747" max="9747" width="13.140625" style="1583" bestFit="1" customWidth="1"/>
    <col min="9748" max="9985" width="9.140625" style="1583"/>
    <col min="9986" max="9986" width="9.28515625" style="1583" customWidth="1"/>
    <col min="9987" max="9987" width="59.42578125" style="1583" customWidth="1"/>
    <col min="9988" max="9988" width="9.140625" style="1583"/>
    <col min="9989" max="9989" width="9.5703125" style="1583" bestFit="1" customWidth="1"/>
    <col min="9990" max="9990" width="13.7109375" style="1583" customWidth="1"/>
    <col min="9991" max="9991" width="16.42578125" style="1583" customWidth="1"/>
    <col min="9992" max="9993" width="13.7109375" style="1583" customWidth="1"/>
    <col min="9994" max="9994" width="6.7109375" style="1583" customWidth="1"/>
    <col min="9995" max="9995" width="13.85546875" style="1583" customWidth="1"/>
    <col min="9996" max="9996" width="14.7109375" style="1583" customWidth="1"/>
    <col min="9997" max="9997" width="14.28515625" style="1583" bestFit="1" customWidth="1"/>
    <col min="9998" max="10002" width="9.140625" style="1583"/>
    <col min="10003" max="10003" width="13.140625" style="1583" bestFit="1" customWidth="1"/>
    <col min="10004" max="10241" width="9.140625" style="1583"/>
    <col min="10242" max="10242" width="9.28515625" style="1583" customWidth="1"/>
    <col min="10243" max="10243" width="59.42578125" style="1583" customWidth="1"/>
    <col min="10244" max="10244" width="9.140625" style="1583"/>
    <col min="10245" max="10245" width="9.5703125" style="1583" bestFit="1" customWidth="1"/>
    <col min="10246" max="10246" width="13.7109375" style="1583" customWidth="1"/>
    <col min="10247" max="10247" width="16.42578125" style="1583" customWidth="1"/>
    <col min="10248" max="10249" width="13.7109375" style="1583" customWidth="1"/>
    <col min="10250" max="10250" width="6.7109375" style="1583" customWidth="1"/>
    <col min="10251" max="10251" width="13.85546875" style="1583" customWidth="1"/>
    <col min="10252" max="10252" width="14.7109375" style="1583" customWidth="1"/>
    <col min="10253" max="10253" width="14.28515625" style="1583" bestFit="1" customWidth="1"/>
    <col min="10254" max="10258" width="9.140625" style="1583"/>
    <col min="10259" max="10259" width="13.140625" style="1583" bestFit="1" customWidth="1"/>
    <col min="10260" max="10497" width="9.140625" style="1583"/>
    <col min="10498" max="10498" width="9.28515625" style="1583" customWidth="1"/>
    <col min="10499" max="10499" width="59.42578125" style="1583" customWidth="1"/>
    <col min="10500" max="10500" width="9.140625" style="1583"/>
    <col min="10501" max="10501" width="9.5703125" style="1583" bestFit="1" customWidth="1"/>
    <col min="10502" max="10502" width="13.7109375" style="1583" customWidth="1"/>
    <col min="10503" max="10503" width="16.42578125" style="1583" customWidth="1"/>
    <col min="10504" max="10505" width="13.7109375" style="1583" customWidth="1"/>
    <col min="10506" max="10506" width="6.7109375" style="1583" customWidth="1"/>
    <col min="10507" max="10507" width="13.85546875" style="1583" customWidth="1"/>
    <col min="10508" max="10508" width="14.7109375" style="1583" customWidth="1"/>
    <col min="10509" max="10509" width="14.28515625" style="1583" bestFit="1" customWidth="1"/>
    <col min="10510" max="10514" width="9.140625" style="1583"/>
    <col min="10515" max="10515" width="13.140625" style="1583" bestFit="1" customWidth="1"/>
    <col min="10516" max="10753" width="9.140625" style="1583"/>
    <col min="10754" max="10754" width="9.28515625" style="1583" customWidth="1"/>
    <col min="10755" max="10755" width="59.42578125" style="1583" customWidth="1"/>
    <col min="10756" max="10756" width="9.140625" style="1583"/>
    <col min="10757" max="10757" width="9.5703125" style="1583" bestFit="1" customWidth="1"/>
    <col min="10758" max="10758" width="13.7109375" style="1583" customWidth="1"/>
    <col min="10759" max="10759" width="16.42578125" style="1583" customWidth="1"/>
    <col min="10760" max="10761" width="13.7109375" style="1583" customWidth="1"/>
    <col min="10762" max="10762" width="6.7109375" style="1583" customWidth="1"/>
    <col min="10763" max="10763" width="13.85546875" style="1583" customWidth="1"/>
    <col min="10764" max="10764" width="14.7109375" style="1583" customWidth="1"/>
    <col min="10765" max="10765" width="14.28515625" style="1583" bestFit="1" customWidth="1"/>
    <col min="10766" max="10770" width="9.140625" style="1583"/>
    <col min="10771" max="10771" width="13.140625" style="1583" bestFit="1" customWidth="1"/>
    <col min="10772" max="11009" width="9.140625" style="1583"/>
    <col min="11010" max="11010" width="9.28515625" style="1583" customWidth="1"/>
    <col min="11011" max="11011" width="59.42578125" style="1583" customWidth="1"/>
    <col min="11012" max="11012" width="9.140625" style="1583"/>
    <col min="11013" max="11013" width="9.5703125" style="1583" bestFit="1" customWidth="1"/>
    <col min="11014" max="11014" width="13.7109375" style="1583" customWidth="1"/>
    <col min="11015" max="11015" width="16.42578125" style="1583" customWidth="1"/>
    <col min="11016" max="11017" width="13.7109375" style="1583" customWidth="1"/>
    <col min="11018" max="11018" width="6.7109375" style="1583" customWidth="1"/>
    <col min="11019" max="11019" width="13.85546875" style="1583" customWidth="1"/>
    <col min="11020" max="11020" width="14.7109375" style="1583" customWidth="1"/>
    <col min="11021" max="11021" width="14.28515625" style="1583" bestFit="1" customWidth="1"/>
    <col min="11022" max="11026" width="9.140625" style="1583"/>
    <col min="11027" max="11027" width="13.140625" style="1583" bestFit="1" customWidth="1"/>
    <col min="11028" max="11265" width="9.140625" style="1583"/>
    <col min="11266" max="11266" width="9.28515625" style="1583" customWidth="1"/>
    <col min="11267" max="11267" width="59.42578125" style="1583" customWidth="1"/>
    <col min="11268" max="11268" width="9.140625" style="1583"/>
    <col min="11269" max="11269" width="9.5703125" style="1583" bestFit="1" customWidth="1"/>
    <col min="11270" max="11270" width="13.7109375" style="1583" customWidth="1"/>
    <col min="11271" max="11271" width="16.42578125" style="1583" customWidth="1"/>
    <col min="11272" max="11273" width="13.7109375" style="1583" customWidth="1"/>
    <col min="11274" max="11274" width="6.7109375" style="1583" customWidth="1"/>
    <col min="11275" max="11275" width="13.85546875" style="1583" customWidth="1"/>
    <col min="11276" max="11276" width="14.7109375" style="1583" customWidth="1"/>
    <col min="11277" max="11277" width="14.28515625" style="1583" bestFit="1" customWidth="1"/>
    <col min="11278" max="11282" width="9.140625" style="1583"/>
    <col min="11283" max="11283" width="13.140625" style="1583" bestFit="1" customWidth="1"/>
    <col min="11284" max="11521" width="9.140625" style="1583"/>
    <col min="11522" max="11522" width="9.28515625" style="1583" customWidth="1"/>
    <col min="11523" max="11523" width="59.42578125" style="1583" customWidth="1"/>
    <col min="11524" max="11524" width="9.140625" style="1583"/>
    <col min="11525" max="11525" width="9.5703125" style="1583" bestFit="1" customWidth="1"/>
    <col min="11526" max="11526" width="13.7109375" style="1583" customWidth="1"/>
    <col min="11527" max="11527" width="16.42578125" style="1583" customWidth="1"/>
    <col min="11528" max="11529" width="13.7109375" style="1583" customWidth="1"/>
    <col min="11530" max="11530" width="6.7109375" style="1583" customWidth="1"/>
    <col min="11531" max="11531" width="13.85546875" style="1583" customWidth="1"/>
    <col min="11532" max="11532" width="14.7109375" style="1583" customWidth="1"/>
    <col min="11533" max="11533" width="14.28515625" style="1583" bestFit="1" customWidth="1"/>
    <col min="11534" max="11538" width="9.140625" style="1583"/>
    <col min="11539" max="11539" width="13.140625" style="1583" bestFit="1" customWidth="1"/>
    <col min="11540" max="11777" width="9.140625" style="1583"/>
    <col min="11778" max="11778" width="9.28515625" style="1583" customWidth="1"/>
    <col min="11779" max="11779" width="59.42578125" style="1583" customWidth="1"/>
    <col min="11780" max="11780" width="9.140625" style="1583"/>
    <col min="11781" max="11781" width="9.5703125" style="1583" bestFit="1" customWidth="1"/>
    <col min="11782" max="11782" width="13.7109375" style="1583" customWidth="1"/>
    <col min="11783" max="11783" width="16.42578125" style="1583" customWidth="1"/>
    <col min="11784" max="11785" width="13.7109375" style="1583" customWidth="1"/>
    <col min="11786" max="11786" width="6.7109375" style="1583" customWidth="1"/>
    <col min="11787" max="11787" width="13.85546875" style="1583" customWidth="1"/>
    <col min="11788" max="11788" width="14.7109375" style="1583" customWidth="1"/>
    <col min="11789" max="11789" width="14.28515625" style="1583" bestFit="1" customWidth="1"/>
    <col min="11790" max="11794" width="9.140625" style="1583"/>
    <col min="11795" max="11795" width="13.140625" style="1583" bestFit="1" customWidth="1"/>
    <col min="11796" max="12033" width="9.140625" style="1583"/>
    <col min="12034" max="12034" width="9.28515625" style="1583" customWidth="1"/>
    <col min="12035" max="12035" width="59.42578125" style="1583" customWidth="1"/>
    <col min="12036" max="12036" width="9.140625" style="1583"/>
    <col min="12037" max="12037" width="9.5703125" style="1583" bestFit="1" customWidth="1"/>
    <col min="12038" max="12038" width="13.7109375" style="1583" customWidth="1"/>
    <col min="12039" max="12039" width="16.42578125" style="1583" customWidth="1"/>
    <col min="12040" max="12041" width="13.7109375" style="1583" customWidth="1"/>
    <col min="12042" max="12042" width="6.7109375" style="1583" customWidth="1"/>
    <col min="12043" max="12043" width="13.85546875" style="1583" customWidth="1"/>
    <col min="12044" max="12044" width="14.7109375" style="1583" customWidth="1"/>
    <col min="12045" max="12045" width="14.28515625" style="1583" bestFit="1" customWidth="1"/>
    <col min="12046" max="12050" width="9.140625" style="1583"/>
    <col min="12051" max="12051" width="13.140625" style="1583" bestFit="1" customWidth="1"/>
    <col min="12052" max="12289" width="9.140625" style="1583"/>
    <col min="12290" max="12290" width="9.28515625" style="1583" customWidth="1"/>
    <col min="12291" max="12291" width="59.42578125" style="1583" customWidth="1"/>
    <col min="12292" max="12292" width="9.140625" style="1583"/>
    <col min="12293" max="12293" width="9.5703125" style="1583" bestFit="1" customWidth="1"/>
    <col min="12294" max="12294" width="13.7109375" style="1583" customWidth="1"/>
    <col min="12295" max="12295" width="16.42578125" style="1583" customWidth="1"/>
    <col min="12296" max="12297" width="13.7109375" style="1583" customWidth="1"/>
    <col min="12298" max="12298" width="6.7109375" style="1583" customWidth="1"/>
    <col min="12299" max="12299" width="13.85546875" style="1583" customWidth="1"/>
    <col min="12300" max="12300" width="14.7109375" style="1583" customWidth="1"/>
    <col min="12301" max="12301" width="14.28515625" style="1583" bestFit="1" customWidth="1"/>
    <col min="12302" max="12306" width="9.140625" style="1583"/>
    <col min="12307" max="12307" width="13.140625" style="1583" bestFit="1" customWidth="1"/>
    <col min="12308" max="12545" width="9.140625" style="1583"/>
    <col min="12546" max="12546" width="9.28515625" style="1583" customWidth="1"/>
    <col min="12547" max="12547" width="59.42578125" style="1583" customWidth="1"/>
    <col min="12548" max="12548" width="9.140625" style="1583"/>
    <col min="12549" max="12549" width="9.5703125" style="1583" bestFit="1" customWidth="1"/>
    <col min="12550" max="12550" width="13.7109375" style="1583" customWidth="1"/>
    <col min="12551" max="12551" width="16.42578125" style="1583" customWidth="1"/>
    <col min="12552" max="12553" width="13.7109375" style="1583" customWidth="1"/>
    <col min="12554" max="12554" width="6.7109375" style="1583" customWidth="1"/>
    <col min="12555" max="12555" width="13.85546875" style="1583" customWidth="1"/>
    <col min="12556" max="12556" width="14.7109375" style="1583" customWidth="1"/>
    <col min="12557" max="12557" width="14.28515625" style="1583" bestFit="1" customWidth="1"/>
    <col min="12558" max="12562" width="9.140625" style="1583"/>
    <col min="12563" max="12563" width="13.140625" style="1583" bestFit="1" customWidth="1"/>
    <col min="12564" max="12801" width="9.140625" style="1583"/>
    <col min="12802" max="12802" width="9.28515625" style="1583" customWidth="1"/>
    <col min="12803" max="12803" width="59.42578125" style="1583" customWidth="1"/>
    <col min="12804" max="12804" width="9.140625" style="1583"/>
    <col min="12805" max="12805" width="9.5703125" style="1583" bestFit="1" customWidth="1"/>
    <col min="12806" max="12806" width="13.7109375" style="1583" customWidth="1"/>
    <col min="12807" max="12807" width="16.42578125" style="1583" customWidth="1"/>
    <col min="12808" max="12809" width="13.7109375" style="1583" customWidth="1"/>
    <col min="12810" max="12810" width="6.7109375" style="1583" customWidth="1"/>
    <col min="12811" max="12811" width="13.85546875" style="1583" customWidth="1"/>
    <col min="12812" max="12812" width="14.7109375" style="1583" customWidth="1"/>
    <col min="12813" max="12813" width="14.28515625" style="1583" bestFit="1" customWidth="1"/>
    <col min="12814" max="12818" width="9.140625" style="1583"/>
    <col min="12819" max="12819" width="13.140625" style="1583" bestFit="1" customWidth="1"/>
    <col min="12820" max="13057" width="9.140625" style="1583"/>
    <col min="13058" max="13058" width="9.28515625" style="1583" customWidth="1"/>
    <col min="13059" max="13059" width="59.42578125" style="1583" customWidth="1"/>
    <col min="13060" max="13060" width="9.140625" style="1583"/>
    <col min="13061" max="13061" width="9.5703125" style="1583" bestFit="1" customWidth="1"/>
    <col min="13062" max="13062" width="13.7109375" style="1583" customWidth="1"/>
    <col min="13063" max="13063" width="16.42578125" style="1583" customWidth="1"/>
    <col min="13064" max="13065" width="13.7109375" style="1583" customWidth="1"/>
    <col min="13066" max="13066" width="6.7109375" style="1583" customWidth="1"/>
    <col min="13067" max="13067" width="13.85546875" style="1583" customWidth="1"/>
    <col min="13068" max="13068" width="14.7109375" style="1583" customWidth="1"/>
    <col min="13069" max="13069" width="14.28515625" style="1583" bestFit="1" customWidth="1"/>
    <col min="13070" max="13074" width="9.140625" style="1583"/>
    <col min="13075" max="13075" width="13.140625" style="1583" bestFit="1" customWidth="1"/>
    <col min="13076" max="13313" width="9.140625" style="1583"/>
    <col min="13314" max="13314" width="9.28515625" style="1583" customWidth="1"/>
    <col min="13315" max="13315" width="59.42578125" style="1583" customWidth="1"/>
    <col min="13316" max="13316" width="9.140625" style="1583"/>
    <col min="13317" max="13317" width="9.5703125" style="1583" bestFit="1" customWidth="1"/>
    <col min="13318" max="13318" width="13.7109375" style="1583" customWidth="1"/>
    <col min="13319" max="13319" width="16.42578125" style="1583" customWidth="1"/>
    <col min="13320" max="13321" width="13.7109375" style="1583" customWidth="1"/>
    <col min="13322" max="13322" width="6.7109375" style="1583" customWidth="1"/>
    <col min="13323" max="13323" width="13.85546875" style="1583" customWidth="1"/>
    <col min="13324" max="13324" width="14.7109375" style="1583" customWidth="1"/>
    <col min="13325" max="13325" width="14.28515625" style="1583" bestFit="1" customWidth="1"/>
    <col min="13326" max="13330" width="9.140625" style="1583"/>
    <col min="13331" max="13331" width="13.140625" style="1583" bestFit="1" customWidth="1"/>
    <col min="13332" max="13569" width="9.140625" style="1583"/>
    <col min="13570" max="13570" width="9.28515625" style="1583" customWidth="1"/>
    <col min="13571" max="13571" width="59.42578125" style="1583" customWidth="1"/>
    <col min="13572" max="13572" width="9.140625" style="1583"/>
    <col min="13573" max="13573" width="9.5703125" style="1583" bestFit="1" customWidth="1"/>
    <col min="13574" max="13574" width="13.7109375" style="1583" customWidth="1"/>
    <col min="13575" max="13575" width="16.42578125" style="1583" customWidth="1"/>
    <col min="13576" max="13577" width="13.7109375" style="1583" customWidth="1"/>
    <col min="13578" max="13578" width="6.7109375" style="1583" customWidth="1"/>
    <col min="13579" max="13579" width="13.85546875" style="1583" customWidth="1"/>
    <col min="13580" max="13580" width="14.7109375" style="1583" customWidth="1"/>
    <col min="13581" max="13581" width="14.28515625" style="1583" bestFit="1" customWidth="1"/>
    <col min="13582" max="13586" width="9.140625" style="1583"/>
    <col min="13587" max="13587" width="13.140625" style="1583" bestFit="1" customWidth="1"/>
    <col min="13588" max="13825" width="9.140625" style="1583"/>
    <col min="13826" max="13826" width="9.28515625" style="1583" customWidth="1"/>
    <col min="13827" max="13827" width="59.42578125" style="1583" customWidth="1"/>
    <col min="13828" max="13828" width="9.140625" style="1583"/>
    <col min="13829" max="13829" width="9.5703125" style="1583" bestFit="1" customWidth="1"/>
    <col min="13830" max="13830" width="13.7109375" style="1583" customWidth="1"/>
    <col min="13831" max="13831" width="16.42578125" style="1583" customWidth="1"/>
    <col min="13832" max="13833" width="13.7109375" style="1583" customWidth="1"/>
    <col min="13834" max="13834" width="6.7109375" style="1583" customWidth="1"/>
    <col min="13835" max="13835" width="13.85546875" style="1583" customWidth="1"/>
    <col min="13836" max="13836" width="14.7109375" style="1583" customWidth="1"/>
    <col min="13837" max="13837" width="14.28515625" style="1583" bestFit="1" customWidth="1"/>
    <col min="13838" max="13842" width="9.140625" style="1583"/>
    <col min="13843" max="13843" width="13.140625" style="1583" bestFit="1" customWidth="1"/>
    <col min="13844" max="14081" width="9.140625" style="1583"/>
    <col min="14082" max="14082" width="9.28515625" style="1583" customWidth="1"/>
    <col min="14083" max="14083" width="59.42578125" style="1583" customWidth="1"/>
    <col min="14084" max="14084" width="9.140625" style="1583"/>
    <col min="14085" max="14085" width="9.5703125" style="1583" bestFit="1" customWidth="1"/>
    <col min="14086" max="14086" width="13.7109375" style="1583" customWidth="1"/>
    <col min="14087" max="14087" width="16.42578125" style="1583" customWidth="1"/>
    <col min="14088" max="14089" width="13.7109375" style="1583" customWidth="1"/>
    <col min="14090" max="14090" width="6.7109375" style="1583" customWidth="1"/>
    <col min="14091" max="14091" width="13.85546875" style="1583" customWidth="1"/>
    <col min="14092" max="14092" width="14.7109375" style="1583" customWidth="1"/>
    <col min="14093" max="14093" width="14.28515625" style="1583" bestFit="1" customWidth="1"/>
    <col min="14094" max="14098" width="9.140625" style="1583"/>
    <col min="14099" max="14099" width="13.140625" style="1583" bestFit="1" customWidth="1"/>
    <col min="14100" max="14337" width="9.140625" style="1583"/>
    <col min="14338" max="14338" width="9.28515625" style="1583" customWidth="1"/>
    <col min="14339" max="14339" width="59.42578125" style="1583" customWidth="1"/>
    <col min="14340" max="14340" width="9.140625" style="1583"/>
    <col min="14341" max="14341" width="9.5703125" style="1583" bestFit="1" customWidth="1"/>
    <col min="14342" max="14342" width="13.7109375" style="1583" customWidth="1"/>
    <col min="14343" max="14343" width="16.42578125" style="1583" customWidth="1"/>
    <col min="14344" max="14345" width="13.7109375" style="1583" customWidth="1"/>
    <col min="14346" max="14346" width="6.7109375" style="1583" customWidth="1"/>
    <col min="14347" max="14347" width="13.85546875" style="1583" customWidth="1"/>
    <col min="14348" max="14348" width="14.7109375" style="1583" customWidth="1"/>
    <col min="14349" max="14349" width="14.28515625" style="1583" bestFit="1" customWidth="1"/>
    <col min="14350" max="14354" width="9.140625" style="1583"/>
    <col min="14355" max="14355" width="13.140625" style="1583" bestFit="1" customWidth="1"/>
    <col min="14356" max="14593" width="9.140625" style="1583"/>
    <col min="14594" max="14594" width="9.28515625" style="1583" customWidth="1"/>
    <col min="14595" max="14595" width="59.42578125" style="1583" customWidth="1"/>
    <col min="14596" max="14596" width="9.140625" style="1583"/>
    <col min="14597" max="14597" width="9.5703125" style="1583" bestFit="1" customWidth="1"/>
    <col min="14598" max="14598" width="13.7109375" style="1583" customWidth="1"/>
    <col min="14599" max="14599" width="16.42578125" style="1583" customWidth="1"/>
    <col min="14600" max="14601" width="13.7109375" style="1583" customWidth="1"/>
    <col min="14602" max="14602" width="6.7109375" style="1583" customWidth="1"/>
    <col min="14603" max="14603" width="13.85546875" style="1583" customWidth="1"/>
    <col min="14604" max="14604" width="14.7109375" style="1583" customWidth="1"/>
    <col min="14605" max="14605" width="14.28515625" style="1583" bestFit="1" customWidth="1"/>
    <col min="14606" max="14610" width="9.140625" style="1583"/>
    <col min="14611" max="14611" width="13.140625" style="1583" bestFit="1" customWidth="1"/>
    <col min="14612" max="14849" width="9.140625" style="1583"/>
    <col min="14850" max="14850" width="9.28515625" style="1583" customWidth="1"/>
    <col min="14851" max="14851" width="59.42578125" style="1583" customWidth="1"/>
    <col min="14852" max="14852" width="9.140625" style="1583"/>
    <col min="14853" max="14853" width="9.5703125" style="1583" bestFit="1" customWidth="1"/>
    <col min="14854" max="14854" width="13.7109375" style="1583" customWidth="1"/>
    <col min="14855" max="14855" width="16.42578125" style="1583" customWidth="1"/>
    <col min="14856" max="14857" width="13.7109375" style="1583" customWidth="1"/>
    <col min="14858" max="14858" width="6.7109375" style="1583" customWidth="1"/>
    <col min="14859" max="14859" width="13.85546875" style="1583" customWidth="1"/>
    <col min="14860" max="14860" width="14.7109375" style="1583" customWidth="1"/>
    <col min="14861" max="14861" width="14.28515625" style="1583" bestFit="1" customWidth="1"/>
    <col min="14862" max="14866" width="9.140625" style="1583"/>
    <col min="14867" max="14867" width="13.140625" style="1583" bestFit="1" customWidth="1"/>
    <col min="14868" max="15105" width="9.140625" style="1583"/>
    <col min="15106" max="15106" width="9.28515625" style="1583" customWidth="1"/>
    <col min="15107" max="15107" width="59.42578125" style="1583" customWidth="1"/>
    <col min="15108" max="15108" width="9.140625" style="1583"/>
    <col min="15109" max="15109" width="9.5703125" style="1583" bestFit="1" customWidth="1"/>
    <col min="15110" max="15110" width="13.7109375" style="1583" customWidth="1"/>
    <col min="15111" max="15111" width="16.42578125" style="1583" customWidth="1"/>
    <col min="15112" max="15113" width="13.7109375" style="1583" customWidth="1"/>
    <col min="15114" max="15114" width="6.7109375" style="1583" customWidth="1"/>
    <col min="15115" max="15115" width="13.85546875" style="1583" customWidth="1"/>
    <col min="15116" max="15116" width="14.7109375" style="1583" customWidth="1"/>
    <col min="15117" max="15117" width="14.28515625" style="1583" bestFit="1" customWidth="1"/>
    <col min="15118" max="15122" width="9.140625" style="1583"/>
    <col min="15123" max="15123" width="13.140625" style="1583" bestFit="1" customWidth="1"/>
    <col min="15124" max="15361" width="9.140625" style="1583"/>
    <col min="15362" max="15362" width="9.28515625" style="1583" customWidth="1"/>
    <col min="15363" max="15363" width="59.42578125" style="1583" customWidth="1"/>
    <col min="15364" max="15364" width="9.140625" style="1583"/>
    <col min="15365" max="15365" width="9.5703125" style="1583" bestFit="1" customWidth="1"/>
    <col min="15366" max="15366" width="13.7109375" style="1583" customWidth="1"/>
    <col min="15367" max="15367" width="16.42578125" style="1583" customWidth="1"/>
    <col min="15368" max="15369" width="13.7109375" style="1583" customWidth="1"/>
    <col min="15370" max="15370" width="6.7109375" style="1583" customWidth="1"/>
    <col min="15371" max="15371" width="13.85546875" style="1583" customWidth="1"/>
    <col min="15372" max="15372" width="14.7109375" style="1583" customWidth="1"/>
    <col min="15373" max="15373" width="14.28515625" style="1583" bestFit="1" customWidth="1"/>
    <col min="15374" max="15378" width="9.140625" style="1583"/>
    <col min="15379" max="15379" width="13.140625" style="1583" bestFit="1" customWidth="1"/>
    <col min="15380" max="15617" width="9.140625" style="1583"/>
    <col min="15618" max="15618" width="9.28515625" style="1583" customWidth="1"/>
    <col min="15619" max="15619" width="59.42578125" style="1583" customWidth="1"/>
    <col min="15620" max="15620" width="9.140625" style="1583"/>
    <col min="15621" max="15621" width="9.5703125" style="1583" bestFit="1" customWidth="1"/>
    <col min="15622" max="15622" width="13.7109375" style="1583" customWidth="1"/>
    <col min="15623" max="15623" width="16.42578125" style="1583" customWidth="1"/>
    <col min="15624" max="15625" width="13.7109375" style="1583" customWidth="1"/>
    <col min="15626" max="15626" width="6.7109375" style="1583" customWidth="1"/>
    <col min="15627" max="15627" width="13.85546875" style="1583" customWidth="1"/>
    <col min="15628" max="15628" width="14.7109375" style="1583" customWidth="1"/>
    <col min="15629" max="15629" width="14.28515625" style="1583" bestFit="1" customWidth="1"/>
    <col min="15630" max="15634" width="9.140625" style="1583"/>
    <col min="15635" max="15635" width="13.140625" style="1583" bestFit="1" customWidth="1"/>
    <col min="15636" max="15873" width="9.140625" style="1583"/>
    <col min="15874" max="15874" width="9.28515625" style="1583" customWidth="1"/>
    <col min="15875" max="15875" width="59.42578125" style="1583" customWidth="1"/>
    <col min="15876" max="15876" width="9.140625" style="1583"/>
    <col min="15877" max="15877" width="9.5703125" style="1583" bestFit="1" customWidth="1"/>
    <col min="15878" max="15878" width="13.7109375" style="1583" customWidth="1"/>
    <col min="15879" max="15879" width="16.42578125" style="1583" customWidth="1"/>
    <col min="15880" max="15881" width="13.7109375" style="1583" customWidth="1"/>
    <col min="15882" max="15882" width="6.7109375" style="1583" customWidth="1"/>
    <col min="15883" max="15883" width="13.85546875" style="1583" customWidth="1"/>
    <col min="15884" max="15884" width="14.7109375" style="1583" customWidth="1"/>
    <col min="15885" max="15885" width="14.28515625" style="1583" bestFit="1" customWidth="1"/>
    <col min="15886" max="15890" width="9.140625" style="1583"/>
    <col min="15891" max="15891" width="13.140625" style="1583" bestFit="1" customWidth="1"/>
    <col min="15892" max="16129" width="9.140625" style="1583"/>
    <col min="16130" max="16130" width="9.28515625" style="1583" customWidth="1"/>
    <col min="16131" max="16131" width="59.42578125" style="1583" customWidth="1"/>
    <col min="16132" max="16132" width="9.140625" style="1583"/>
    <col min="16133" max="16133" width="9.5703125" style="1583" bestFit="1" customWidth="1"/>
    <col min="16134" max="16134" width="13.7109375" style="1583" customWidth="1"/>
    <col min="16135" max="16135" width="16.42578125" style="1583" customWidth="1"/>
    <col min="16136" max="16137" width="13.7109375" style="1583" customWidth="1"/>
    <col min="16138" max="16138" width="6.7109375" style="1583" customWidth="1"/>
    <col min="16139" max="16139" width="13.85546875" style="1583" customWidth="1"/>
    <col min="16140" max="16140" width="14.7109375" style="1583" customWidth="1"/>
    <col min="16141" max="16141" width="14.28515625" style="1583" bestFit="1" customWidth="1"/>
    <col min="16142" max="16146" width="9.140625" style="1583"/>
    <col min="16147" max="16147" width="13.140625" style="1583" bestFit="1" customWidth="1"/>
    <col min="16148" max="16384" width="9.140625" style="1583"/>
  </cols>
  <sheetData>
    <row r="2" spans="1:9" s="1577" customFormat="1" ht="22.9" customHeight="1">
      <c r="A2" s="1670" t="s">
        <v>612</v>
      </c>
      <c r="B2" s="1670"/>
      <c r="C2" s="1670"/>
      <c r="D2" s="1670"/>
      <c r="E2" s="1670"/>
      <c r="F2" s="1670"/>
      <c r="G2" s="1670"/>
      <c r="H2" s="1576"/>
      <c r="I2" s="1576"/>
    </row>
    <row r="3" spans="1:9" s="1577" customFormat="1" ht="15.75" customHeight="1">
      <c r="A3" s="1671" t="s">
        <v>613</v>
      </c>
      <c r="B3" s="1671"/>
      <c r="C3" s="1671"/>
      <c r="D3" s="1671"/>
      <c r="E3" s="1671"/>
      <c r="F3" s="1671"/>
      <c r="G3" s="1671"/>
      <c r="H3" s="1578"/>
      <c r="I3" s="1578"/>
    </row>
    <row r="4" spans="1:9" s="1577" customFormat="1" ht="15.6" customHeight="1">
      <c r="A4" s="1579"/>
      <c r="B4" s="1580"/>
      <c r="C4" s="1580"/>
      <c r="D4" s="1579"/>
      <c r="E4" s="1579"/>
      <c r="F4" s="1579"/>
      <c r="G4" s="1579"/>
      <c r="H4" s="1581"/>
      <c r="I4" s="1581"/>
    </row>
    <row r="5" spans="1:9" ht="16.5" customHeight="1">
      <c r="A5" s="1672"/>
      <c r="B5" s="1672"/>
      <c r="C5" s="1672"/>
      <c r="D5" s="1672"/>
      <c r="E5" s="1672"/>
      <c r="F5" s="1672"/>
      <c r="G5" s="1672"/>
      <c r="H5" s="1582"/>
      <c r="I5" s="1582"/>
    </row>
    <row r="6" spans="1:9" s="1587" customFormat="1" ht="31.5">
      <c r="A6" s="1584" t="s">
        <v>51</v>
      </c>
      <c r="B6" s="1584" t="s">
        <v>614</v>
      </c>
      <c r="C6" s="1584" t="s">
        <v>615</v>
      </c>
      <c r="D6" s="1584" t="s">
        <v>616</v>
      </c>
      <c r="E6" s="1584" t="s">
        <v>617</v>
      </c>
      <c r="F6" s="1585" t="s">
        <v>618</v>
      </c>
      <c r="G6" s="1585" t="s">
        <v>619</v>
      </c>
      <c r="H6" s="1586"/>
      <c r="I6" s="1586"/>
    </row>
    <row r="7" spans="1:9" s="1587" customFormat="1" ht="16.149999999999999" customHeight="1">
      <c r="A7" s="1588" t="s">
        <v>500</v>
      </c>
      <c r="B7" s="1589" t="s">
        <v>620</v>
      </c>
      <c r="C7" s="1589"/>
      <c r="D7" s="1588"/>
      <c r="E7" s="1588"/>
      <c r="F7" s="1588"/>
      <c r="G7" s="1590">
        <f>SUM(G9:G32)</f>
        <v>819828000</v>
      </c>
      <c r="H7" s="1591"/>
      <c r="I7" s="1591"/>
    </row>
    <row r="8" spans="1:9" s="1600" customFormat="1">
      <c r="A8" s="1584"/>
      <c r="B8" s="1589" t="s">
        <v>621</v>
      </c>
      <c r="C8" s="1597"/>
      <c r="D8" s="1584"/>
      <c r="E8" s="1584"/>
      <c r="F8" s="1598"/>
      <c r="G8" s="1598"/>
      <c r="H8" s="1599"/>
      <c r="I8" s="1599"/>
    </row>
    <row r="9" spans="1:9" ht="94.5">
      <c r="A9" s="1593">
        <v>1</v>
      </c>
      <c r="B9" s="1594" t="s">
        <v>622</v>
      </c>
      <c r="C9" s="1594" t="s">
        <v>623</v>
      </c>
      <c r="D9" s="1593" t="s">
        <v>624</v>
      </c>
      <c r="E9" s="1593">
        <v>1</v>
      </c>
      <c r="F9" s="1595">
        <v>1620000</v>
      </c>
      <c r="G9" s="1595">
        <f t="shared" ref="G9:G18" si="0">E9*F9</f>
        <v>1620000</v>
      </c>
      <c r="H9" s="1592"/>
      <c r="I9" s="1592"/>
    </row>
    <row r="10" spans="1:9" ht="78.75">
      <c r="A10" s="1593">
        <v>2</v>
      </c>
      <c r="B10" s="1594" t="s">
        <v>625</v>
      </c>
      <c r="C10" s="1594" t="s">
        <v>626</v>
      </c>
      <c r="D10" s="1593" t="s">
        <v>627</v>
      </c>
      <c r="E10" s="1593">
        <v>4</v>
      </c>
      <c r="F10" s="1595">
        <v>810000</v>
      </c>
      <c r="G10" s="1595">
        <f t="shared" si="0"/>
        <v>3240000</v>
      </c>
      <c r="H10" s="1592"/>
      <c r="I10" s="1592"/>
    </row>
    <row r="11" spans="1:9" ht="94.5">
      <c r="A11" s="1593">
        <v>3</v>
      </c>
      <c r="B11" s="1594" t="s">
        <v>628</v>
      </c>
      <c r="C11" s="1594" t="s">
        <v>629</v>
      </c>
      <c r="D11" s="1593" t="s">
        <v>624</v>
      </c>
      <c r="E11" s="1593">
        <v>2</v>
      </c>
      <c r="F11" s="1595">
        <v>12420000</v>
      </c>
      <c r="G11" s="1595">
        <f t="shared" si="0"/>
        <v>24840000</v>
      </c>
      <c r="H11" s="1592"/>
      <c r="I11" s="1592"/>
    </row>
    <row r="12" spans="1:9" s="1600" customFormat="1">
      <c r="A12" s="1584"/>
      <c r="B12" s="1589" t="s">
        <v>630</v>
      </c>
      <c r="C12" s="1597"/>
      <c r="D12" s="1584"/>
      <c r="E12" s="1584"/>
      <c r="F12" s="1598"/>
      <c r="G12" s="1598"/>
      <c r="H12" s="1599"/>
      <c r="I12" s="1599"/>
    </row>
    <row r="13" spans="1:9" ht="94.5">
      <c r="A13" s="1593">
        <v>4</v>
      </c>
      <c r="B13" s="1594" t="s">
        <v>631</v>
      </c>
      <c r="C13" s="1594" t="s">
        <v>632</v>
      </c>
      <c r="D13" s="1593" t="s">
        <v>624</v>
      </c>
      <c r="E13" s="1593">
        <v>1</v>
      </c>
      <c r="F13" s="1595">
        <v>50760000</v>
      </c>
      <c r="G13" s="1595">
        <f t="shared" si="0"/>
        <v>50760000</v>
      </c>
      <c r="H13" s="1592"/>
      <c r="I13" s="1592"/>
    </row>
    <row r="14" spans="1:9" ht="47.25">
      <c r="A14" s="1593">
        <v>5</v>
      </c>
      <c r="B14" s="1594" t="s">
        <v>633</v>
      </c>
      <c r="C14" s="1594" t="s">
        <v>634</v>
      </c>
      <c r="D14" s="1593" t="s">
        <v>624</v>
      </c>
      <c r="E14" s="1593">
        <v>1</v>
      </c>
      <c r="F14" s="1595">
        <v>27000000</v>
      </c>
      <c r="G14" s="1595">
        <f t="shared" si="0"/>
        <v>27000000</v>
      </c>
      <c r="H14" s="1592"/>
      <c r="I14" s="1592"/>
    </row>
    <row r="15" spans="1:9" s="1600" customFormat="1">
      <c r="A15" s="1584"/>
      <c r="B15" s="1589" t="s">
        <v>635</v>
      </c>
      <c r="C15" s="1597"/>
      <c r="D15" s="1584"/>
      <c r="E15" s="1584"/>
      <c r="F15" s="1598"/>
      <c r="G15" s="1598"/>
      <c r="H15" s="1599"/>
      <c r="I15" s="1599"/>
    </row>
    <row r="16" spans="1:9" ht="133.5">
      <c r="A16" s="1593">
        <v>6</v>
      </c>
      <c r="B16" s="1594" t="s">
        <v>636</v>
      </c>
      <c r="C16" s="1594" t="s">
        <v>637</v>
      </c>
      <c r="D16" s="1593" t="s">
        <v>624</v>
      </c>
      <c r="E16" s="1593">
        <v>2</v>
      </c>
      <c r="F16" s="1595">
        <v>62640000.000000007</v>
      </c>
      <c r="G16" s="1595">
        <f t="shared" si="0"/>
        <v>125280000.00000001</v>
      </c>
      <c r="H16" s="1592"/>
      <c r="I16" s="1592"/>
    </row>
    <row r="17" spans="1:9" ht="94.5">
      <c r="A17" s="1593">
        <v>7</v>
      </c>
      <c r="B17" s="1594" t="s">
        <v>625</v>
      </c>
      <c r="C17" s="1594" t="s">
        <v>638</v>
      </c>
      <c r="D17" s="1593" t="s">
        <v>627</v>
      </c>
      <c r="E17" s="1593">
        <v>18</v>
      </c>
      <c r="F17" s="1595">
        <v>810000</v>
      </c>
      <c r="G17" s="1595">
        <f t="shared" si="0"/>
        <v>14580000</v>
      </c>
      <c r="H17" s="1592"/>
      <c r="I17" s="1592"/>
    </row>
    <row r="18" spans="1:9" ht="94.5">
      <c r="A18" s="1593">
        <v>8</v>
      </c>
      <c r="B18" s="1594" t="s">
        <v>639</v>
      </c>
      <c r="C18" s="1594" t="s">
        <v>640</v>
      </c>
      <c r="D18" s="1593" t="s">
        <v>624</v>
      </c>
      <c r="E18" s="1593">
        <v>2</v>
      </c>
      <c r="F18" s="1595">
        <v>12420000</v>
      </c>
      <c r="G18" s="1595">
        <f t="shared" si="0"/>
        <v>24840000</v>
      </c>
      <c r="H18" s="1592"/>
      <c r="I18" s="1592"/>
    </row>
    <row r="19" spans="1:9" s="1600" customFormat="1">
      <c r="A19" s="1584"/>
      <c r="B19" s="1589" t="s">
        <v>641</v>
      </c>
      <c r="C19" s="1597"/>
      <c r="D19" s="1584"/>
      <c r="E19" s="1584"/>
      <c r="F19" s="1598"/>
      <c r="G19" s="1598"/>
      <c r="H19" s="1599"/>
      <c r="I19" s="1599"/>
    </row>
    <row r="20" spans="1:9" ht="78.75">
      <c r="A20" s="1593">
        <v>9</v>
      </c>
      <c r="B20" s="1594" t="s">
        <v>642</v>
      </c>
      <c r="C20" s="1594" t="s">
        <v>643</v>
      </c>
      <c r="D20" s="1593" t="s">
        <v>624</v>
      </c>
      <c r="E20" s="1593">
        <v>1</v>
      </c>
      <c r="F20" s="1595">
        <v>70200000</v>
      </c>
      <c r="G20" s="1595">
        <f t="shared" ref="G20:G22" si="1">E20*F20</f>
        <v>70200000</v>
      </c>
      <c r="H20" s="1592"/>
      <c r="I20" s="1592"/>
    </row>
    <row r="21" spans="1:9" ht="78.75">
      <c r="A21" s="1593">
        <v>10</v>
      </c>
      <c r="B21" s="1594" t="s">
        <v>644</v>
      </c>
      <c r="C21" s="1594" t="s">
        <v>645</v>
      </c>
      <c r="D21" s="1593" t="s">
        <v>624</v>
      </c>
      <c r="E21" s="1593">
        <v>2</v>
      </c>
      <c r="F21" s="1595">
        <v>12420000</v>
      </c>
      <c r="G21" s="1595">
        <f t="shared" si="1"/>
        <v>24840000</v>
      </c>
      <c r="H21" s="1592"/>
      <c r="I21" s="1592"/>
    </row>
    <row r="22" spans="1:9" ht="47.25">
      <c r="A22" s="1593">
        <v>11</v>
      </c>
      <c r="B22" s="1594" t="s">
        <v>646</v>
      </c>
      <c r="C22" s="1594" t="s">
        <v>647</v>
      </c>
      <c r="D22" s="1593" t="s">
        <v>648</v>
      </c>
      <c r="E22" s="1593">
        <v>1</v>
      </c>
      <c r="F22" s="1595">
        <v>37476000</v>
      </c>
      <c r="G22" s="1595">
        <f t="shared" si="1"/>
        <v>37476000</v>
      </c>
      <c r="H22" s="1592"/>
      <c r="I22" s="1592"/>
    </row>
    <row r="23" spans="1:9" s="1600" customFormat="1">
      <c r="A23" s="1584"/>
      <c r="B23" s="1589" t="s">
        <v>649</v>
      </c>
      <c r="C23" s="1597"/>
      <c r="D23" s="1584"/>
      <c r="E23" s="1584"/>
      <c r="F23" s="1598"/>
      <c r="G23" s="1598"/>
      <c r="H23" s="1599"/>
      <c r="I23" s="1599"/>
    </row>
    <row r="24" spans="1:9" ht="78.75">
      <c r="A24" s="1593">
        <v>12</v>
      </c>
      <c r="B24" s="1594" t="s">
        <v>650</v>
      </c>
      <c r="C24" s="1594" t="s">
        <v>651</v>
      </c>
      <c r="D24" s="1593" t="s">
        <v>624</v>
      </c>
      <c r="E24" s="1593">
        <v>2</v>
      </c>
      <c r="F24" s="1595">
        <v>16092000.000000002</v>
      </c>
      <c r="G24" s="1595">
        <f t="shared" ref="G24" si="2">E24*F24</f>
        <v>32184000.000000004</v>
      </c>
      <c r="H24" s="1592"/>
      <c r="I24" s="1592"/>
    </row>
    <row r="25" spans="1:9" s="1600" customFormat="1">
      <c r="A25" s="1584"/>
      <c r="B25" s="1589" t="s">
        <v>652</v>
      </c>
      <c r="C25" s="1597"/>
      <c r="D25" s="1584"/>
      <c r="E25" s="1584"/>
      <c r="F25" s="1598"/>
      <c r="G25" s="1598"/>
      <c r="H25" s="1599"/>
      <c r="I25" s="1599"/>
    </row>
    <row r="26" spans="1:9" ht="94.5">
      <c r="A26" s="1593">
        <v>13</v>
      </c>
      <c r="B26" s="1594" t="s">
        <v>653</v>
      </c>
      <c r="C26" s="1594" t="s">
        <v>654</v>
      </c>
      <c r="D26" s="1593" t="s">
        <v>655</v>
      </c>
      <c r="E26" s="1593">
        <v>4</v>
      </c>
      <c r="F26" s="1595">
        <v>2268000</v>
      </c>
      <c r="G26" s="1595">
        <f t="shared" ref="G26:G27" si="3">E26*F26</f>
        <v>9072000</v>
      </c>
      <c r="H26" s="1592"/>
      <c r="I26" s="1592"/>
    </row>
    <row r="27" spans="1:9" ht="63">
      <c r="A27" s="1593">
        <v>14</v>
      </c>
      <c r="B27" s="1594" t="s">
        <v>656</v>
      </c>
      <c r="C27" s="1594" t="s">
        <v>657</v>
      </c>
      <c r="D27" s="1593" t="s">
        <v>624</v>
      </c>
      <c r="E27" s="1593">
        <v>4</v>
      </c>
      <c r="F27" s="1595">
        <v>15984000.000000002</v>
      </c>
      <c r="G27" s="1595">
        <f t="shared" si="3"/>
        <v>63936000.000000007</v>
      </c>
      <c r="H27" s="1592"/>
      <c r="I27" s="1592"/>
    </row>
    <row r="28" spans="1:9" s="1600" customFormat="1">
      <c r="A28" s="1584"/>
      <c r="B28" s="1589" t="s">
        <v>658</v>
      </c>
      <c r="C28" s="1597"/>
      <c r="D28" s="1584"/>
      <c r="E28" s="1584"/>
      <c r="F28" s="1598"/>
      <c r="G28" s="1598"/>
      <c r="H28" s="1599"/>
      <c r="I28" s="1599"/>
    </row>
    <row r="29" spans="1:9" ht="189">
      <c r="A29" s="1593">
        <v>15</v>
      </c>
      <c r="B29" s="1594" t="s">
        <v>659</v>
      </c>
      <c r="C29" s="1594" t="s">
        <v>660</v>
      </c>
      <c r="D29" s="1593" t="s">
        <v>648</v>
      </c>
      <c r="E29" s="1593">
        <v>1</v>
      </c>
      <c r="F29" s="1595">
        <v>93960000</v>
      </c>
      <c r="G29" s="1595">
        <f>E29*F29</f>
        <v>93960000</v>
      </c>
      <c r="H29" s="1592"/>
      <c r="I29" s="1592"/>
    </row>
    <row r="30" spans="1:9" ht="189">
      <c r="A30" s="1593">
        <v>16</v>
      </c>
      <c r="B30" s="1594" t="s">
        <v>661</v>
      </c>
      <c r="C30" s="1594" t="s">
        <v>662</v>
      </c>
      <c r="D30" s="1593" t="s">
        <v>648</v>
      </c>
      <c r="E30" s="1593">
        <v>1</v>
      </c>
      <c r="F30" s="1595">
        <v>151200000</v>
      </c>
      <c r="G30" s="1595">
        <f t="shared" ref="G30:G32" si="4">E30*F30</f>
        <v>151200000</v>
      </c>
      <c r="H30" s="1592"/>
      <c r="I30" s="1592"/>
    </row>
    <row r="31" spans="1:9" ht="63">
      <c r="A31" s="1593">
        <v>17</v>
      </c>
      <c r="B31" s="1594" t="s">
        <v>663</v>
      </c>
      <c r="C31" s="1594" t="s">
        <v>664</v>
      </c>
      <c r="D31" s="1593" t="s">
        <v>648</v>
      </c>
      <c r="E31" s="1593">
        <v>1</v>
      </c>
      <c r="F31" s="1595">
        <v>27000000</v>
      </c>
      <c r="G31" s="1595">
        <f>E31*F31</f>
        <v>27000000</v>
      </c>
      <c r="H31" s="1592"/>
      <c r="I31" s="1592"/>
    </row>
    <row r="32" spans="1:9" ht="31.5">
      <c r="A32" s="1593">
        <v>18</v>
      </c>
      <c r="B32" s="1594" t="s">
        <v>665</v>
      </c>
      <c r="C32" s="1594" t="s">
        <v>666</v>
      </c>
      <c r="D32" s="1593" t="s">
        <v>648</v>
      </c>
      <c r="E32" s="1593">
        <v>1</v>
      </c>
      <c r="F32" s="1595">
        <v>37800000</v>
      </c>
      <c r="G32" s="1595">
        <f t="shared" si="4"/>
        <v>37800000</v>
      </c>
      <c r="H32" s="1592"/>
      <c r="I32" s="1592"/>
    </row>
    <row r="33" spans="1:9" s="1600" customFormat="1">
      <c r="A33" s="1616" t="s">
        <v>504</v>
      </c>
      <c r="B33" s="1617" t="s">
        <v>667</v>
      </c>
      <c r="C33" s="1617"/>
      <c r="D33" s="1616"/>
      <c r="E33" s="1616"/>
      <c r="F33" s="1618"/>
      <c r="G33" s="1618">
        <f>SUM(G34:G36)</f>
        <v>1082395600</v>
      </c>
      <c r="H33" s="1599"/>
      <c r="I33" s="1599"/>
    </row>
    <row r="34" spans="1:9" s="1602" customFormat="1" ht="31.5">
      <c r="A34" s="1619">
        <v>1</v>
      </c>
      <c r="B34" s="1620" t="s">
        <v>668</v>
      </c>
      <c r="C34" s="1620" t="s">
        <v>669</v>
      </c>
      <c r="D34" s="1619" t="s">
        <v>670</v>
      </c>
      <c r="E34" s="1619">
        <v>8</v>
      </c>
      <c r="F34" s="1621">
        <f>43998000*1.1</f>
        <v>48397800.000000007</v>
      </c>
      <c r="G34" s="1621">
        <f t="shared" ref="G34:G45" si="5">+F34*E34</f>
        <v>387182400.00000006</v>
      </c>
      <c r="H34" s="1601"/>
      <c r="I34" s="1601"/>
    </row>
    <row r="35" spans="1:9" ht="78.75">
      <c r="A35" s="1619">
        <v>2</v>
      </c>
      <c r="B35" s="1620" t="s">
        <v>671</v>
      </c>
      <c r="C35" s="1620" t="s">
        <v>672</v>
      </c>
      <c r="D35" s="1619" t="s">
        <v>670</v>
      </c>
      <c r="E35" s="1619">
        <v>2</v>
      </c>
      <c r="F35" s="1621">
        <f>73206000*1.1</f>
        <v>80526600</v>
      </c>
      <c r="G35" s="1621">
        <f t="shared" si="5"/>
        <v>161053200</v>
      </c>
      <c r="H35" s="1592"/>
      <c r="I35" s="1592"/>
    </row>
    <row r="36" spans="1:9" s="1602" customFormat="1" ht="78.75">
      <c r="A36" s="1619">
        <v>3</v>
      </c>
      <c r="B36" s="1620" t="s">
        <v>671</v>
      </c>
      <c r="C36" s="1620" t="s">
        <v>673</v>
      </c>
      <c r="D36" s="1619" t="s">
        <v>670</v>
      </c>
      <c r="E36" s="1619">
        <v>5</v>
      </c>
      <c r="F36" s="1621">
        <f>97120000*1.1</f>
        <v>106832000.00000001</v>
      </c>
      <c r="G36" s="1621">
        <f t="shared" si="5"/>
        <v>534160000.00000006</v>
      </c>
      <c r="H36" s="1601"/>
      <c r="I36" s="1601"/>
    </row>
    <row r="37" spans="1:9">
      <c r="A37" s="1616" t="s">
        <v>507</v>
      </c>
      <c r="B37" s="1617" t="s">
        <v>674</v>
      </c>
      <c r="C37" s="1617"/>
      <c r="D37" s="1619"/>
      <c r="E37" s="1619"/>
      <c r="F37" s="1621"/>
      <c r="G37" s="1618">
        <f>SUM(G38:G45)</f>
        <v>823150000</v>
      </c>
      <c r="H37" s="1592"/>
      <c r="I37" s="1592"/>
    </row>
    <row r="38" spans="1:9" ht="63">
      <c r="A38" s="1619">
        <v>1</v>
      </c>
      <c r="B38" s="1620" t="s">
        <v>675</v>
      </c>
      <c r="C38" s="1620" t="s">
        <v>676</v>
      </c>
      <c r="D38" s="1619" t="s">
        <v>677</v>
      </c>
      <c r="E38" s="1619">
        <v>130</v>
      </c>
      <c r="F38" s="1621">
        <v>480000</v>
      </c>
      <c r="G38" s="1621">
        <f t="shared" si="5"/>
        <v>62400000</v>
      </c>
      <c r="H38" s="1592"/>
      <c r="I38" s="1592"/>
    </row>
    <row r="39" spans="1:9" ht="63">
      <c r="A39" s="1673">
        <v>2</v>
      </c>
      <c r="B39" s="1675" t="s">
        <v>678</v>
      </c>
      <c r="C39" s="1620" t="s">
        <v>676</v>
      </c>
      <c r="D39" s="1619" t="s">
        <v>677</v>
      </c>
      <c r="E39" s="1619">
        <v>390</v>
      </c>
      <c r="F39" s="1621">
        <v>480000</v>
      </c>
      <c r="G39" s="1621">
        <f t="shared" si="5"/>
        <v>187200000</v>
      </c>
      <c r="H39" s="1592"/>
      <c r="I39" s="1592"/>
    </row>
    <row r="40" spans="1:9" ht="63">
      <c r="A40" s="1674"/>
      <c r="B40" s="1676"/>
      <c r="C40" s="1620" t="s">
        <v>679</v>
      </c>
      <c r="D40" s="1619" t="s">
        <v>680</v>
      </c>
      <c r="E40" s="1619">
        <v>3</v>
      </c>
      <c r="F40" s="1621">
        <v>48600000</v>
      </c>
      <c r="G40" s="1621">
        <f t="shared" si="5"/>
        <v>145800000</v>
      </c>
      <c r="H40" s="1592"/>
      <c r="I40" s="1592"/>
    </row>
    <row r="41" spans="1:9" ht="63">
      <c r="A41" s="1619">
        <v>3</v>
      </c>
      <c r="B41" s="1620" t="s">
        <v>681</v>
      </c>
      <c r="C41" s="1620" t="s">
        <v>682</v>
      </c>
      <c r="D41" s="1619" t="s">
        <v>677</v>
      </c>
      <c r="E41" s="1619">
        <v>228</v>
      </c>
      <c r="F41" s="1621">
        <v>480000</v>
      </c>
      <c r="G41" s="1621">
        <f t="shared" si="5"/>
        <v>109440000</v>
      </c>
      <c r="H41" s="1592"/>
      <c r="I41" s="1592"/>
    </row>
    <row r="42" spans="1:9">
      <c r="A42" s="1619">
        <v>4</v>
      </c>
      <c r="B42" s="1620" t="s">
        <v>683</v>
      </c>
      <c r="C42" s="1620" t="s">
        <v>684</v>
      </c>
      <c r="D42" s="1619" t="s">
        <v>685</v>
      </c>
      <c r="E42" s="1619">
        <v>60</v>
      </c>
      <c r="F42" s="1621">
        <v>2250000</v>
      </c>
      <c r="G42" s="1621">
        <f t="shared" si="5"/>
        <v>135000000</v>
      </c>
      <c r="H42" s="1592"/>
      <c r="I42" s="1592"/>
    </row>
    <row r="43" spans="1:9">
      <c r="A43" s="1619">
        <v>5</v>
      </c>
      <c r="B43" s="1620" t="s">
        <v>686</v>
      </c>
      <c r="C43" s="1620" t="s">
        <v>687</v>
      </c>
      <c r="D43" s="1619" t="s">
        <v>685</v>
      </c>
      <c r="E43" s="1619">
        <v>55</v>
      </c>
      <c r="F43" s="1621">
        <v>650000</v>
      </c>
      <c r="G43" s="1621">
        <f t="shared" si="5"/>
        <v>35750000</v>
      </c>
      <c r="H43" s="1592"/>
      <c r="I43" s="1592"/>
    </row>
    <row r="44" spans="1:9">
      <c r="A44" s="1619">
        <v>6</v>
      </c>
      <c r="B44" s="1620" t="s">
        <v>688</v>
      </c>
      <c r="C44" s="1620"/>
      <c r="D44" s="1619" t="s">
        <v>680</v>
      </c>
      <c r="E44" s="1619">
        <v>1</v>
      </c>
      <c r="F44" s="1621">
        <v>2560000</v>
      </c>
      <c r="G44" s="1621">
        <f t="shared" si="5"/>
        <v>2560000</v>
      </c>
      <c r="H44" s="1592"/>
      <c r="I44" s="1592"/>
    </row>
    <row r="45" spans="1:9" ht="157.5">
      <c r="A45" s="1619">
        <v>7</v>
      </c>
      <c r="B45" s="1620" t="s">
        <v>689</v>
      </c>
      <c r="C45" s="1620" t="s">
        <v>690</v>
      </c>
      <c r="D45" s="1619" t="s">
        <v>691</v>
      </c>
      <c r="E45" s="1619">
        <v>1</v>
      </c>
      <c r="F45" s="1621">
        <v>145000000</v>
      </c>
      <c r="G45" s="1621">
        <f t="shared" si="5"/>
        <v>145000000</v>
      </c>
      <c r="H45" s="1592"/>
      <c r="I45" s="1592"/>
    </row>
    <row r="46" spans="1:9">
      <c r="A46" s="1584" t="s">
        <v>513</v>
      </c>
      <c r="B46" s="1597" t="s">
        <v>692</v>
      </c>
      <c r="C46" s="1597"/>
      <c r="D46" s="1593"/>
      <c r="E46" s="1593"/>
      <c r="F46" s="1595"/>
      <c r="G46" s="1598">
        <f>+G47</f>
        <v>1750700000</v>
      </c>
      <c r="H46" s="1592"/>
      <c r="I46" s="1592"/>
    </row>
    <row r="47" spans="1:9" ht="78.75">
      <c r="A47" s="1593">
        <v>1</v>
      </c>
      <c r="B47" s="1594" t="s">
        <v>693</v>
      </c>
      <c r="C47" s="1594" t="s">
        <v>694</v>
      </c>
      <c r="D47" s="1593" t="s">
        <v>695</v>
      </c>
      <c r="E47" s="1593">
        <v>854</v>
      </c>
      <c r="F47" s="1595">
        <v>2050000</v>
      </c>
      <c r="G47" s="1595">
        <f t="shared" ref="G47" si="6">+F47*E47</f>
        <v>1750700000</v>
      </c>
      <c r="H47" s="1592"/>
      <c r="I47" s="1592"/>
    </row>
    <row r="48" spans="1:9" s="1600" customFormat="1">
      <c r="A48" s="1584" t="s">
        <v>557</v>
      </c>
      <c r="B48" s="1597" t="s">
        <v>696</v>
      </c>
      <c r="C48" s="1597"/>
      <c r="D48" s="1584"/>
      <c r="E48" s="1584"/>
      <c r="F48" s="1598"/>
      <c r="G48" s="1598">
        <f>SUM(G50:G67)</f>
        <v>2409163020</v>
      </c>
      <c r="H48" s="1599"/>
      <c r="I48" s="1599"/>
    </row>
    <row r="49" spans="1:9" s="1600" customFormat="1">
      <c r="A49" s="1584" t="s">
        <v>697</v>
      </c>
      <c r="B49" s="1597" t="s">
        <v>698</v>
      </c>
      <c r="C49" s="1597"/>
      <c r="D49" s="1584"/>
      <c r="E49" s="1584"/>
      <c r="F49" s="1598">
        <v>0</v>
      </c>
      <c r="G49" s="1598">
        <f t="shared" ref="G49:G67" si="7">+F49*E49</f>
        <v>0</v>
      </c>
      <c r="H49" s="1599"/>
      <c r="I49" s="1599"/>
    </row>
    <row r="50" spans="1:9" ht="362.25">
      <c r="A50" s="1593" t="s">
        <v>699</v>
      </c>
      <c r="B50" s="1594" t="s">
        <v>700</v>
      </c>
      <c r="C50" s="1603" t="s">
        <v>701</v>
      </c>
      <c r="D50" s="1593" t="s">
        <v>624</v>
      </c>
      <c r="E50" s="1593">
        <v>1</v>
      </c>
      <c r="F50" s="1595">
        <v>48284640</v>
      </c>
      <c r="G50" s="1595">
        <f t="shared" si="7"/>
        <v>48284640</v>
      </c>
      <c r="H50" s="1592"/>
      <c r="I50" s="1592"/>
    </row>
    <row r="51" spans="1:9" ht="409.5">
      <c r="A51" s="1593" t="s">
        <v>702</v>
      </c>
      <c r="B51" s="1594" t="s">
        <v>703</v>
      </c>
      <c r="C51" s="1603" t="s">
        <v>704</v>
      </c>
      <c r="D51" s="1593" t="s">
        <v>624</v>
      </c>
      <c r="E51" s="1593">
        <v>1</v>
      </c>
      <c r="F51" s="1595">
        <v>47545920</v>
      </c>
      <c r="G51" s="1595">
        <f t="shared" si="7"/>
        <v>47545920</v>
      </c>
      <c r="H51" s="1592"/>
      <c r="I51" s="1592"/>
    </row>
    <row r="52" spans="1:9" ht="150">
      <c r="A52" s="1593" t="s">
        <v>705</v>
      </c>
      <c r="B52" s="1594" t="s">
        <v>706</v>
      </c>
      <c r="C52" s="1604" t="s">
        <v>707</v>
      </c>
      <c r="D52" s="1593" t="s">
        <v>624</v>
      </c>
      <c r="E52" s="1593">
        <v>1</v>
      </c>
      <c r="F52" s="1595">
        <v>40500000</v>
      </c>
      <c r="G52" s="1595">
        <f t="shared" si="7"/>
        <v>40500000</v>
      </c>
      <c r="H52" s="1592"/>
      <c r="I52" s="1592"/>
    </row>
    <row r="53" spans="1:9" ht="283.5">
      <c r="A53" s="1593" t="s">
        <v>708</v>
      </c>
      <c r="B53" s="1594" t="s">
        <v>709</v>
      </c>
      <c r="C53" s="1594" t="s">
        <v>710</v>
      </c>
      <c r="D53" s="1593" t="s">
        <v>624</v>
      </c>
      <c r="E53" s="1593">
        <v>1</v>
      </c>
      <c r="F53" s="1595">
        <v>113850360</v>
      </c>
      <c r="G53" s="1595">
        <f t="shared" si="7"/>
        <v>113850360</v>
      </c>
      <c r="H53" s="1592"/>
      <c r="I53" s="1592"/>
    </row>
    <row r="54" spans="1:9" ht="330.75">
      <c r="A54" s="1593" t="s">
        <v>711</v>
      </c>
      <c r="B54" s="1594" t="s">
        <v>712</v>
      </c>
      <c r="C54" s="1594" t="s">
        <v>713</v>
      </c>
      <c r="D54" s="1593" t="s">
        <v>624</v>
      </c>
      <c r="E54" s="1593">
        <v>1</v>
      </c>
      <c r="F54" s="1595">
        <v>164700000</v>
      </c>
      <c r="G54" s="1595">
        <f t="shared" si="7"/>
        <v>164700000</v>
      </c>
      <c r="H54" s="1592"/>
      <c r="I54" s="1592"/>
    </row>
    <row r="55" spans="1:9" ht="173.25">
      <c r="A55" s="1593" t="s">
        <v>714</v>
      </c>
      <c r="B55" s="1594" t="s">
        <v>715</v>
      </c>
      <c r="C55" s="1594" t="s">
        <v>716</v>
      </c>
      <c r="D55" s="1593" t="s">
        <v>624</v>
      </c>
      <c r="E55" s="1593">
        <v>1</v>
      </c>
      <c r="F55" s="1595">
        <v>31500360</v>
      </c>
      <c r="G55" s="1595">
        <f t="shared" si="7"/>
        <v>31500360</v>
      </c>
      <c r="H55" s="1592"/>
      <c r="I55" s="1592"/>
    </row>
    <row r="56" spans="1:9" ht="157.5">
      <c r="A56" s="1593" t="s">
        <v>717</v>
      </c>
      <c r="B56" s="1594" t="s">
        <v>718</v>
      </c>
      <c r="C56" s="1603" t="s">
        <v>719</v>
      </c>
      <c r="D56" s="1593" t="s">
        <v>655</v>
      </c>
      <c r="E56" s="1593">
        <v>32</v>
      </c>
      <c r="F56" s="1595">
        <v>273240</v>
      </c>
      <c r="G56" s="1595">
        <f t="shared" si="7"/>
        <v>8743680</v>
      </c>
      <c r="H56" s="1592"/>
      <c r="I56" s="1592"/>
    </row>
    <row r="57" spans="1:9" ht="110.25">
      <c r="A57" s="1593" t="s">
        <v>720</v>
      </c>
      <c r="B57" s="1594" t="s">
        <v>721</v>
      </c>
      <c r="C57" s="1605" t="s">
        <v>722</v>
      </c>
      <c r="D57" s="1593" t="s">
        <v>655</v>
      </c>
      <c r="E57" s="1593">
        <v>46</v>
      </c>
      <c r="F57" s="1595">
        <v>162000</v>
      </c>
      <c r="G57" s="1595">
        <f t="shared" si="7"/>
        <v>7452000</v>
      </c>
      <c r="H57" s="1592"/>
      <c r="I57" s="1592"/>
    </row>
    <row r="58" spans="1:9" ht="110.25">
      <c r="A58" s="1593" t="s">
        <v>723</v>
      </c>
      <c r="B58" s="1594" t="s">
        <v>724</v>
      </c>
      <c r="C58" s="1605" t="s">
        <v>725</v>
      </c>
      <c r="D58" s="1593" t="s">
        <v>726</v>
      </c>
      <c r="E58" s="1593">
        <v>46</v>
      </c>
      <c r="F58" s="1595">
        <v>305640</v>
      </c>
      <c r="G58" s="1595">
        <f t="shared" si="7"/>
        <v>14059440</v>
      </c>
      <c r="H58" s="1592"/>
      <c r="I58" s="1592"/>
    </row>
    <row r="59" spans="1:9" ht="378">
      <c r="A59" s="1593" t="s">
        <v>727</v>
      </c>
      <c r="B59" s="1594" t="s">
        <v>728</v>
      </c>
      <c r="C59" s="1605" t="s">
        <v>729</v>
      </c>
      <c r="D59" s="1593" t="s">
        <v>726</v>
      </c>
      <c r="E59" s="1593">
        <v>46</v>
      </c>
      <c r="F59" s="1595">
        <v>203040</v>
      </c>
      <c r="G59" s="1595">
        <f t="shared" si="7"/>
        <v>9339840</v>
      </c>
      <c r="H59" s="1592"/>
      <c r="I59" s="1592"/>
    </row>
    <row r="60" spans="1:9" ht="393.75">
      <c r="A60" s="1593" t="s">
        <v>730</v>
      </c>
      <c r="B60" s="1594" t="s">
        <v>731</v>
      </c>
      <c r="C60" s="1594" t="s">
        <v>732</v>
      </c>
      <c r="D60" s="1593" t="s">
        <v>677</v>
      </c>
      <c r="E60" s="1593">
        <v>114.76</v>
      </c>
      <c r="F60" s="1595">
        <v>7722000</v>
      </c>
      <c r="G60" s="1595">
        <f t="shared" si="7"/>
        <v>886176720</v>
      </c>
      <c r="H60" s="1592"/>
      <c r="I60" s="1592"/>
    </row>
    <row r="61" spans="1:9" ht="267.75">
      <c r="A61" s="1593" t="s">
        <v>733</v>
      </c>
      <c r="B61" s="1594" t="s">
        <v>734</v>
      </c>
      <c r="C61" s="1594" t="s">
        <v>735</v>
      </c>
      <c r="D61" s="1593" t="s">
        <v>677</v>
      </c>
      <c r="E61" s="1593">
        <v>84.69</v>
      </c>
      <c r="F61" s="1595">
        <v>6750000</v>
      </c>
      <c r="G61" s="1595">
        <f t="shared" si="7"/>
        <v>571657500</v>
      </c>
      <c r="H61" s="1592"/>
      <c r="I61" s="1592"/>
    </row>
    <row r="62" spans="1:9" ht="204.75">
      <c r="A62" s="1593" t="s">
        <v>736</v>
      </c>
      <c r="B62" s="1594" t="s">
        <v>737</v>
      </c>
      <c r="C62" s="1594" t="s">
        <v>738</v>
      </c>
      <c r="D62" s="1593" t="s">
        <v>655</v>
      </c>
      <c r="E62" s="1593">
        <v>250</v>
      </c>
      <c r="F62" s="1595">
        <v>585360</v>
      </c>
      <c r="G62" s="1595">
        <f t="shared" si="7"/>
        <v>146340000</v>
      </c>
      <c r="H62" s="1592"/>
      <c r="I62" s="1592"/>
    </row>
    <row r="63" spans="1:9">
      <c r="A63" s="1593" t="s">
        <v>697</v>
      </c>
      <c r="B63" s="1594" t="s">
        <v>739</v>
      </c>
      <c r="C63" s="1594"/>
      <c r="D63" s="1593"/>
      <c r="E63" s="1593"/>
      <c r="F63" s="1595">
        <v>0</v>
      </c>
      <c r="G63" s="1595">
        <f t="shared" si="7"/>
        <v>0</v>
      </c>
      <c r="H63" s="1592"/>
      <c r="I63" s="1592"/>
    </row>
    <row r="64" spans="1:9" ht="30">
      <c r="A64" s="1593" t="s">
        <v>740</v>
      </c>
      <c r="B64" s="1594" t="s">
        <v>741</v>
      </c>
      <c r="C64" s="1606" t="s">
        <v>742</v>
      </c>
      <c r="D64" s="1593" t="s">
        <v>655</v>
      </c>
      <c r="E64" s="1593">
        <v>1</v>
      </c>
      <c r="F64" s="1595">
        <v>29249640</v>
      </c>
      <c r="G64" s="1595">
        <f t="shared" si="7"/>
        <v>29249640</v>
      </c>
      <c r="H64" s="1592"/>
      <c r="I64" s="1592"/>
    </row>
    <row r="65" spans="1:13" s="1600" customFormat="1">
      <c r="A65" s="1584" t="s">
        <v>697</v>
      </c>
      <c r="B65" s="1597" t="s">
        <v>743</v>
      </c>
      <c r="C65" s="1597"/>
      <c r="D65" s="1584"/>
      <c r="E65" s="1584"/>
      <c r="F65" s="1598">
        <v>0</v>
      </c>
      <c r="G65" s="1598">
        <f t="shared" si="7"/>
        <v>0</v>
      </c>
      <c r="H65" s="1599"/>
      <c r="I65" s="1599"/>
    </row>
    <row r="66" spans="1:13" ht="126">
      <c r="A66" s="1593" t="s">
        <v>744</v>
      </c>
      <c r="B66" s="1594" t="s">
        <v>745</v>
      </c>
      <c r="C66" s="1594" t="s">
        <v>746</v>
      </c>
      <c r="D66" s="1593" t="s">
        <v>655</v>
      </c>
      <c r="E66" s="1593">
        <v>3</v>
      </c>
      <c r="F66" s="1595">
        <v>43740000</v>
      </c>
      <c r="G66" s="1595">
        <f t="shared" si="7"/>
        <v>131220000</v>
      </c>
      <c r="H66" s="1592"/>
      <c r="I66" s="1592"/>
    </row>
    <row r="67" spans="1:13" ht="126">
      <c r="A67" s="1593" t="s">
        <v>747</v>
      </c>
      <c r="B67" s="1594" t="s">
        <v>748</v>
      </c>
      <c r="C67" s="1594" t="s">
        <v>746</v>
      </c>
      <c r="D67" s="1593" t="s">
        <v>655</v>
      </c>
      <c r="E67" s="1593">
        <v>3</v>
      </c>
      <c r="F67" s="1595">
        <v>52847640</v>
      </c>
      <c r="G67" s="1595">
        <f t="shared" si="7"/>
        <v>158542920</v>
      </c>
      <c r="H67" s="1592"/>
      <c r="I67" s="1592"/>
    </row>
    <row r="68" spans="1:13" s="1600" customFormat="1">
      <c r="A68" s="1584" t="s">
        <v>597</v>
      </c>
      <c r="B68" s="1597" t="s">
        <v>749</v>
      </c>
      <c r="C68" s="1597"/>
      <c r="D68" s="1584"/>
      <c r="E68" s="1584"/>
      <c r="F68" s="1598"/>
      <c r="G68" s="1598">
        <f>SUM(G69)</f>
        <v>495000000.00000006</v>
      </c>
      <c r="H68" s="1599"/>
      <c r="I68" s="1599"/>
    </row>
    <row r="69" spans="1:13" ht="299.25">
      <c r="A69" s="1593" t="s">
        <v>699</v>
      </c>
      <c r="B69" s="1620" t="s">
        <v>750</v>
      </c>
      <c r="C69" s="1615" t="s">
        <v>751</v>
      </c>
      <c r="D69" s="1593" t="s">
        <v>624</v>
      </c>
      <c r="E69" s="1593">
        <v>1</v>
      </c>
      <c r="F69" s="1595">
        <f>450000000*1.1</f>
        <v>495000000.00000006</v>
      </c>
      <c r="G69" s="1595">
        <f>+F69*E69</f>
        <v>495000000.00000006</v>
      </c>
      <c r="H69" s="1614"/>
      <c r="I69" s="1592"/>
    </row>
    <row r="70" spans="1:13">
      <c r="A70" s="1593"/>
      <c r="B70" s="1594"/>
      <c r="C70" s="1594"/>
      <c r="D70" s="1593"/>
      <c r="E70" s="1593"/>
      <c r="F70" s="1595"/>
      <c r="G70" s="1595"/>
      <c r="H70" s="1592"/>
      <c r="I70" s="1592"/>
    </row>
    <row r="71" spans="1:13">
      <c r="A71" s="1607"/>
      <c r="B71" s="1589" t="s">
        <v>357</v>
      </c>
      <c r="C71" s="1589"/>
      <c r="D71" s="1607"/>
      <c r="E71" s="1607"/>
      <c r="F71" s="1607"/>
      <c r="G71" s="1608">
        <f>+G68+G48+G46+G37+G33+G7</f>
        <v>7380236620</v>
      </c>
      <c r="H71" s="1609"/>
      <c r="I71" s="1609"/>
      <c r="K71" s="1596"/>
      <c r="M71" s="1610"/>
    </row>
    <row r="72" spans="1:13">
      <c r="A72" s="1609"/>
      <c r="B72" s="1611"/>
      <c r="C72" s="1611"/>
      <c r="D72" s="1609"/>
      <c r="E72" s="1609"/>
      <c r="F72" s="1609"/>
      <c r="G72" s="1609"/>
      <c r="H72" s="1609"/>
      <c r="I72" s="1609"/>
      <c r="K72" s="1596"/>
    </row>
    <row r="73" spans="1:13" ht="15.6" hidden="1" customHeight="1">
      <c r="A73" s="1609"/>
      <c r="B73" s="1611"/>
      <c r="C73" s="1611"/>
      <c r="D73" s="1609"/>
      <c r="E73" s="1609"/>
      <c r="F73" s="1609"/>
      <c r="G73" s="1609"/>
      <c r="H73" s="1609"/>
      <c r="I73" s="1609"/>
      <c r="K73" s="1596"/>
    </row>
    <row r="74" spans="1:13" ht="15.6" hidden="1" customHeight="1">
      <c r="B74" s="1612" t="s">
        <v>752</v>
      </c>
      <c r="D74" s="1583"/>
      <c r="E74" s="1583"/>
      <c r="H74" s="1612"/>
      <c r="I74" s="1612"/>
    </row>
    <row r="75" spans="1:13" ht="15.6" hidden="1" customHeight="1">
      <c r="D75" s="1583"/>
      <c r="E75" s="1583"/>
      <c r="H75" s="1612"/>
      <c r="I75" s="1612"/>
    </row>
  </sheetData>
  <mergeCells count="5">
    <mergeCell ref="A2:G2"/>
    <mergeCell ref="A3:G3"/>
    <mergeCell ref="A5:G5"/>
    <mergeCell ref="A39:A40"/>
    <mergeCell ref="B39:B40"/>
  </mergeCells>
  <printOptions horizontalCentered="1"/>
  <pageMargins left="0.74803149606299213" right="0.47244094488188981" top="0.51181102362204722" bottom="0.47244094488188981" header="0.19685039370078741" footer="0.23622047244094491"/>
  <pageSetup paperSize="9" scale="58" fitToHeight="0" orientation="portrait" r:id="rId1"/>
  <headerFooter alignWithMargins="0"/>
  <colBreaks count="1" manualBreakCount="1">
    <brk id="9" max="1048575" man="1"/>
  </colBreak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A70B-694F-484D-A253-D5B53818734C}">
  <dimension ref="A1:I83"/>
  <sheetViews>
    <sheetView topLeftCell="A67" workbookViewId="0">
      <selection activeCell="I83" sqref="I83"/>
    </sheetView>
  </sheetViews>
  <sheetFormatPr defaultColWidth="8.85546875" defaultRowHeight="12.75"/>
  <cols>
    <col min="1" max="1" width="8.85546875" style="1448"/>
    <col min="2" max="2" width="17.42578125" style="1448" customWidth="1"/>
    <col min="3" max="3" width="47.85546875" style="1448" customWidth="1"/>
    <col min="4" max="6" width="8.85546875" style="1448"/>
    <col min="7" max="7" width="5.7109375" style="1448" bestFit="1" customWidth="1"/>
    <col min="8" max="8" width="15.42578125" style="1448" bestFit="1" customWidth="1"/>
    <col min="9" max="9" width="15.7109375" style="1448" customWidth="1"/>
    <col min="10" max="16384" width="8.85546875" style="1448"/>
  </cols>
  <sheetData>
    <row r="1" spans="1:9" ht="14.25">
      <c r="A1" s="1698" t="s">
        <v>753</v>
      </c>
      <c r="B1" s="1698"/>
      <c r="C1" s="1698"/>
      <c r="D1" s="1698"/>
      <c r="E1" s="1698"/>
      <c r="F1" s="1698"/>
      <c r="G1" s="1698"/>
      <c r="H1" s="1698"/>
      <c r="I1" s="1698"/>
    </row>
    <row r="2" spans="1:9" ht="30">
      <c r="A2" s="1573" t="s">
        <v>754</v>
      </c>
      <c r="B2" s="1571"/>
      <c r="C2" s="1572"/>
      <c r="D2" s="1571"/>
      <c r="E2" s="1571"/>
      <c r="F2" s="1571"/>
      <c r="G2" s="1571"/>
      <c r="H2" s="1575" t="s">
        <v>755</v>
      </c>
      <c r="I2" s="1574" t="s">
        <v>756</v>
      </c>
    </row>
    <row r="3" spans="1:9" ht="14.25">
      <c r="A3" s="1573" t="s">
        <v>757</v>
      </c>
      <c r="B3" s="1571"/>
      <c r="C3" s="1572"/>
      <c r="D3" s="1571"/>
      <c r="E3" s="1571"/>
      <c r="F3" s="1571"/>
      <c r="G3" s="1571"/>
      <c r="H3" s="1570"/>
      <c r="I3" s="1569"/>
    </row>
    <row r="4" spans="1:9" ht="14.25">
      <c r="A4" s="1699" t="s">
        <v>758</v>
      </c>
      <c r="B4" s="1699"/>
      <c r="C4" s="1699"/>
      <c r="D4" s="1699"/>
      <c r="E4" s="1699"/>
      <c r="F4" s="1571"/>
      <c r="G4" s="1571"/>
      <c r="H4" s="1570"/>
      <c r="I4" s="1569"/>
    </row>
    <row r="5" spans="1:9" ht="14.25">
      <c r="A5" s="1699" t="s">
        <v>759</v>
      </c>
      <c r="B5" s="1699"/>
      <c r="C5" s="1699"/>
      <c r="D5" s="1699"/>
      <c r="E5" s="1699"/>
      <c r="F5" s="1699"/>
      <c r="G5" s="1699"/>
      <c r="H5" s="1570"/>
      <c r="I5" s="1569"/>
    </row>
    <row r="6" spans="1:9" ht="14.25">
      <c r="A6" s="1699" t="s">
        <v>760</v>
      </c>
      <c r="B6" s="1699"/>
      <c r="C6" s="1699"/>
      <c r="D6" s="1571"/>
      <c r="E6" s="1571"/>
      <c r="F6" s="1571"/>
      <c r="G6" s="1571"/>
      <c r="H6" s="1570"/>
      <c r="I6" s="1569"/>
    </row>
    <row r="7" spans="1:9" ht="14.25">
      <c r="A7" s="1573"/>
      <c r="B7" s="1571"/>
      <c r="C7" s="1572"/>
      <c r="D7" s="1571"/>
      <c r="E7" s="1571"/>
      <c r="F7" s="1571"/>
      <c r="G7" s="1571"/>
      <c r="H7" s="1570"/>
      <c r="I7" s="1569"/>
    </row>
    <row r="8" spans="1:9">
      <c r="A8" s="1695" t="s">
        <v>761</v>
      </c>
      <c r="B8" s="1695" t="s">
        <v>762</v>
      </c>
      <c r="C8" s="1695" t="s">
        <v>763</v>
      </c>
      <c r="D8" s="1695" t="s">
        <v>764</v>
      </c>
      <c r="E8" s="1700" t="s">
        <v>765</v>
      </c>
      <c r="F8" s="1695" t="s">
        <v>766</v>
      </c>
      <c r="G8" s="1695" t="s">
        <v>767</v>
      </c>
      <c r="H8" s="1696" t="s">
        <v>768</v>
      </c>
      <c r="I8" s="1702" t="s">
        <v>769</v>
      </c>
    </row>
    <row r="9" spans="1:9">
      <c r="A9" s="1695"/>
      <c r="B9" s="1695"/>
      <c r="C9" s="1695"/>
      <c r="D9" s="1695"/>
      <c r="E9" s="1701"/>
      <c r="F9" s="1695"/>
      <c r="G9" s="1695"/>
      <c r="H9" s="1696"/>
      <c r="I9" s="1702"/>
    </row>
    <row r="10" spans="1:9" ht="14.25">
      <c r="A10" s="1568"/>
      <c r="B10" s="1697" t="s">
        <v>770</v>
      </c>
      <c r="C10" s="1697"/>
      <c r="D10" s="1568"/>
      <c r="E10" s="1568"/>
      <c r="F10" s="1568"/>
      <c r="G10" s="1568"/>
      <c r="H10" s="1567"/>
      <c r="I10" s="1566"/>
    </row>
    <row r="11" spans="1:9" ht="15">
      <c r="A11" s="1529" t="s">
        <v>771</v>
      </c>
      <c r="B11" s="1687" t="s">
        <v>772</v>
      </c>
      <c r="C11" s="1687"/>
      <c r="D11" s="1528"/>
      <c r="E11" s="1528"/>
      <c r="F11" s="1527"/>
      <c r="G11" s="1526"/>
      <c r="H11" s="1525"/>
      <c r="I11" s="1525">
        <f>SUM(I13:I46)</f>
        <v>4234119200</v>
      </c>
    </row>
    <row r="12" spans="1:9" ht="15">
      <c r="A12" s="1512" t="s">
        <v>773</v>
      </c>
      <c r="B12" s="1680" t="s">
        <v>774</v>
      </c>
      <c r="C12" s="1680"/>
      <c r="D12" s="1511"/>
      <c r="E12" s="1511"/>
      <c r="F12" s="1510"/>
      <c r="G12" s="1509"/>
      <c r="H12" s="1508"/>
      <c r="I12" s="1565"/>
    </row>
    <row r="13" spans="1:9" ht="209.25">
      <c r="A13" s="1491">
        <v>1</v>
      </c>
      <c r="B13" s="1490" t="s">
        <v>775</v>
      </c>
      <c r="C13" s="1523" t="s">
        <v>776</v>
      </c>
      <c r="D13" s="1486" t="s">
        <v>777</v>
      </c>
      <c r="E13" s="1488" t="s">
        <v>778</v>
      </c>
      <c r="F13" s="1486" t="s">
        <v>695</v>
      </c>
      <c r="G13" s="1522">
        <v>1</v>
      </c>
      <c r="H13" s="1521">
        <v>258500000.00000003</v>
      </c>
      <c r="I13" s="1483">
        <f t="shared" ref="I13:I29" si="0">G13*H13</f>
        <v>258500000.00000003</v>
      </c>
    </row>
    <row r="14" spans="1:9" ht="75">
      <c r="A14" s="1491">
        <v>2</v>
      </c>
      <c r="B14" s="1490" t="s">
        <v>779</v>
      </c>
      <c r="C14" s="1523" t="s">
        <v>780</v>
      </c>
      <c r="D14" s="1486" t="s">
        <v>777</v>
      </c>
      <c r="E14" s="1488" t="s">
        <v>778</v>
      </c>
      <c r="F14" s="1486" t="s">
        <v>695</v>
      </c>
      <c r="G14" s="1522">
        <v>2</v>
      </c>
      <c r="H14" s="1521">
        <v>79530000</v>
      </c>
      <c r="I14" s="1483">
        <f t="shared" si="0"/>
        <v>159060000</v>
      </c>
    </row>
    <row r="15" spans="1:9" ht="75">
      <c r="A15" s="1491">
        <v>3</v>
      </c>
      <c r="B15" s="1490" t="s">
        <v>781</v>
      </c>
      <c r="C15" s="1564" t="s">
        <v>782</v>
      </c>
      <c r="D15" s="1558" t="s">
        <v>783</v>
      </c>
      <c r="E15" s="1559" t="s">
        <v>784</v>
      </c>
      <c r="F15" s="1559" t="s">
        <v>680</v>
      </c>
      <c r="G15" s="1563">
        <v>10</v>
      </c>
      <c r="H15" s="1562">
        <v>25630000.000000004</v>
      </c>
      <c r="I15" s="1483">
        <f t="shared" si="0"/>
        <v>256300000.00000003</v>
      </c>
    </row>
    <row r="16" spans="1:9" ht="60">
      <c r="A16" s="1491">
        <v>5</v>
      </c>
      <c r="B16" s="1490" t="s">
        <v>785</v>
      </c>
      <c r="C16" s="1564" t="s">
        <v>786</v>
      </c>
      <c r="D16" s="1558" t="s">
        <v>783</v>
      </c>
      <c r="E16" s="1559" t="s">
        <v>784</v>
      </c>
      <c r="F16" s="1559" t="s">
        <v>680</v>
      </c>
      <c r="G16" s="1563">
        <v>6</v>
      </c>
      <c r="H16" s="1562">
        <v>28600000.000000004</v>
      </c>
      <c r="I16" s="1483">
        <f t="shared" si="0"/>
        <v>171600000.00000003</v>
      </c>
    </row>
    <row r="17" spans="1:9" ht="42.75">
      <c r="A17" s="1491">
        <v>7</v>
      </c>
      <c r="B17" s="1490" t="s">
        <v>787</v>
      </c>
      <c r="C17" s="1564" t="s">
        <v>788</v>
      </c>
      <c r="D17" s="1558" t="s">
        <v>783</v>
      </c>
      <c r="E17" s="1559" t="s">
        <v>789</v>
      </c>
      <c r="F17" s="1559" t="s">
        <v>680</v>
      </c>
      <c r="G17" s="1563">
        <v>2</v>
      </c>
      <c r="H17" s="1562">
        <v>28050000.000000004</v>
      </c>
      <c r="I17" s="1483">
        <f t="shared" si="0"/>
        <v>56100000.000000007</v>
      </c>
    </row>
    <row r="18" spans="1:9" ht="30">
      <c r="A18" s="1491">
        <v>8</v>
      </c>
      <c r="B18" s="1490" t="s">
        <v>790</v>
      </c>
      <c r="C18" s="1564" t="s">
        <v>791</v>
      </c>
      <c r="D18" s="1558" t="s">
        <v>783</v>
      </c>
      <c r="E18" s="1559" t="s">
        <v>789</v>
      </c>
      <c r="F18" s="1559" t="s">
        <v>627</v>
      </c>
      <c r="G18" s="1563">
        <v>3</v>
      </c>
      <c r="H18" s="1562">
        <v>24750000.000000004</v>
      </c>
      <c r="I18" s="1483">
        <f t="shared" si="0"/>
        <v>74250000.000000015</v>
      </c>
    </row>
    <row r="19" spans="1:9" ht="30">
      <c r="A19" s="1491">
        <v>9</v>
      </c>
      <c r="B19" s="1490" t="s">
        <v>792</v>
      </c>
      <c r="C19" s="1564" t="s">
        <v>793</v>
      </c>
      <c r="D19" s="1558" t="s">
        <v>783</v>
      </c>
      <c r="E19" s="1559" t="s">
        <v>794</v>
      </c>
      <c r="F19" s="1559" t="s">
        <v>627</v>
      </c>
      <c r="G19" s="1563">
        <v>2</v>
      </c>
      <c r="H19" s="1562">
        <v>8580000</v>
      </c>
      <c r="I19" s="1483">
        <f t="shared" si="0"/>
        <v>17160000</v>
      </c>
    </row>
    <row r="20" spans="1:9" ht="30">
      <c r="A20" s="1491">
        <v>10</v>
      </c>
      <c r="B20" s="1490" t="s">
        <v>795</v>
      </c>
      <c r="C20" s="1564" t="s">
        <v>796</v>
      </c>
      <c r="D20" s="1558" t="s">
        <v>783</v>
      </c>
      <c r="E20" s="1559" t="s">
        <v>789</v>
      </c>
      <c r="F20" s="1559" t="s">
        <v>627</v>
      </c>
      <c r="G20" s="1563">
        <v>2</v>
      </c>
      <c r="H20" s="1562">
        <v>8250000.0000000009</v>
      </c>
      <c r="I20" s="1483">
        <f t="shared" si="0"/>
        <v>16500000.000000002</v>
      </c>
    </row>
    <row r="21" spans="1:9" ht="30">
      <c r="A21" s="1491">
        <v>11</v>
      </c>
      <c r="B21" s="1490" t="s">
        <v>797</v>
      </c>
      <c r="C21" s="1564" t="s">
        <v>798</v>
      </c>
      <c r="D21" s="1558" t="s">
        <v>783</v>
      </c>
      <c r="E21" s="1559" t="s">
        <v>789</v>
      </c>
      <c r="F21" s="1559" t="s">
        <v>799</v>
      </c>
      <c r="G21" s="1563">
        <v>2</v>
      </c>
      <c r="H21" s="1562">
        <v>3850000.0000000005</v>
      </c>
      <c r="I21" s="1483">
        <f t="shared" si="0"/>
        <v>7700000.0000000009</v>
      </c>
    </row>
    <row r="22" spans="1:9" ht="30">
      <c r="A22" s="1491">
        <v>12</v>
      </c>
      <c r="B22" s="1561" t="s">
        <v>800</v>
      </c>
      <c r="C22" s="1560" t="s">
        <v>801</v>
      </c>
      <c r="D22" s="1558" t="s">
        <v>783</v>
      </c>
      <c r="E22" s="1559" t="s">
        <v>784</v>
      </c>
      <c r="F22" s="1558" t="s">
        <v>680</v>
      </c>
      <c r="G22" s="1557">
        <v>2</v>
      </c>
      <c r="H22" s="1556">
        <v>39600000</v>
      </c>
      <c r="I22" s="1483">
        <f t="shared" si="0"/>
        <v>79200000</v>
      </c>
    </row>
    <row r="23" spans="1:9" ht="15">
      <c r="A23" s="1555" t="s">
        <v>802</v>
      </c>
      <c r="B23" s="1686" t="s">
        <v>803</v>
      </c>
      <c r="C23" s="1686"/>
      <c r="D23" s="1554"/>
      <c r="E23" s="1554"/>
      <c r="F23" s="1553"/>
      <c r="G23" s="1552"/>
      <c r="H23" s="1551">
        <v>0</v>
      </c>
      <c r="I23" s="1483">
        <f t="shared" si="0"/>
        <v>0</v>
      </c>
    </row>
    <row r="24" spans="1:9" ht="240">
      <c r="A24" s="1491">
        <v>1</v>
      </c>
      <c r="B24" s="1524" t="s">
        <v>804</v>
      </c>
      <c r="C24" s="1550" t="s">
        <v>805</v>
      </c>
      <c r="D24" s="1488" t="s">
        <v>806</v>
      </c>
      <c r="E24" s="1486" t="s">
        <v>789</v>
      </c>
      <c r="F24" s="1486" t="s">
        <v>695</v>
      </c>
      <c r="G24" s="1522">
        <v>2</v>
      </c>
      <c r="H24" s="1521">
        <v>286000000</v>
      </c>
      <c r="I24" s="1483">
        <f t="shared" si="0"/>
        <v>572000000</v>
      </c>
    </row>
    <row r="25" spans="1:9" ht="240">
      <c r="A25" s="1491">
        <v>2</v>
      </c>
      <c r="B25" s="1524" t="s">
        <v>807</v>
      </c>
      <c r="C25" s="1550" t="s">
        <v>808</v>
      </c>
      <c r="D25" s="1488" t="s">
        <v>806</v>
      </c>
      <c r="E25" s="1486" t="s">
        <v>789</v>
      </c>
      <c r="F25" s="1486" t="s">
        <v>695</v>
      </c>
      <c r="G25" s="1522">
        <v>2</v>
      </c>
      <c r="H25" s="1521">
        <v>189600000</v>
      </c>
      <c r="I25" s="1483">
        <f t="shared" si="0"/>
        <v>379200000</v>
      </c>
    </row>
    <row r="26" spans="1:9" ht="285">
      <c r="A26" s="1491">
        <v>3</v>
      </c>
      <c r="B26" s="1524" t="s">
        <v>809</v>
      </c>
      <c r="C26" s="1506" t="s">
        <v>810</v>
      </c>
      <c r="D26" s="1488" t="s">
        <v>806</v>
      </c>
      <c r="E26" s="1486" t="s">
        <v>789</v>
      </c>
      <c r="F26" s="1486" t="s">
        <v>695</v>
      </c>
      <c r="G26" s="1522">
        <v>2</v>
      </c>
      <c r="H26" s="1521">
        <v>214500000.00000003</v>
      </c>
      <c r="I26" s="1483">
        <f t="shared" si="0"/>
        <v>429000000.00000006</v>
      </c>
    </row>
    <row r="27" spans="1:9" s="1543" customFormat="1" ht="165">
      <c r="A27" s="1491">
        <v>4</v>
      </c>
      <c r="B27" s="1549" t="s">
        <v>811</v>
      </c>
      <c r="C27" s="1548" t="s">
        <v>812</v>
      </c>
      <c r="D27" s="1547" t="s">
        <v>813</v>
      </c>
      <c r="E27" s="1546" t="s">
        <v>814</v>
      </c>
      <c r="F27" s="1546" t="s">
        <v>695</v>
      </c>
      <c r="G27" s="1545">
        <v>3</v>
      </c>
      <c r="H27" s="1544">
        <v>148500000</v>
      </c>
      <c r="I27" s="1483">
        <f t="shared" si="0"/>
        <v>445500000</v>
      </c>
    </row>
    <row r="28" spans="1:9" ht="105">
      <c r="A28" s="1491">
        <v>5</v>
      </c>
      <c r="B28" s="1542" t="s">
        <v>815</v>
      </c>
      <c r="C28" s="1506" t="s">
        <v>816</v>
      </c>
      <c r="D28" s="1488" t="s">
        <v>817</v>
      </c>
      <c r="E28" s="1487" t="s">
        <v>794</v>
      </c>
      <c r="F28" s="1486" t="s">
        <v>695</v>
      </c>
      <c r="G28" s="1522">
        <v>6</v>
      </c>
      <c r="H28" s="1521">
        <v>28600000</v>
      </c>
      <c r="I28" s="1483">
        <f t="shared" si="0"/>
        <v>171600000</v>
      </c>
    </row>
    <row r="29" spans="1:9" ht="270">
      <c r="A29" s="1491">
        <v>6</v>
      </c>
      <c r="B29" s="1490" t="s">
        <v>818</v>
      </c>
      <c r="C29" s="1506" t="s">
        <v>819</v>
      </c>
      <c r="D29" s="1488" t="s">
        <v>806</v>
      </c>
      <c r="E29" s="1487" t="s">
        <v>789</v>
      </c>
      <c r="F29" s="1486" t="s">
        <v>695</v>
      </c>
      <c r="G29" s="1522">
        <v>4</v>
      </c>
      <c r="H29" s="1541">
        <v>89600000</v>
      </c>
      <c r="I29" s="1483">
        <f t="shared" si="0"/>
        <v>358400000</v>
      </c>
    </row>
    <row r="30" spans="1:9" ht="15">
      <c r="A30" s="1512" t="s">
        <v>820</v>
      </c>
      <c r="B30" s="1680" t="s">
        <v>821</v>
      </c>
      <c r="C30" s="1680"/>
      <c r="D30" s="1511"/>
      <c r="E30" s="1511"/>
      <c r="F30" s="1510"/>
      <c r="G30" s="1509"/>
      <c r="H30" s="1508"/>
      <c r="I30" s="1508"/>
    </row>
    <row r="31" spans="1:9" ht="164.25">
      <c r="A31" s="1530">
        <v>1</v>
      </c>
      <c r="B31" s="1540" t="s">
        <v>822</v>
      </c>
      <c r="C31" s="1539" t="s">
        <v>823</v>
      </c>
      <c r="D31" s="1530" t="s">
        <v>817</v>
      </c>
      <c r="E31" s="1530" t="s">
        <v>794</v>
      </c>
      <c r="F31" s="1538" t="s">
        <v>627</v>
      </c>
      <c r="G31" s="1537">
        <v>2</v>
      </c>
      <c r="H31" s="1536">
        <v>18600000</v>
      </c>
      <c r="I31" s="1483">
        <f t="shared" ref="I31:I46" si="1">G31*H31</f>
        <v>37200000</v>
      </c>
    </row>
    <row r="32" spans="1:9" ht="29.25">
      <c r="A32" s="1530">
        <v>2</v>
      </c>
      <c r="B32" s="1501" t="s">
        <v>824</v>
      </c>
      <c r="C32" s="1503" t="s">
        <v>825</v>
      </c>
      <c r="D32" s="1499" t="s">
        <v>817</v>
      </c>
      <c r="E32" s="1486" t="s">
        <v>794</v>
      </c>
      <c r="F32" s="1499" t="s">
        <v>826</v>
      </c>
      <c r="G32" s="1498">
        <v>200</v>
      </c>
      <c r="H32" s="1484">
        <v>70400</v>
      </c>
      <c r="I32" s="1483">
        <f t="shared" si="1"/>
        <v>14080000</v>
      </c>
    </row>
    <row r="33" spans="1:9" ht="29.25">
      <c r="A33" s="1530">
        <v>3</v>
      </c>
      <c r="B33" s="1501" t="s">
        <v>827</v>
      </c>
      <c r="C33" s="1535" t="s">
        <v>828</v>
      </c>
      <c r="D33" s="1499" t="s">
        <v>817</v>
      </c>
      <c r="E33" s="1486" t="s">
        <v>794</v>
      </c>
      <c r="F33" s="1499" t="s">
        <v>826</v>
      </c>
      <c r="G33" s="1498">
        <v>300</v>
      </c>
      <c r="H33" s="1484">
        <v>312400</v>
      </c>
      <c r="I33" s="1483">
        <f t="shared" si="1"/>
        <v>93720000</v>
      </c>
    </row>
    <row r="34" spans="1:9" ht="29.25">
      <c r="A34" s="1530">
        <v>4</v>
      </c>
      <c r="B34" s="1501" t="s">
        <v>829</v>
      </c>
      <c r="C34" s="1535" t="s">
        <v>830</v>
      </c>
      <c r="D34" s="1499" t="s">
        <v>817</v>
      </c>
      <c r="E34" s="1486" t="s">
        <v>794</v>
      </c>
      <c r="F34" s="1499" t="s">
        <v>826</v>
      </c>
      <c r="G34" s="1498">
        <v>300</v>
      </c>
      <c r="H34" s="1484">
        <v>156200</v>
      </c>
      <c r="I34" s="1483">
        <f t="shared" si="1"/>
        <v>46860000</v>
      </c>
    </row>
    <row r="35" spans="1:9" ht="44.25">
      <c r="A35" s="1530">
        <v>5</v>
      </c>
      <c r="B35" s="1534" t="s">
        <v>831</v>
      </c>
      <c r="C35" s="1502" t="s">
        <v>832</v>
      </c>
      <c r="D35" s="1499" t="s">
        <v>833</v>
      </c>
      <c r="E35" s="1486" t="s">
        <v>834</v>
      </c>
      <c r="F35" s="1499" t="s">
        <v>627</v>
      </c>
      <c r="G35" s="1498">
        <v>32</v>
      </c>
      <c r="H35" s="1484">
        <v>380600.00000000006</v>
      </c>
      <c r="I35" s="1483">
        <f t="shared" si="1"/>
        <v>12179200.000000002</v>
      </c>
    </row>
    <row r="36" spans="1:9" ht="44.25">
      <c r="A36" s="1530">
        <v>6</v>
      </c>
      <c r="B36" s="1501" t="s">
        <v>835</v>
      </c>
      <c r="C36" s="1502" t="s">
        <v>836</v>
      </c>
      <c r="D36" s="1499" t="s">
        <v>817</v>
      </c>
      <c r="E36" s="1486" t="s">
        <v>794</v>
      </c>
      <c r="F36" s="1499" t="s">
        <v>627</v>
      </c>
      <c r="G36" s="1498">
        <v>80</v>
      </c>
      <c r="H36" s="1484">
        <v>189200.00000000003</v>
      </c>
      <c r="I36" s="1483">
        <f t="shared" si="1"/>
        <v>15136000.000000002</v>
      </c>
    </row>
    <row r="37" spans="1:9" ht="29.25">
      <c r="A37" s="1530">
        <v>7</v>
      </c>
      <c r="B37" s="1501" t="s">
        <v>837</v>
      </c>
      <c r="C37" s="1502" t="s">
        <v>838</v>
      </c>
      <c r="D37" s="1499" t="s">
        <v>817</v>
      </c>
      <c r="E37" s="1486" t="s">
        <v>794</v>
      </c>
      <c r="F37" s="1499" t="s">
        <v>627</v>
      </c>
      <c r="G37" s="1498">
        <v>30</v>
      </c>
      <c r="H37" s="1484">
        <v>184800.00000000003</v>
      </c>
      <c r="I37" s="1483">
        <f t="shared" si="1"/>
        <v>5544000.0000000009</v>
      </c>
    </row>
    <row r="38" spans="1:9" ht="30">
      <c r="A38" s="1530">
        <v>8</v>
      </c>
      <c r="B38" s="1501" t="s">
        <v>839</v>
      </c>
      <c r="C38" s="1502" t="s">
        <v>840</v>
      </c>
      <c r="D38" s="1499" t="s">
        <v>841</v>
      </c>
      <c r="E38" s="1499" t="s">
        <v>842</v>
      </c>
      <c r="F38" s="1499" t="s">
        <v>826</v>
      </c>
      <c r="G38" s="1498">
        <v>300</v>
      </c>
      <c r="H38" s="1484">
        <v>33000</v>
      </c>
      <c r="I38" s="1483">
        <f t="shared" si="1"/>
        <v>9900000</v>
      </c>
    </row>
    <row r="39" spans="1:9" ht="59.25">
      <c r="A39" s="1530">
        <v>9</v>
      </c>
      <c r="B39" s="1501" t="s">
        <v>843</v>
      </c>
      <c r="C39" s="1533" t="s">
        <v>844</v>
      </c>
      <c r="D39" s="1499" t="s">
        <v>842</v>
      </c>
      <c r="E39" s="1499" t="s">
        <v>842</v>
      </c>
      <c r="F39" s="1499" t="s">
        <v>627</v>
      </c>
      <c r="G39" s="1498">
        <v>4</v>
      </c>
      <c r="H39" s="1484">
        <v>7260000.0000000009</v>
      </c>
      <c r="I39" s="1483">
        <f t="shared" si="1"/>
        <v>29040000.000000004</v>
      </c>
    </row>
    <row r="40" spans="1:9" ht="104.25">
      <c r="A40" s="1530">
        <v>10</v>
      </c>
      <c r="B40" s="1501" t="s">
        <v>845</v>
      </c>
      <c r="C40" s="1502" t="s">
        <v>846</v>
      </c>
      <c r="D40" s="1499" t="s">
        <v>847</v>
      </c>
      <c r="E40" s="1486" t="s">
        <v>794</v>
      </c>
      <c r="F40" s="1499" t="s">
        <v>627</v>
      </c>
      <c r="G40" s="1498">
        <v>6</v>
      </c>
      <c r="H40" s="1484">
        <v>1265000</v>
      </c>
      <c r="I40" s="1483">
        <f t="shared" si="1"/>
        <v>7590000</v>
      </c>
    </row>
    <row r="41" spans="1:9" ht="150">
      <c r="A41" s="1530">
        <v>11</v>
      </c>
      <c r="B41" s="1490" t="s">
        <v>848</v>
      </c>
      <c r="C41" s="1494" t="s">
        <v>849</v>
      </c>
      <c r="D41" s="1488" t="s">
        <v>842</v>
      </c>
      <c r="E41" s="1487" t="s">
        <v>842</v>
      </c>
      <c r="F41" s="1486" t="s">
        <v>627</v>
      </c>
      <c r="G41" s="1485">
        <v>2</v>
      </c>
      <c r="H41" s="1484">
        <v>6820000.0000000009</v>
      </c>
      <c r="I41" s="1483">
        <f t="shared" si="1"/>
        <v>13640000.000000002</v>
      </c>
    </row>
    <row r="42" spans="1:9" ht="120">
      <c r="A42" s="1530">
        <v>12</v>
      </c>
      <c r="B42" s="1501" t="s">
        <v>850</v>
      </c>
      <c r="C42" s="1532" t="s">
        <v>851</v>
      </c>
      <c r="D42" s="1488" t="s">
        <v>842</v>
      </c>
      <c r="E42" s="1487" t="s">
        <v>842</v>
      </c>
      <c r="F42" s="1486" t="s">
        <v>627</v>
      </c>
      <c r="G42" s="1485">
        <v>1</v>
      </c>
      <c r="H42" s="1484">
        <v>7480000.0000000009</v>
      </c>
      <c r="I42" s="1483">
        <f t="shared" si="1"/>
        <v>7480000.0000000009</v>
      </c>
    </row>
    <row r="43" spans="1:9" ht="45">
      <c r="A43" s="1530">
        <v>13</v>
      </c>
      <c r="B43" s="1490"/>
      <c r="C43" s="1494" t="s">
        <v>852</v>
      </c>
      <c r="D43" s="1488" t="s">
        <v>842</v>
      </c>
      <c r="E43" s="1487" t="s">
        <v>842</v>
      </c>
      <c r="F43" s="1486" t="s">
        <v>627</v>
      </c>
      <c r="G43" s="1485">
        <v>1</v>
      </c>
      <c r="H43" s="1484">
        <v>132000000.00000001</v>
      </c>
      <c r="I43" s="1483">
        <f t="shared" si="1"/>
        <v>132000000.00000001</v>
      </c>
    </row>
    <row r="44" spans="1:9" ht="15.75">
      <c r="A44" s="1530">
        <v>14</v>
      </c>
      <c r="B44" s="1490"/>
      <c r="C44" s="1531" t="s">
        <v>853</v>
      </c>
      <c r="D44" s="1488"/>
      <c r="E44" s="1487"/>
      <c r="F44" s="1486" t="s">
        <v>854</v>
      </c>
      <c r="G44" s="1485">
        <v>1</v>
      </c>
      <c r="H44" s="1484">
        <v>5680000</v>
      </c>
      <c r="I44" s="1483">
        <f t="shared" si="1"/>
        <v>5680000</v>
      </c>
    </row>
    <row r="45" spans="1:9" ht="15.75">
      <c r="A45" s="1530">
        <v>15</v>
      </c>
      <c r="B45" s="1490"/>
      <c r="C45" s="1489" t="s">
        <v>855</v>
      </c>
      <c r="D45" s="1488"/>
      <c r="E45" s="1487"/>
      <c r="F45" s="1486" t="s">
        <v>691</v>
      </c>
      <c r="G45" s="1485">
        <v>1</v>
      </c>
      <c r="H45" s="1484">
        <v>132000000.00000001</v>
      </c>
      <c r="I45" s="1483">
        <f t="shared" si="1"/>
        <v>132000000.00000001</v>
      </c>
    </row>
    <row r="46" spans="1:9" ht="15.75">
      <c r="A46" s="1530">
        <v>16</v>
      </c>
      <c r="B46" s="1490"/>
      <c r="C46" s="1489" t="s">
        <v>856</v>
      </c>
      <c r="D46" s="1488"/>
      <c r="E46" s="1487"/>
      <c r="F46" s="1486" t="s">
        <v>691</v>
      </c>
      <c r="G46" s="1485">
        <v>1</v>
      </c>
      <c r="H46" s="1484">
        <v>220000000.00000003</v>
      </c>
      <c r="I46" s="1483">
        <f t="shared" si="1"/>
        <v>220000000.00000003</v>
      </c>
    </row>
    <row r="47" spans="1:9" ht="15">
      <c r="A47" s="1529" t="s">
        <v>857</v>
      </c>
      <c r="B47" s="1687" t="s">
        <v>858</v>
      </c>
      <c r="C47" s="1687"/>
      <c r="D47" s="1528"/>
      <c r="E47" s="1528"/>
      <c r="F47" s="1527"/>
      <c r="G47" s="1526"/>
      <c r="H47" s="1525"/>
      <c r="I47" s="1525">
        <f>SUM(I49:I70)</f>
        <v>4591351600</v>
      </c>
    </row>
    <row r="48" spans="1:9" ht="15">
      <c r="A48" s="1512" t="s">
        <v>773</v>
      </c>
      <c r="B48" s="1680" t="s">
        <v>859</v>
      </c>
      <c r="C48" s="1680"/>
      <c r="D48" s="1511"/>
      <c r="E48" s="1511"/>
      <c r="F48" s="1510"/>
      <c r="G48" s="1509"/>
      <c r="H48" s="1508"/>
      <c r="I48" s="1483"/>
    </row>
    <row r="49" spans="1:9">
      <c r="A49" s="1692">
        <v>1</v>
      </c>
      <c r="B49" s="1693" t="s">
        <v>860</v>
      </c>
      <c r="C49" s="1694" t="s">
        <v>861</v>
      </c>
      <c r="D49" s="1688" t="s">
        <v>862</v>
      </c>
      <c r="E49" s="1689" t="s">
        <v>794</v>
      </c>
      <c r="F49" s="1688" t="s">
        <v>695</v>
      </c>
      <c r="G49" s="1690">
        <v>18</v>
      </c>
      <c r="H49" s="1691">
        <v>48500000</v>
      </c>
      <c r="I49" s="1684">
        <f>G49*H49</f>
        <v>873000000</v>
      </c>
    </row>
    <row r="50" spans="1:9" ht="290.10000000000002" customHeight="1">
      <c r="A50" s="1692"/>
      <c r="B50" s="1693"/>
      <c r="C50" s="1694"/>
      <c r="D50" s="1688"/>
      <c r="E50" s="1689"/>
      <c r="F50" s="1688"/>
      <c r="G50" s="1690"/>
      <c r="H50" s="1691"/>
      <c r="I50" s="1685"/>
    </row>
    <row r="51" spans="1:9" ht="300">
      <c r="A51" s="1491">
        <v>2</v>
      </c>
      <c r="B51" s="1490" t="s">
        <v>863</v>
      </c>
      <c r="C51" s="1494" t="s">
        <v>864</v>
      </c>
      <c r="D51" s="1486" t="s">
        <v>862</v>
      </c>
      <c r="E51" s="1488" t="s">
        <v>794</v>
      </c>
      <c r="F51" s="1486" t="s">
        <v>695</v>
      </c>
      <c r="G51" s="1522">
        <v>16</v>
      </c>
      <c r="H51" s="1521">
        <v>35750000</v>
      </c>
      <c r="I51" s="1513">
        <f t="shared" ref="I51:I61" si="2">G51*H51</f>
        <v>572000000</v>
      </c>
    </row>
    <row r="52" spans="1:9" ht="165">
      <c r="A52" s="1491">
        <v>3</v>
      </c>
      <c r="B52" s="1490" t="s">
        <v>865</v>
      </c>
      <c r="C52" s="1523" t="s">
        <v>866</v>
      </c>
      <c r="D52" s="1486" t="s">
        <v>862</v>
      </c>
      <c r="E52" s="1488" t="s">
        <v>794</v>
      </c>
      <c r="F52" s="1486" t="s">
        <v>627</v>
      </c>
      <c r="G52" s="1522">
        <v>24</v>
      </c>
      <c r="H52" s="1521">
        <v>7994800.0000000009</v>
      </c>
      <c r="I52" s="1513">
        <f t="shared" si="2"/>
        <v>191875200.00000003</v>
      </c>
    </row>
    <row r="53" spans="1:9" ht="270">
      <c r="A53" s="1491">
        <v>4</v>
      </c>
      <c r="B53" s="1524" t="s">
        <v>867</v>
      </c>
      <c r="C53" s="1523" t="s">
        <v>868</v>
      </c>
      <c r="D53" s="1486" t="s">
        <v>862</v>
      </c>
      <c r="E53" s="1488" t="s">
        <v>794</v>
      </c>
      <c r="F53" s="1486" t="s">
        <v>695</v>
      </c>
      <c r="G53" s="1522">
        <v>16</v>
      </c>
      <c r="H53" s="1521">
        <v>7810000.0000000009</v>
      </c>
      <c r="I53" s="1513">
        <f t="shared" si="2"/>
        <v>124960000.00000001</v>
      </c>
    </row>
    <row r="54" spans="1:9" ht="315">
      <c r="A54" s="1491">
        <v>5</v>
      </c>
      <c r="B54" s="1519" t="s">
        <v>869</v>
      </c>
      <c r="C54" s="1520" t="s">
        <v>870</v>
      </c>
      <c r="D54" s="1516" t="s">
        <v>862</v>
      </c>
      <c r="E54" s="1517" t="s">
        <v>794</v>
      </c>
      <c r="F54" s="1516" t="s">
        <v>695</v>
      </c>
      <c r="G54" s="1515">
        <v>12</v>
      </c>
      <c r="H54" s="1514">
        <v>21890000</v>
      </c>
      <c r="I54" s="1513">
        <f t="shared" si="2"/>
        <v>262680000</v>
      </c>
    </row>
    <row r="55" spans="1:9" ht="270">
      <c r="A55" s="1491">
        <v>6</v>
      </c>
      <c r="B55" s="1519" t="s">
        <v>871</v>
      </c>
      <c r="C55" s="1518" t="s">
        <v>872</v>
      </c>
      <c r="D55" s="1516" t="s">
        <v>862</v>
      </c>
      <c r="E55" s="1517" t="s">
        <v>794</v>
      </c>
      <c r="F55" s="1516" t="s">
        <v>695</v>
      </c>
      <c r="G55" s="1515">
        <v>16</v>
      </c>
      <c r="H55" s="1514">
        <v>19113600</v>
      </c>
      <c r="I55" s="1513">
        <f t="shared" si="2"/>
        <v>305817600</v>
      </c>
    </row>
    <row r="56" spans="1:9" ht="270">
      <c r="A56" s="1491">
        <v>7</v>
      </c>
      <c r="B56" s="1497" t="s">
        <v>873</v>
      </c>
      <c r="C56" s="1506" t="s">
        <v>874</v>
      </c>
      <c r="D56" s="1486" t="s">
        <v>862</v>
      </c>
      <c r="E56" s="1488" t="s">
        <v>794</v>
      </c>
      <c r="F56" s="1486" t="s">
        <v>695</v>
      </c>
      <c r="G56" s="1496">
        <v>12</v>
      </c>
      <c r="H56" s="1495">
        <v>9662400</v>
      </c>
      <c r="I56" s="1493">
        <f t="shared" si="2"/>
        <v>115948800</v>
      </c>
    </row>
    <row r="57" spans="1:9" ht="165">
      <c r="A57" s="1491">
        <v>8</v>
      </c>
      <c r="B57" s="1497" t="s">
        <v>875</v>
      </c>
      <c r="C57" s="1506" t="s">
        <v>876</v>
      </c>
      <c r="D57" s="1486" t="s">
        <v>862</v>
      </c>
      <c r="E57" s="1488" t="s">
        <v>794</v>
      </c>
      <c r="F57" s="1486" t="s">
        <v>695</v>
      </c>
      <c r="G57" s="1496">
        <v>2</v>
      </c>
      <c r="H57" s="1495">
        <v>25795000.000000004</v>
      </c>
      <c r="I57" s="1493">
        <f t="shared" si="2"/>
        <v>51590000.000000007</v>
      </c>
    </row>
    <row r="58" spans="1:9" ht="150">
      <c r="A58" s="1491">
        <v>9</v>
      </c>
      <c r="B58" s="1497" t="s">
        <v>877</v>
      </c>
      <c r="C58" s="1506" t="s">
        <v>878</v>
      </c>
      <c r="D58" s="1486" t="s">
        <v>862</v>
      </c>
      <c r="E58" s="1488" t="s">
        <v>794</v>
      </c>
      <c r="F58" s="1486" t="s">
        <v>695</v>
      </c>
      <c r="G58" s="1496">
        <v>2</v>
      </c>
      <c r="H58" s="1495">
        <v>30030000.000000004</v>
      </c>
      <c r="I58" s="1493">
        <f t="shared" si="2"/>
        <v>60060000.000000007</v>
      </c>
    </row>
    <row r="59" spans="1:9" ht="300">
      <c r="A59" s="1491">
        <v>10</v>
      </c>
      <c r="B59" s="1497" t="s">
        <v>879</v>
      </c>
      <c r="C59" s="1494" t="s">
        <v>880</v>
      </c>
      <c r="D59" s="1486" t="s">
        <v>862</v>
      </c>
      <c r="E59" s="1488" t="s">
        <v>794</v>
      </c>
      <c r="F59" s="1486" t="s">
        <v>695</v>
      </c>
      <c r="G59" s="1496">
        <v>1</v>
      </c>
      <c r="H59" s="1495">
        <v>221980000.00000003</v>
      </c>
      <c r="I59" s="1493">
        <f t="shared" si="2"/>
        <v>221980000.00000003</v>
      </c>
    </row>
    <row r="60" spans="1:9" ht="255">
      <c r="A60" s="1491">
        <v>11</v>
      </c>
      <c r="B60" s="1507" t="s">
        <v>881</v>
      </c>
      <c r="C60" s="1494" t="s">
        <v>882</v>
      </c>
      <c r="D60" s="1486" t="s">
        <v>862</v>
      </c>
      <c r="E60" s="1488" t="s">
        <v>794</v>
      </c>
      <c r="F60" s="1486" t="s">
        <v>695</v>
      </c>
      <c r="G60" s="1496">
        <v>4</v>
      </c>
      <c r="H60" s="1495">
        <v>5445000</v>
      </c>
      <c r="I60" s="1493">
        <f t="shared" si="2"/>
        <v>21780000</v>
      </c>
    </row>
    <row r="61" spans="1:9" ht="225">
      <c r="A61" s="1491">
        <v>12</v>
      </c>
      <c r="B61" s="1497" t="s">
        <v>883</v>
      </c>
      <c r="C61" s="1494" t="s">
        <v>884</v>
      </c>
      <c r="D61" s="1486" t="s">
        <v>862</v>
      </c>
      <c r="E61" s="1488" t="s">
        <v>794</v>
      </c>
      <c r="F61" s="1486" t="s">
        <v>627</v>
      </c>
      <c r="G61" s="1496">
        <v>2</v>
      </c>
      <c r="H61" s="1495">
        <v>36850000</v>
      </c>
      <c r="I61" s="1493">
        <f t="shared" si="2"/>
        <v>73700000</v>
      </c>
    </row>
    <row r="62" spans="1:9" ht="15">
      <c r="A62" s="1512" t="s">
        <v>802</v>
      </c>
      <c r="B62" s="1680" t="s">
        <v>821</v>
      </c>
      <c r="C62" s="1680"/>
      <c r="D62" s="1511"/>
      <c r="E62" s="1511"/>
      <c r="F62" s="1510"/>
      <c r="G62" s="1509"/>
      <c r="H62" s="1508"/>
      <c r="I62" s="1508"/>
    </row>
    <row r="63" spans="1:9" ht="240">
      <c r="A63" s="1486">
        <v>1</v>
      </c>
      <c r="B63" s="1507"/>
      <c r="C63" s="1506" t="s">
        <v>885</v>
      </c>
      <c r="D63" s="1486" t="s">
        <v>842</v>
      </c>
      <c r="E63" s="1486" t="s">
        <v>842</v>
      </c>
      <c r="F63" s="1486" t="s">
        <v>680</v>
      </c>
      <c r="G63" s="1505">
        <v>3</v>
      </c>
      <c r="H63" s="1504">
        <v>245800000</v>
      </c>
      <c r="I63" s="1493">
        <f t="shared" ref="I63:I70" si="3">G63*H63</f>
        <v>737400000</v>
      </c>
    </row>
    <row r="64" spans="1:9" ht="29.25">
      <c r="A64" s="1486">
        <v>2</v>
      </c>
      <c r="B64" s="1501" t="s">
        <v>824</v>
      </c>
      <c r="C64" s="1503" t="s">
        <v>825</v>
      </c>
      <c r="D64" s="1499" t="s">
        <v>817</v>
      </c>
      <c r="E64" s="1486" t="s">
        <v>794</v>
      </c>
      <c r="F64" s="1499" t="s">
        <v>826</v>
      </c>
      <c r="G64" s="1498">
        <v>800</v>
      </c>
      <c r="H64" s="1484">
        <v>70400</v>
      </c>
      <c r="I64" s="1493">
        <f t="shared" si="3"/>
        <v>56320000</v>
      </c>
    </row>
    <row r="65" spans="1:9" ht="44.25">
      <c r="A65" s="1486">
        <v>3</v>
      </c>
      <c r="B65" s="1501" t="s">
        <v>835</v>
      </c>
      <c r="C65" s="1502" t="s">
        <v>836</v>
      </c>
      <c r="D65" s="1499" t="s">
        <v>817</v>
      </c>
      <c r="E65" s="1486" t="s">
        <v>794</v>
      </c>
      <c r="F65" s="1499" t="s">
        <v>655</v>
      </c>
      <c r="G65" s="1498">
        <v>350</v>
      </c>
      <c r="H65" s="1484">
        <v>189200.00000000003</v>
      </c>
      <c r="I65" s="1493">
        <f t="shared" si="3"/>
        <v>66220000.000000007</v>
      </c>
    </row>
    <row r="66" spans="1:9" ht="104.25">
      <c r="A66" s="1486">
        <v>4</v>
      </c>
      <c r="B66" s="1501"/>
      <c r="C66" s="1500" t="s">
        <v>886</v>
      </c>
      <c r="D66" s="1499" t="s">
        <v>841</v>
      </c>
      <c r="E66" s="1499" t="s">
        <v>842</v>
      </c>
      <c r="F66" s="1499" t="s">
        <v>680</v>
      </c>
      <c r="G66" s="1498">
        <v>1</v>
      </c>
      <c r="H66" s="1484">
        <v>286000000</v>
      </c>
      <c r="I66" s="1493">
        <f t="shared" si="3"/>
        <v>286000000</v>
      </c>
    </row>
    <row r="67" spans="1:9" ht="30">
      <c r="A67" s="1486">
        <v>5</v>
      </c>
      <c r="B67" s="1497"/>
      <c r="C67" s="1455" t="s">
        <v>887</v>
      </c>
      <c r="D67" s="1485" t="s">
        <v>842</v>
      </c>
      <c r="E67" s="1485" t="s">
        <v>842</v>
      </c>
      <c r="F67" s="1486" t="s">
        <v>624</v>
      </c>
      <c r="G67" s="1496">
        <v>200</v>
      </c>
      <c r="H67" s="1495">
        <v>182600.00000000003</v>
      </c>
      <c r="I67" s="1493">
        <f t="shared" si="3"/>
        <v>36520000.000000007</v>
      </c>
    </row>
    <row r="68" spans="1:9" ht="45">
      <c r="A68" s="1486">
        <v>6</v>
      </c>
      <c r="B68" s="1490"/>
      <c r="C68" s="1494" t="s">
        <v>888</v>
      </c>
      <c r="D68" s="1488" t="s">
        <v>842</v>
      </c>
      <c r="E68" s="1487" t="s">
        <v>842</v>
      </c>
      <c r="F68" s="1486" t="s">
        <v>627</v>
      </c>
      <c r="G68" s="1485">
        <v>1</v>
      </c>
      <c r="H68" s="1484">
        <v>181500000</v>
      </c>
      <c r="I68" s="1493">
        <f t="shared" si="3"/>
        <v>181500000</v>
      </c>
    </row>
    <row r="69" spans="1:9" ht="31.5">
      <c r="A69" s="1491">
        <v>8</v>
      </c>
      <c r="B69" s="1490"/>
      <c r="C69" s="1492" t="s">
        <v>889</v>
      </c>
      <c r="D69" s="1488"/>
      <c r="E69" s="1487"/>
      <c r="F69" s="1486" t="s">
        <v>691</v>
      </c>
      <c r="G69" s="1485">
        <v>1</v>
      </c>
      <c r="H69" s="1484">
        <v>132000000.00000001</v>
      </c>
      <c r="I69" s="1483">
        <f t="shared" si="3"/>
        <v>132000000.00000001</v>
      </c>
    </row>
    <row r="70" spans="1:9" ht="15.75">
      <c r="A70" s="1491">
        <v>9</v>
      </c>
      <c r="B70" s="1490"/>
      <c r="C70" s="1489" t="s">
        <v>856</v>
      </c>
      <c r="D70" s="1488"/>
      <c r="E70" s="1487"/>
      <c r="F70" s="1486" t="s">
        <v>691</v>
      </c>
      <c r="G70" s="1485">
        <v>1</v>
      </c>
      <c r="H70" s="1484">
        <v>220000000.00000003</v>
      </c>
      <c r="I70" s="1483">
        <f t="shared" si="3"/>
        <v>220000000.00000003</v>
      </c>
    </row>
    <row r="71" spans="1:9" ht="15.75">
      <c r="A71" s="1479" t="s">
        <v>890</v>
      </c>
      <c r="B71" s="1681" t="s">
        <v>891</v>
      </c>
      <c r="C71" s="1681"/>
      <c r="D71" s="1476"/>
      <c r="E71" s="1476"/>
      <c r="F71" s="1478"/>
      <c r="G71" s="1477"/>
      <c r="H71" s="1482"/>
      <c r="I71" s="1482">
        <f>+I72</f>
        <v>1750700000</v>
      </c>
    </row>
    <row r="72" spans="1:9" ht="78.75">
      <c r="A72" s="1463">
        <v>1</v>
      </c>
      <c r="B72" s="1481" t="s">
        <v>693</v>
      </c>
      <c r="C72" s="1480" t="s">
        <v>694</v>
      </c>
      <c r="E72" s="1460" t="s">
        <v>842</v>
      </c>
      <c r="F72" s="1459" t="s">
        <v>695</v>
      </c>
      <c r="G72" s="1458">
        <v>854</v>
      </c>
      <c r="H72" s="1457">
        <v>2050000</v>
      </c>
      <c r="I72" s="1456">
        <f>+H72*G72</f>
        <v>1750700000</v>
      </c>
    </row>
    <row r="73" spans="1:9" ht="15.75">
      <c r="A73" s="1479" t="s">
        <v>892</v>
      </c>
      <c r="B73" s="1681"/>
      <c r="C73" s="1681"/>
      <c r="D73" s="1476"/>
      <c r="E73" s="1476"/>
      <c r="F73" s="1478"/>
      <c r="G73" s="1477"/>
      <c r="H73" s="1476"/>
      <c r="I73" s="1475">
        <f>SUM(I74:I81)</f>
        <v>823150000</v>
      </c>
    </row>
    <row r="74" spans="1:9" ht="63">
      <c r="A74" s="1463">
        <v>1</v>
      </c>
      <c r="B74" s="1473" t="s">
        <v>893</v>
      </c>
      <c r="C74" s="1474" t="s">
        <v>676</v>
      </c>
      <c r="D74" s="1459"/>
      <c r="E74" s="1460" t="s">
        <v>842</v>
      </c>
      <c r="F74" s="1459" t="s">
        <v>677</v>
      </c>
      <c r="G74" s="1458">
        <v>130</v>
      </c>
      <c r="H74" s="1457">
        <v>480000</v>
      </c>
      <c r="I74" s="1456">
        <f t="shared" ref="I74:I81" si="4">+H74*G74</f>
        <v>62400000</v>
      </c>
    </row>
    <row r="75" spans="1:9" ht="63">
      <c r="A75" s="1682">
        <v>2</v>
      </c>
      <c r="B75" s="1683" t="s">
        <v>678</v>
      </c>
      <c r="C75" s="1474" t="s">
        <v>676</v>
      </c>
      <c r="D75" s="1459"/>
      <c r="E75" s="1460" t="s">
        <v>842</v>
      </c>
      <c r="F75" s="1459" t="s">
        <v>677</v>
      </c>
      <c r="G75" s="1458">
        <v>390</v>
      </c>
      <c r="H75" s="1457">
        <v>480000</v>
      </c>
      <c r="I75" s="1456">
        <f t="shared" si="4"/>
        <v>187200000</v>
      </c>
    </row>
    <row r="76" spans="1:9" ht="47.25">
      <c r="A76" s="1682"/>
      <c r="B76" s="1683"/>
      <c r="C76" s="1474" t="s">
        <v>679</v>
      </c>
      <c r="D76" s="1459"/>
      <c r="E76" s="1460" t="s">
        <v>794</v>
      </c>
      <c r="F76" s="1459" t="s">
        <v>680</v>
      </c>
      <c r="G76" s="1458">
        <v>3</v>
      </c>
      <c r="H76" s="1457">
        <v>48600000</v>
      </c>
      <c r="I76" s="1456">
        <f t="shared" si="4"/>
        <v>145800000</v>
      </c>
    </row>
    <row r="77" spans="1:9" ht="63">
      <c r="A77" s="1463">
        <v>3</v>
      </c>
      <c r="B77" s="1473" t="s">
        <v>681</v>
      </c>
      <c r="C77" s="1474" t="s">
        <v>682</v>
      </c>
      <c r="D77" s="1459"/>
      <c r="E77" s="1460" t="s">
        <v>842</v>
      </c>
      <c r="F77" s="1459" t="s">
        <v>677</v>
      </c>
      <c r="G77" s="1458">
        <v>228</v>
      </c>
      <c r="H77" s="1457">
        <v>480000</v>
      </c>
      <c r="I77" s="1456">
        <f t="shared" si="4"/>
        <v>109440000</v>
      </c>
    </row>
    <row r="78" spans="1:9" ht="31.5">
      <c r="A78" s="1463">
        <v>4</v>
      </c>
      <c r="B78" s="1473" t="s">
        <v>683</v>
      </c>
      <c r="C78" s="1461" t="s">
        <v>684</v>
      </c>
      <c r="D78" s="1459"/>
      <c r="E78" s="1460" t="s">
        <v>842</v>
      </c>
      <c r="F78" s="1459" t="s">
        <v>894</v>
      </c>
      <c r="G78" s="1458">
        <v>60</v>
      </c>
      <c r="H78" s="1457">
        <v>2250000</v>
      </c>
      <c r="I78" s="1456">
        <f t="shared" si="4"/>
        <v>135000000</v>
      </c>
    </row>
    <row r="79" spans="1:9" ht="47.25">
      <c r="A79" s="1463">
        <v>5</v>
      </c>
      <c r="B79" s="1472" t="s">
        <v>686</v>
      </c>
      <c r="C79" s="1461" t="s">
        <v>687</v>
      </c>
      <c r="D79" s="1459"/>
      <c r="E79" s="1460" t="s">
        <v>842</v>
      </c>
      <c r="F79" s="1459" t="s">
        <v>894</v>
      </c>
      <c r="G79" s="1458">
        <v>55</v>
      </c>
      <c r="H79" s="1457">
        <v>650000</v>
      </c>
      <c r="I79" s="1456">
        <f t="shared" si="4"/>
        <v>35750000</v>
      </c>
    </row>
    <row r="80" spans="1:9" ht="31.5">
      <c r="A80" s="1471">
        <v>6</v>
      </c>
      <c r="B80" s="1470" t="s">
        <v>688</v>
      </c>
      <c r="C80" s="1469"/>
      <c r="D80" s="1468"/>
      <c r="E80" s="1467" t="s">
        <v>842</v>
      </c>
      <c r="F80" s="1466" t="s">
        <v>680</v>
      </c>
      <c r="G80" s="1465">
        <v>1</v>
      </c>
      <c r="H80" s="1464">
        <v>2560000</v>
      </c>
      <c r="I80" s="1456">
        <f t="shared" si="4"/>
        <v>2560000</v>
      </c>
    </row>
    <row r="81" spans="1:9" ht="94.5">
      <c r="A81" s="1463">
        <v>7</v>
      </c>
      <c r="B81" s="1462" t="s">
        <v>689</v>
      </c>
      <c r="C81" s="1461" t="s">
        <v>690</v>
      </c>
      <c r="D81" s="1459"/>
      <c r="E81" s="1460" t="s">
        <v>842</v>
      </c>
      <c r="F81" s="1459" t="s">
        <v>691</v>
      </c>
      <c r="G81" s="1458">
        <v>1</v>
      </c>
      <c r="H81" s="1457">
        <v>145000000</v>
      </c>
      <c r="I81" s="1456">
        <f t="shared" si="4"/>
        <v>145000000</v>
      </c>
    </row>
    <row r="82" spans="1:9" ht="15">
      <c r="A82" s="1455"/>
      <c r="B82" s="1677" t="s">
        <v>895</v>
      </c>
      <c r="C82" s="1678"/>
      <c r="D82" s="1678"/>
      <c r="E82" s="1678"/>
      <c r="F82" s="1678"/>
      <c r="G82" s="1678"/>
      <c r="H82" s="1679"/>
      <c r="I82" s="1454">
        <f>+I73+I71+I47+I11</f>
        <v>11399320800</v>
      </c>
    </row>
    <row r="83" spans="1:9" ht="15">
      <c r="A83" s="1452"/>
      <c r="B83" s="1453"/>
      <c r="C83" s="1452"/>
      <c r="D83" s="1452"/>
      <c r="E83" s="1452"/>
      <c r="F83" s="1452"/>
      <c r="G83" s="1451"/>
      <c r="H83" s="1450"/>
      <c r="I83" s="1449"/>
    </row>
  </sheetData>
  <mergeCells count="35">
    <mergeCell ref="A1:I1"/>
    <mergeCell ref="A4:E4"/>
    <mergeCell ref="A5:G5"/>
    <mergeCell ref="A6:C6"/>
    <mergeCell ref="A8:A9"/>
    <mergeCell ref="B8:B9"/>
    <mergeCell ref="C8:C9"/>
    <mergeCell ref="D8:D9"/>
    <mergeCell ref="E8:E9"/>
    <mergeCell ref="F8:F9"/>
    <mergeCell ref="I8:I9"/>
    <mergeCell ref="A49:A50"/>
    <mergeCell ref="B49:B50"/>
    <mergeCell ref="C49:C50"/>
    <mergeCell ref="G8:G9"/>
    <mergeCell ref="H8:H9"/>
    <mergeCell ref="B10:C10"/>
    <mergeCell ref="B11:C11"/>
    <mergeCell ref="B12:C12"/>
    <mergeCell ref="I49:I50"/>
    <mergeCell ref="B23:C23"/>
    <mergeCell ref="B30:C30"/>
    <mergeCell ref="B47:C47"/>
    <mergeCell ref="B48:C48"/>
    <mergeCell ref="D49:D50"/>
    <mergeCell ref="E49:E50"/>
    <mergeCell ref="F49:F50"/>
    <mergeCell ref="G49:G50"/>
    <mergeCell ref="H49:H50"/>
    <mergeCell ref="B82:H82"/>
    <mergeCell ref="B62:C62"/>
    <mergeCell ref="B71:C71"/>
    <mergeCell ref="B73:C73"/>
    <mergeCell ref="A75:A76"/>
    <mergeCell ref="B75:B76"/>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42"/>
  <sheetViews>
    <sheetView workbookViewId="0">
      <selection activeCell="B6" sqref="B6"/>
    </sheetView>
  </sheetViews>
  <sheetFormatPr defaultColWidth="10.140625" defaultRowHeight="15"/>
  <cols>
    <col min="1" max="1" width="10.140625" style="1224"/>
    <col min="2" max="2" width="84.7109375" style="1224" customWidth="1"/>
    <col min="3" max="3" width="16.42578125" style="1224" customWidth="1"/>
    <col min="4" max="257" width="10.140625" style="1224"/>
    <col min="258" max="258" width="90.85546875" style="1224" customWidth="1"/>
    <col min="259" max="513" width="10.140625" style="1224"/>
    <col min="514" max="514" width="90.85546875" style="1224" customWidth="1"/>
    <col min="515" max="769" width="10.140625" style="1224"/>
    <col min="770" max="770" width="90.85546875" style="1224" customWidth="1"/>
    <col min="771" max="1025" width="10.140625" style="1224"/>
    <col min="1026" max="1026" width="90.85546875" style="1224" customWidth="1"/>
    <col min="1027" max="1281" width="10.140625" style="1224"/>
    <col min="1282" max="1282" width="90.85546875" style="1224" customWidth="1"/>
    <col min="1283" max="1537" width="10.140625" style="1224"/>
    <col min="1538" max="1538" width="90.85546875" style="1224" customWidth="1"/>
    <col min="1539" max="1793" width="10.140625" style="1224"/>
    <col min="1794" max="1794" width="90.85546875" style="1224" customWidth="1"/>
    <col min="1795" max="2049" width="10.140625" style="1224"/>
    <col min="2050" max="2050" width="90.85546875" style="1224" customWidth="1"/>
    <col min="2051" max="2305" width="10.140625" style="1224"/>
    <col min="2306" max="2306" width="90.85546875" style="1224" customWidth="1"/>
    <col min="2307" max="2561" width="10.140625" style="1224"/>
    <col min="2562" max="2562" width="90.85546875" style="1224" customWidth="1"/>
    <col min="2563" max="2817" width="10.140625" style="1224"/>
    <col min="2818" max="2818" width="90.85546875" style="1224" customWidth="1"/>
    <col min="2819" max="3073" width="10.140625" style="1224"/>
    <col min="3074" max="3074" width="90.85546875" style="1224" customWidth="1"/>
    <col min="3075" max="3329" width="10.140625" style="1224"/>
    <col min="3330" max="3330" width="90.85546875" style="1224" customWidth="1"/>
    <col min="3331" max="3585" width="10.140625" style="1224"/>
    <col min="3586" max="3586" width="90.85546875" style="1224" customWidth="1"/>
    <col min="3587" max="3841" width="10.140625" style="1224"/>
    <col min="3842" max="3842" width="90.85546875" style="1224" customWidth="1"/>
    <col min="3843" max="4097" width="10.140625" style="1224"/>
    <col min="4098" max="4098" width="90.85546875" style="1224" customWidth="1"/>
    <col min="4099" max="4353" width="10.140625" style="1224"/>
    <col min="4354" max="4354" width="90.85546875" style="1224" customWidth="1"/>
    <col min="4355" max="4609" width="10.140625" style="1224"/>
    <col min="4610" max="4610" width="90.85546875" style="1224" customWidth="1"/>
    <col min="4611" max="4865" width="10.140625" style="1224"/>
    <col min="4866" max="4866" width="90.85546875" style="1224" customWidth="1"/>
    <col min="4867" max="5121" width="10.140625" style="1224"/>
    <col min="5122" max="5122" width="90.85546875" style="1224" customWidth="1"/>
    <col min="5123" max="5377" width="10.140625" style="1224"/>
    <col min="5378" max="5378" width="90.85546875" style="1224" customWidth="1"/>
    <col min="5379" max="5633" width="10.140625" style="1224"/>
    <col min="5634" max="5634" width="90.85546875" style="1224" customWidth="1"/>
    <col min="5635" max="5889" width="10.140625" style="1224"/>
    <col min="5890" max="5890" width="90.85546875" style="1224" customWidth="1"/>
    <col min="5891" max="6145" width="10.140625" style="1224"/>
    <col min="6146" max="6146" width="90.85546875" style="1224" customWidth="1"/>
    <col min="6147" max="6401" width="10.140625" style="1224"/>
    <col min="6402" max="6402" width="90.85546875" style="1224" customWidth="1"/>
    <col min="6403" max="6657" width="10.140625" style="1224"/>
    <col min="6658" max="6658" width="90.85546875" style="1224" customWidth="1"/>
    <col min="6659" max="6913" width="10.140625" style="1224"/>
    <col min="6914" max="6914" width="90.85546875" style="1224" customWidth="1"/>
    <col min="6915" max="7169" width="10.140625" style="1224"/>
    <col min="7170" max="7170" width="90.85546875" style="1224" customWidth="1"/>
    <col min="7171" max="7425" width="10.140625" style="1224"/>
    <col min="7426" max="7426" width="90.85546875" style="1224" customWidth="1"/>
    <col min="7427" max="7681" width="10.140625" style="1224"/>
    <col min="7682" max="7682" width="90.85546875" style="1224" customWidth="1"/>
    <col min="7683" max="7937" width="10.140625" style="1224"/>
    <col min="7938" max="7938" width="90.85546875" style="1224" customWidth="1"/>
    <col min="7939" max="8193" width="10.140625" style="1224"/>
    <col min="8194" max="8194" width="90.85546875" style="1224" customWidth="1"/>
    <col min="8195" max="8449" width="10.140625" style="1224"/>
    <col min="8450" max="8450" width="90.85546875" style="1224" customWidth="1"/>
    <col min="8451" max="8705" width="10.140625" style="1224"/>
    <col min="8706" max="8706" width="90.85546875" style="1224" customWidth="1"/>
    <col min="8707" max="8961" width="10.140625" style="1224"/>
    <col min="8962" max="8962" width="90.85546875" style="1224" customWidth="1"/>
    <col min="8963" max="9217" width="10.140625" style="1224"/>
    <col min="9218" max="9218" width="90.85546875" style="1224" customWidth="1"/>
    <col min="9219" max="9473" width="10.140625" style="1224"/>
    <col min="9474" max="9474" width="90.85546875" style="1224" customWidth="1"/>
    <col min="9475" max="9729" width="10.140625" style="1224"/>
    <col min="9730" max="9730" width="90.85546875" style="1224" customWidth="1"/>
    <col min="9731" max="9985" width="10.140625" style="1224"/>
    <col min="9986" max="9986" width="90.85546875" style="1224" customWidth="1"/>
    <col min="9987" max="10241" width="10.140625" style="1224"/>
    <col min="10242" max="10242" width="90.85546875" style="1224" customWidth="1"/>
    <col min="10243" max="10497" width="10.140625" style="1224"/>
    <col min="10498" max="10498" width="90.85546875" style="1224" customWidth="1"/>
    <col min="10499" max="10753" width="10.140625" style="1224"/>
    <col min="10754" max="10754" width="90.85546875" style="1224" customWidth="1"/>
    <col min="10755" max="11009" width="10.140625" style="1224"/>
    <col min="11010" max="11010" width="90.85546875" style="1224" customWidth="1"/>
    <col min="11011" max="11265" width="10.140625" style="1224"/>
    <col min="11266" max="11266" width="90.85546875" style="1224" customWidth="1"/>
    <col min="11267" max="11521" width="10.140625" style="1224"/>
    <col min="11522" max="11522" width="90.85546875" style="1224" customWidth="1"/>
    <col min="11523" max="11777" width="10.140625" style="1224"/>
    <col min="11778" max="11778" width="90.85546875" style="1224" customWidth="1"/>
    <col min="11779" max="12033" width="10.140625" style="1224"/>
    <col min="12034" max="12034" width="90.85546875" style="1224" customWidth="1"/>
    <col min="12035" max="12289" width="10.140625" style="1224"/>
    <col min="12290" max="12290" width="90.85546875" style="1224" customWidth="1"/>
    <col min="12291" max="12545" width="10.140625" style="1224"/>
    <col min="12546" max="12546" width="90.85546875" style="1224" customWidth="1"/>
    <col min="12547" max="12801" width="10.140625" style="1224"/>
    <col min="12802" max="12802" width="90.85546875" style="1224" customWidth="1"/>
    <col min="12803" max="13057" width="10.140625" style="1224"/>
    <col min="13058" max="13058" width="90.85546875" style="1224" customWidth="1"/>
    <col min="13059" max="13313" width="10.140625" style="1224"/>
    <col min="13314" max="13314" width="90.85546875" style="1224" customWidth="1"/>
    <col min="13315" max="13569" width="10.140625" style="1224"/>
    <col min="13570" max="13570" width="90.85546875" style="1224" customWidth="1"/>
    <col min="13571" max="13825" width="10.140625" style="1224"/>
    <col min="13826" max="13826" width="90.85546875" style="1224" customWidth="1"/>
    <col min="13827" max="14081" width="10.140625" style="1224"/>
    <col min="14082" max="14082" width="90.85546875" style="1224" customWidth="1"/>
    <col min="14083" max="14337" width="10.140625" style="1224"/>
    <col min="14338" max="14338" width="90.85546875" style="1224" customWidth="1"/>
    <col min="14339" max="14593" width="10.140625" style="1224"/>
    <col min="14594" max="14594" width="90.85546875" style="1224" customWidth="1"/>
    <col min="14595" max="14849" width="10.140625" style="1224"/>
    <col min="14850" max="14850" width="90.85546875" style="1224" customWidth="1"/>
    <col min="14851" max="15105" width="10.140625" style="1224"/>
    <col min="15106" max="15106" width="90.85546875" style="1224" customWidth="1"/>
    <col min="15107" max="15361" width="10.140625" style="1224"/>
    <col min="15362" max="15362" width="90.85546875" style="1224" customWidth="1"/>
    <col min="15363" max="15617" width="10.140625" style="1224"/>
    <col min="15618" max="15618" width="90.85546875" style="1224" customWidth="1"/>
    <col min="15619" max="15873" width="10.140625" style="1224"/>
    <col min="15874" max="15874" width="90.85546875" style="1224" customWidth="1"/>
    <col min="15875" max="16129" width="10.140625" style="1224"/>
    <col min="16130" max="16130" width="90.85546875" style="1224" customWidth="1"/>
    <col min="16131" max="16384" width="10.140625" style="1224"/>
  </cols>
  <sheetData>
    <row r="1" spans="1:3" ht="24" customHeight="1">
      <c r="A1" s="1703" t="s">
        <v>896</v>
      </c>
      <c r="B1" s="1703"/>
      <c r="C1" s="1703"/>
    </row>
    <row r="2" spans="1:3">
      <c r="A2" s="1225" t="s">
        <v>51</v>
      </c>
      <c r="B2" s="1225" t="s">
        <v>897</v>
      </c>
      <c r="C2" s="1225" t="s">
        <v>898</v>
      </c>
    </row>
    <row r="3" spans="1:3">
      <c r="A3" s="1226" t="s">
        <v>500</v>
      </c>
      <c r="B3" s="1226" t="s">
        <v>899</v>
      </c>
      <c r="C3" s="1226"/>
    </row>
    <row r="4" spans="1:3">
      <c r="A4" s="1227">
        <v>1</v>
      </c>
      <c r="B4" s="1228" t="s">
        <v>900</v>
      </c>
      <c r="C4" s="1227"/>
    </row>
    <row r="5" spans="1:3" ht="30">
      <c r="A5" s="1229">
        <v>2</v>
      </c>
      <c r="B5" s="1230" t="s">
        <v>901</v>
      </c>
      <c r="C5" s="1229"/>
    </row>
    <row r="6" spans="1:3" ht="90">
      <c r="A6" s="1229">
        <v>3</v>
      </c>
      <c r="B6" s="1230" t="s">
        <v>902</v>
      </c>
      <c r="C6" s="1229"/>
    </row>
    <row r="7" spans="1:3" ht="45">
      <c r="A7" s="1229">
        <v>4</v>
      </c>
      <c r="B7" s="1230" t="s">
        <v>903</v>
      </c>
      <c r="C7" s="1229"/>
    </row>
    <row r="8" spans="1:3">
      <c r="A8" s="1229">
        <v>5</v>
      </c>
      <c r="B8" s="1230" t="s">
        <v>904</v>
      </c>
      <c r="C8" s="1229"/>
    </row>
    <row r="9" spans="1:3">
      <c r="A9" s="1229">
        <v>6</v>
      </c>
      <c r="B9" s="1230" t="s">
        <v>905</v>
      </c>
      <c r="C9" s="1229"/>
    </row>
    <row r="10" spans="1:3">
      <c r="A10" s="1229">
        <v>7</v>
      </c>
      <c r="B10" s="1230" t="s">
        <v>906</v>
      </c>
      <c r="C10" s="1229"/>
    </row>
    <row r="11" spans="1:3" ht="75">
      <c r="A11" s="1229">
        <v>8</v>
      </c>
      <c r="B11" s="1230" t="s">
        <v>907</v>
      </c>
      <c r="C11" s="1229"/>
    </row>
    <row r="12" spans="1:3" ht="30">
      <c r="A12" s="1229">
        <v>9</v>
      </c>
      <c r="B12" s="1230" t="s">
        <v>908</v>
      </c>
      <c r="C12" s="1229"/>
    </row>
    <row r="13" spans="1:3">
      <c r="A13" s="1229">
        <v>10</v>
      </c>
      <c r="B13" s="1230" t="s">
        <v>909</v>
      </c>
      <c r="C13" s="1229"/>
    </row>
    <row r="14" spans="1:3">
      <c r="A14" s="1229">
        <v>11</v>
      </c>
      <c r="B14" s="1230" t="s">
        <v>910</v>
      </c>
      <c r="C14" s="1229"/>
    </row>
    <row r="15" spans="1:3" ht="30">
      <c r="A15" s="1229">
        <v>12</v>
      </c>
      <c r="B15" s="1230" t="s">
        <v>911</v>
      </c>
      <c r="C15" s="1229"/>
    </row>
    <row r="16" spans="1:3" ht="30">
      <c r="A16" s="1229">
        <v>13</v>
      </c>
      <c r="B16" s="1230" t="s">
        <v>912</v>
      </c>
      <c r="C16" s="1229"/>
    </row>
    <row r="17" spans="1:3">
      <c r="A17" s="1229">
        <v>14</v>
      </c>
      <c r="B17" s="1230" t="s">
        <v>913</v>
      </c>
      <c r="C17" s="1229"/>
    </row>
    <row r="18" spans="1:3" ht="30">
      <c r="A18" s="1229">
        <v>15</v>
      </c>
      <c r="B18" s="1230" t="s">
        <v>914</v>
      </c>
      <c r="C18" s="1229"/>
    </row>
    <row r="19" spans="1:3" ht="45">
      <c r="A19" s="1229">
        <v>16</v>
      </c>
      <c r="B19" s="1230" t="s">
        <v>915</v>
      </c>
      <c r="C19" s="1229"/>
    </row>
    <row r="20" spans="1:3">
      <c r="A20" s="1229">
        <v>17</v>
      </c>
      <c r="B20" s="1231" t="s">
        <v>916</v>
      </c>
      <c r="C20" s="1232"/>
    </row>
    <row r="21" spans="1:3" s="1245" customFormat="1">
      <c r="A21" s="1244" t="s">
        <v>504</v>
      </c>
      <c r="B21" s="1244" t="s">
        <v>899</v>
      </c>
      <c r="C21" s="1244"/>
    </row>
    <row r="22" spans="1:3" ht="30">
      <c r="A22" s="1229">
        <v>1</v>
      </c>
      <c r="B22" s="1230" t="s">
        <v>917</v>
      </c>
      <c r="C22" s="1229"/>
    </row>
    <row r="23" spans="1:3" ht="30">
      <c r="A23" s="1229">
        <f>A22+1</f>
        <v>2</v>
      </c>
      <c r="B23" s="1230" t="s">
        <v>918</v>
      </c>
      <c r="C23" s="1229"/>
    </row>
    <row r="24" spans="1:3">
      <c r="A24" s="1229">
        <v>3</v>
      </c>
      <c r="B24" s="1230" t="s">
        <v>919</v>
      </c>
      <c r="C24" s="1229"/>
    </row>
    <row r="25" spans="1:3" ht="30">
      <c r="A25" s="1229">
        <v>5</v>
      </c>
      <c r="B25" s="1230" t="s">
        <v>920</v>
      </c>
      <c r="C25" s="1229"/>
    </row>
    <row r="26" spans="1:3">
      <c r="A26" s="1229">
        <v>6</v>
      </c>
      <c r="B26" s="1230" t="s">
        <v>921</v>
      </c>
      <c r="C26" s="1229"/>
    </row>
    <row r="27" spans="1:3">
      <c r="A27" s="1229">
        <v>7</v>
      </c>
      <c r="B27" s="1230" t="s">
        <v>922</v>
      </c>
      <c r="C27" s="1229"/>
    </row>
    <row r="28" spans="1:3">
      <c r="A28" s="1229">
        <v>8</v>
      </c>
      <c r="B28" s="1230" t="s">
        <v>923</v>
      </c>
      <c r="C28" s="1229"/>
    </row>
    <row r="29" spans="1:3">
      <c r="A29" s="1229">
        <v>9</v>
      </c>
      <c r="B29" s="1230" t="s">
        <v>924</v>
      </c>
      <c r="C29" s="1229"/>
    </row>
    <row r="30" spans="1:3">
      <c r="A30" s="1232"/>
      <c r="B30" s="1231"/>
      <c r="C30" s="1232"/>
    </row>
    <row r="31" spans="1:3">
      <c r="A31" s="1226" t="s">
        <v>507</v>
      </c>
      <c r="B31" s="1226" t="s">
        <v>925</v>
      </c>
      <c r="C31" s="1226"/>
    </row>
    <row r="32" spans="1:3">
      <c r="A32" s="1229">
        <v>1</v>
      </c>
      <c r="B32" s="1233" t="s">
        <v>926</v>
      </c>
      <c r="C32" s="1229"/>
    </row>
    <row r="33" spans="1:3">
      <c r="A33" s="1229">
        <v>2</v>
      </c>
      <c r="B33" s="1230" t="s">
        <v>919</v>
      </c>
      <c r="C33" s="1229"/>
    </row>
    <row r="34" spans="1:3" ht="30">
      <c r="A34" s="1229">
        <v>3</v>
      </c>
      <c r="B34" s="1230" t="s">
        <v>918</v>
      </c>
      <c r="C34" s="1229"/>
    </row>
    <row r="35" spans="1:3">
      <c r="A35" s="1229">
        <v>4</v>
      </c>
      <c r="B35" s="1233" t="s">
        <v>927</v>
      </c>
      <c r="C35" s="1229"/>
    </row>
    <row r="36" spans="1:3">
      <c r="A36" s="1226" t="s">
        <v>513</v>
      </c>
      <c r="B36" s="1226" t="s">
        <v>928</v>
      </c>
      <c r="C36" s="1226"/>
    </row>
    <row r="37" spans="1:3">
      <c r="A37" s="1229">
        <v>1</v>
      </c>
      <c r="B37" s="1233" t="s">
        <v>929</v>
      </c>
      <c r="C37" s="1229"/>
    </row>
    <row r="38" spans="1:3">
      <c r="A38" s="1226" t="s">
        <v>557</v>
      </c>
      <c r="B38" s="1226" t="s">
        <v>930</v>
      </c>
      <c r="C38" s="1226"/>
    </row>
    <row r="39" spans="1:3">
      <c r="A39" s="1229">
        <v>1</v>
      </c>
      <c r="B39" s="1233" t="s">
        <v>931</v>
      </c>
      <c r="C39" s="1229"/>
    </row>
    <row r="40" spans="1:3">
      <c r="A40" s="1229">
        <v>2</v>
      </c>
      <c r="B40" s="1233" t="s">
        <v>932</v>
      </c>
      <c r="C40" s="1229"/>
    </row>
    <row r="41" spans="1:3">
      <c r="A41" s="1229">
        <v>3</v>
      </c>
      <c r="B41" s="1233" t="s">
        <v>933</v>
      </c>
      <c r="C41" s="1229"/>
    </row>
    <row r="42" spans="1:3">
      <c r="A42" s="1229"/>
      <c r="B42" s="1233"/>
      <c r="C42" s="1229"/>
    </row>
  </sheetData>
  <mergeCells count="1">
    <mergeCell ref="A1:C1"/>
  </mergeCells>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H113"/>
  <sheetViews>
    <sheetView workbookViewId="0">
      <selection activeCell="G11" sqref="G11"/>
    </sheetView>
  </sheetViews>
  <sheetFormatPr defaultColWidth="10.140625" defaultRowHeight="15"/>
  <cols>
    <col min="1" max="1" width="10.140625" style="1224"/>
    <col min="2" max="2" width="96.42578125" style="1224" customWidth="1"/>
    <col min="3" max="257" width="10.140625" style="1224"/>
    <col min="258" max="258" width="96.42578125" style="1224" customWidth="1"/>
    <col min="259" max="513" width="10.140625" style="1224"/>
    <col min="514" max="514" width="96.42578125" style="1224" customWidth="1"/>
    <col min="515" max="769" width="10.140625" style="1224"/>
    <col min="770" max="770" width="96.42578125" style="1224" customWidth="1"/>
    <col min="771" max="1025" width="10.140625" style="1224"/>
    <col min="1026" max="1026" width="96.42578125" style="1224" customWidth="1"/>
    <col min="1027" max="1281" width="10.140625" style="1224"/>
    <col min="1282" max="1282" width="96.42578125" style="1224" customWidth="1"/>
    <col min="1283" max="1537" width="10.140625" style="1224"/>
    <col min="1538" max="1538" width="96.42578125" style="1224" customWidth="1"/>
    <col min="1539" max="1793" width="10.140625" style="1224"/>
    <col min="1794" max="1794" width="96.42578125" style="1224" customWidth="1"/>
    <col min="1795" max="2049" width="10.140625" style="1224"/>
    <col min="2050" max="2050" width="96.42578125" style="1224" customWidth="1"/>
    <col min="2051" max="2305" width="10.140625" style="1224"/>
    <col min="2306" max="2306" width="96.42578125" style="1224" customWidth="1"/>
    <col min="2307" max="2561" width="10.140625" style="1224"/>
    <col min="2562" max="2562" width="96.42578125" style="1224" customWidth="1"/>
    <col min="2563" max="2817" width="10.140625" style="1224"/>
    <col min="2818" max="2818" width="96.42578125" style="1224" customWidth="1"/>
    <col min="2819" max="3073" width="10.140625" style="1224"/>
    <col min="3074" max="3074" width="96.42578125" style="1224" customWidth="1"/>
    <col min="3075" max="3329" width="10.140625" style="1224"/>
    <col min="3330" max="3330" width="96.42578125" style="1224" customWidth="1"/>
    <col min="3331" max="3585" width="10.140625" style="1224"/>
    <col min="3586" max="3586" width="96.42578125" style="1224" customWidth="1"/>
    <col min="3587" max="3841" width="10.140625" style="1224"/>
    <col min="3842" max="3842" width="96.42578125" style="1224" customWidth="1"/>
    <col min="3843" max="4097" width="10.140625" style="1224"/>
    <col min="4098" max="4098" width="96.42578125" style="1224" customWidth="1"/>
    <col min="4099" max="4353" width="10.140625" style="1224"/>
    <col min="4354" max="4354" width="96.42578125" style="1224" customWidth="1"/>
    <col min="4355" max="4609" width="10.140625" style="1224"/>
    <col min="4610" max="4610" width="96.42578125" style="1224" customWidth="1"/>
    <col min="4611" max="4865" width="10.140625" style="1224"/>
    <col min="4866" max="4866" width="96.42578125" style="1224" customWidth="1"/>
    <col min="4867" max="5121" width="10.140625" style="1224"/>
    <col min="5122" max="5122" width="96.42578125" style="1224" customWidth="1"/>
    <col min="5123" max="5377" width="10.140625" style="1224"/>
    <col min="5378" max="5378" width="96.42578125" style="1224" customWidth="1"/>
    <col min="5379" max="5633" width="10.140625" style="1224"/>
    <col min="5634" max="5634" width="96.42578125" style="1224" customWidth="1"/>
    <col min="5635" max="5889" width="10.140625" style="1224"/>
    <col min="5890" max="5890" width="96.42578125" style="1224" customWidth="1"/>
    <col min="5891" max="6145" width="10.140625" style="1224"/>
    <col min="6146" max="6146" width="96.42578125" style="1224" customWidth="1"/>
    <col min="6147" max="6401" width="10.140625" style="1224"/>
    <col min="6402" max="6402" width="96.42578125" style="1224" customWidth="1"/>
    <col min="6403" max="6657" width="10.140625" style="1224"/>
    <col min="6658" max="6658" width="96.42578125" style="1224" customWidth="1"/>
    <col min="6659" max="6913" width="10.140625" style="1224"/>
    <col min="6914" max="6914" width="96.42578125" style="1224" customWidth="1"/>
    <col min="6915" max="7169" width="10.140625" style="1224"/>
    <col min="7170" max="7170" width="96.42578125" style="1224" customWidth="1"/>
    <col min="7171" max="7425" width="10.140625" style="1224"/>
    <col min="7426" max="7426" width="96.42578125" style="1224" customWidth="1"/>
    <col min="7427" max="7681" width="10.140625" style="1224"/>
    <col min="7682" max="7682" width="96.42578125" style="1224" customWidth="1"/>
    <col min="7683" max="7937" width="10.140625" style="1224"/>
    <col min="7938" max="7938" width="96.42578125" style="1224" customWidth="1"/>
    <col min="7939" max="8193" width="10.140625" style="1224"/>
    <col min="8194" max="8194" width="96.42578125" style="1224" customWidth="1"/>
    <col min="8195" max="8449" width="10.140625" style="1224"/>
    <col min="8450" max="8450" width="96.42578125" style="1224" customWidth="1"/>
    <col min="8451" max="8705" width="10.140625" style="1224"/>
    <col min="8706" max="8706" width="96.42578125" style="1224" customWidth="1"/>
    <col min="8707" max="8961" width="10.140625" style="1224"/>
    <col min="8962" max="8962" width="96.42578125" style="1224" customWidth="1"/>
    <col min="8963" max="9217" width="10.140625" style="1224"/>
    <col min="9218" max="9218" width="96.42578125" style="1224" customWidth="1"/>
    <col min="9219" max="9473" width="10.140625" style="1224"/>
    <col min="9474" max="9474" width="96.42578125" style="1224" customWidth="1"/>
    <col min="9475" max="9729" width="10.140625" style="1224"/>
    <col min="9730" max="9730" width="96.42578125" style="1224" customWidth="1"/>
    <col min="9731" max="9985" width="10.140625" style="1224"/>
    <col min="9986" max="9986" width="96.42578125" style="1224" customWidth="1"/>
    <col min="9987" max="10241" width="10.140625" style="1224"/>
    <col min="10242" max="10242" width="96.42578125" style="1224" customWidth="1"/>
    <col min="10243" max="10497" width="10.140625" style="1224"/>
    <col min="10498" max="10498" width="96.42578125" style="1224" customWidth="1"/>
    <col min="10499" max="10753" width="10.140625" style="1224"/>
    <col min="10754" max="10754" width="96.42578125" style="1224" customWidth="1"/>
    <col min="10755" max="11009" width="10.140625" style="1224"/>
    <col min="11010" max="11010" width="96.42578125" style="1224" customWidth="1"/>
    <col min="11011" max="11265" width="10.140625" style="1224"/>
    <col min="11266" max="11266" width="96.42578125" style="1224" customWidth="1"/>
    <col min="11267" max="11521" width="10.140625" style="1224"/>
    <col min="11522" max="11522" width="96.42578125" style="1224" customWidth="1"/>
    <col min="11523" max="11777" width="10.140625" style="1224"/>
    <col min="11778" max="11778" width="96.42578125" style="1224" customWidth="1"/>
    <col min="11779" max="12033" width="10.140625" style="1224"/>
    <col min="12034" max="12034" width="96.42578125" style="1224" customWidth="1"/>
    <col min="12035" max="12289" width="10.140625" style="1224"/>
    <col min="12290" max="12290" width="96.42578125" style="1224" customWidth="1"/>
    <col min="12291" max="12545" width="10.140625" style="1224"/>
    <col min="12546" max="12546" width="96.42578125" style="1224" customWidth="1"/>
    <col min="12547" max="12801" width="10.140625" style="1224"/>
    <col min="12802" max="12802" width="96.42578125" style="1224" customWidth="1"/>
    <col min="12803" max="13057" width="10.140625" style="1224"/>
    <col min="13058" max="13058" width="96.42578125" style="1224" customWidth="1"/>
    <col min="13059" max="13313" width="10.140625" style="1224"/>
    <col min="13314" max="13314" width="96.42578125" style="1224" customWidth="1"/>
    <col min="13315" max="13569" width="10.140625" style="1224"/>
    <col min="13570" max="13570" width="96.42578125" style="1224" customWidth="1"/>
    <col min="13571" max="13825" width="10.140625" style="1224"/>
    <col min="13826" max="13826" width="96.42578125" style="1224" customWidth="1"/>
    <col min="13827" max="14081" width="10.140625" style="1224"/>
    <col min="14082" max="14082" width="96.42578125" style="1224" customWidth="1"/>
    <col min="14083" max="14337" width="10.140625" style="1224"/>
    <col min="14338" max="14338" width="96.42578125" style="1224" customWidth="1"/>
    <col min="14339" max="14593" width="10.140625" style="1224"/>
    <col min="14594" max="14594" width="96.42578125" style="1224" customWidth="1"/>
    <col min="14595" max="14849" width="10.140625" style="1224"/>
    <col min="14850" max="14850" width="96.42578125" style="1224" customWidth="1"/>
    <col min="14851" max="15105" width="10.140625" style="1224"/>
    <col min="15106" max="15106" width="96.42578125" style="1224" customWidth="1"/>
    <col min="15107" max="15361" width="10.140625" style="1224"/>
    <col min="15362" max="15362" width="96.42578125" style="1224" customWidth="1"/>
    <col min="15363" max="15617" width="10.140625" style="1224"/>
    <col min="15618" max="15618" width="96.42578125" style="1224" customWidth="1"/>
    <col min="15619" max="15873" width="10.140625" style="1224"/>
    <col min="15874" max="15874" width="96.42578125" style="1224" customWidth="1"/>
    <col min="15875" max="16129" width="10.140625" style="1224"/>
    <col min="16130" max="16130" width="96.42578125" style="1224" customWidth="1"/>
    <col min="16131" max="16384" width="10.140625" style="1224"/>
  </cols>
  <sheetData>
    <row r="1" spans="1:3" ht="32.450000000000003" customHeight="1">
      <c r="A1" s="1704" t="s">
        <v>896</v>
      </c>
      <c r="B1" s="1704"/>
      <c r="C1" s="1704"/>
    </row>
    <row r="2" spans="1:3">
      <c r="A2" s="1225" t="s">
        <v>51</v>
      </c>
      <c r="B2" s="1225" t="s">
        <v>897</v>
      </c>
      <c r="C2" s="1225" t="s">
        <v>898</v>
      </c>
    </row>
    <row r="3" spans="1:3">
      <c r="A3" s="1226" t="s">
        <v>500</v>
      </c>
      <c r="B3" s="1226" t="s">
        <v>899</v>
      </c>
      <c r="C3" s="1226"/>
    </row>
    <row r="4" spans="1:3">
      <c r="A4" s="1227">
        <v>1</v>
      </c>
      <c r="B4" s="1228" t="s">
        <v>900</v>
      </c>
      <c r="C4" s="1227"/>
    </row>
    <row r="5" spans="1:3">
      <c r="A5" s="1229">
        <v>2</v>
      </c>
      <c r="B5" s="1230" t="s">
        <v>901</v>
      </c>
      <c r="C5" s="1229"/>
    </row>
    <row r="6" spans="1:3" ht="75">
      <c r="A6" s="1229">
        <v>3</v>
      </c>
      <c r="B6" s="1230" t="s">
        <v>902</v>
      </c>
      <c r="C6" s="1229"/>
    </row>
    <row r="7" spans="1:3" ht="30">
      <c r="A7" s="1229">
        <v>4</v>
      </c>
      <c r="B7" s="1230" t="s">
        <v>903</v>
      </c>
      <c r="C7" s="1229"/>
    </row>
    <row r="8" spans="1:3">
      <c r="A8" s="1229">
        <v>5</v>
      </c>
      <c r="B8" s="1230" t="s">
        <v>904</v>
      </c>
      <c r="C8" s="1229"/>
    </row>
    <row r="9" spans="1:3">
      <c r="A9" s="1229">
        <v>6</v>
      </c>
      <c r="B9" s="1230" t="s">
        <v>905</v>
      </c>
      <c r="C9" s="1229"/>
    </row>
    <row r="10" spans="1:3">
      <c r="A10" s="1229">
        <v>7</v>
      </c>
      <c r="B10" s="1230" t="s">
        <v>906</v>
      </c>
      <c r="C10" s="1229"/>
    </row>
    <row r="11" spans="1:3" ht="105">
      <c r="A11" s="1229">
        <v>8</v>
      </c>
      <c r="B11" s="1230" t="s">
        <v>934</v>
      </c>
      <c r="C11" s="1229"/>
    </row>
    <row r="12" spans="1:3">
      <c r="A12" s="1229">
        <v>9</v>
      </c>
      <c r="B12" s="1230" t="s">
        <v>908</v>
      </c>
      <c r="C12" s="1229"/>
    </row>
    <row r="13" spans="1:3">
      <c r="A13" s="1229">
        <v>10</v>
      </c>
      <c r="B13" s="1230" t="s">
        <v>935</v>
      </c>
      <c r="C13" s="1229"/>
    </row>
    <row r="14" spans="1:3">
      <c r="A14" s="1229">
        <v>11</v>
      </c>
      <c r="B14" s="1230" t="s">
        <v>936</v>
      </c>
      <c r="C14" s="1229"/>
    </row>
    <row r="15" spans="1:3" ht="30">
      <c r="A15" s="1229">
        <v>12</v>
      </c>
      <c r="B15" s="1230" t="s">
        <v>911</v>
      </c>
      <c r="C15" s="1229"/>
    </row>
    <row r="16" spans="1:3" ht="30">
      <c r="A16" s="1229">
        <v>13</v>
      </c>
      <c r="B16" s="1230" t="s">
        <v>912</v>
      </c>
      <c r="C16" s="1229"/>
    </row>
    <row r="17" spans="1:3">
      <c r="A17" s="1229">
        <v>14</v>
      </c>
      <c r="B17" s="1230" t="s">
        <v>913</v>
      </c>
      <c r="C17" s="1229"/>
    </row>
    <row r="18" spans="1:3" ht="30">
      <c r="A18" s="1229">
        <v>15</v>
      </c>
      <c r="B18" s="1230" t="s">
        <v>914</v>
      </c>
      <c r="C18" s="1229"/>
    </row>
    <row r="19" spans="1:3" ht="45">
      <c r="A19" s="1229">
        <v>16</v>
      </c>
      <c r="B19" s="1230" t="s">
        <v>915</v>
      </c>
      <c r="C19" s="1229"/>
    </row>
    <row r="20" spans="1:3">
      <c r="A20" s="1235">
        <v>17</v>
      </c>
      <c r="B20" s="1236" t="s">
        <v>916</v>
      </c>
      <c r="C20" s="1235"/>
    </row>
    <row r="21" spans="1:3" ht="45">
      <c r="A21" s="1229">
        <v>18</v>
      </c>
      <c r="B21" s="1230" t="s">
        <v>937</v>
      </c>
      <c r="C21" s="1229"/>
    </row>
    <row r="22" spans="1:3">
      <c r="A22" s="1235">
        <v>19</v>
      </c>
      <c r="B22" s="1230" t="s">
        <v>938</v>
      </c>
      <c r="C22" s="1229"/>
    </row>
    <row r="23" spans="1:3">
      <c r="A23" s="1229">
        <v>20</v>
      </c>
      <c r="B23" s="1230" t="s">
        <v>939</v>
      </c>
      <c r="C23" s="1229"/>
    </row>
    <row r="24" spans="1:3" ht="30">
      <c r="A24" s="1235">
        <v>21</v>
      </c>
      <c r="B24" s="1230" t="s">
        <v>940</v>
      </c>
      <c r="C24" s="1229"/>
    </row>
    <row r="25" spans="1:3">
      <c r="A25" s="1235"/>
      <c r="B25" s="1237" t="s">
        <v>941</v>
      </c>
      <c r="C25" s="1235"/>
    </row>
    <row r="26" spans="1:3">
      <c r="A26" s="1235">
        <v>22</v>
      </c>
      <c r="B26" s="1236" t="s">
        <v>942</v>
      </c>
      <c r="C26" s="1235"/>
    </row>
    <row r="27" spans="1:3">
      <c r="A27" s="1235">
        <v>23</v>
      </c>
      <c r="B27" s="1236" t="s">
        <v>943</v>
      </c>
      <c r="C27" s="1235"/>
    </row>
    <row r="28" spans="1:3">
      <c r="A28" s="1235">
        <v>24</v>
      </c>
      <c r="B28" s="1236"/>
      <c r="C28" s="1235"/>
    </row>
    <row r="29" spans="1:3">
      <c r="A29" s="1235">
        <v>25</v>
      </c>
      <c r="B29" s="1236"/>
      <c r="C29" s="1235"/>
    </row>
    <row r="30" spans="1:3">
      <c r="A30" s="1235">
        <v>26</v>
      </c>
      <c r="B30" s="1236"/>
      <c r="C30" s="1235"/>
    </row>
    <row r="31" spans="1:3">
      <c r="A31" s="1235"/>
      <c r="B31" s="1237" t="s">
        <v>944</v>
      </c>
      <c r="C31" s="1235"/>
    </row>
    <row r="32" spans="1:3">
      <c r="A32" s="1235">
        <v>27</v>
      </c>
      <c r="B32" s="1236" t="s">
        <v>945</v>
      </c>
      <c r="C32" s="1235"/>
    </row>
    <row r="33" spans="1:3" ht="30">
      <c r="A33" s="1235">
        <v>28</v>
      </c>
      <c r="B33" s="1236" t="s">
        <v>946</v>
      </c>
      <c r="C33" s="1235"/>
    </row>
    <row r="34" spans="1:3" ht="30">
      <c r="A34" s="1235">
        <v>29</v>
      </c>
      <c r="B34" s="1236" t="s">
        <v>947</v>
      </c>
      <c r="C34" s="1235"/>
    </row>
    <row r="35" spans="1:3">
      <c r="A35" s="1235">
        <v>30</v>
      </c>
      <c r="B35" s="1236"/>
      <c r="C35" s="1235"/>
    </row>
    <row r="36" spans="1:3">
      <c r="A36" s="1235">
        <v>31</v>
      </c>
      <c r="B36" s="1236"/>
      <c r="C36" s="1235"/>
    </row>
    <row r="37" spans="1:3">
      <c r="A37" s="1235"/>
      <c r="B37" s="1237" t="s">
        <v>948</v>
      </c>
      <c r="C37" s="1235"/>
    </row>
    <row r="38" spans="1:3">
      <c r="A38" s="1235"/>
      <c r="B38" s="1236"/>
      <c r="C38" s="1235"/>
    </row>
    <row r="39" spans="1:3">
      <c r="A39" s="1235"/>
      <c r="B39" s="1236"/>
      <c r="C39" s="1235"/>
    </row>
    <row r="40" spans="1:3">
      <c r="A40" s="1235"/>
      <c r="B40" s="1236"/>
      <c r="C40" s="1235"/>
    </row>
    <row r="41" spans="1:3">
      <c r="A41" s="1235">
        <v>22</v>
      </c>
      <c r="B41" s="1236"/>
      <c r="C41" s="1235"/>
    </row>
    <row r="42" spans="1:3">
      <c r="A42" s="1226" t="s">
        <v>504</v>
      </c>
      <c r="B42" s="1226" t="s">
        <v>949</v>
      </c>
      <c r="C42" s="1226"/>
    </row>
    <row r="43" spans="1:3">
      <c r="A43" s="1229">
        <v>1</v>
      </c>
      <c r="B43" s="1233" t="s">
        <v>950</v>
      </c>
      <c r="C43" s="1229"/>
    </row>
    <row r="44" spans="1:3" ht="75">
      <c r="A44" s="1229">
        <v>2</v>
      </c>
      <c r="B44" s="1230" t="s">
        <v>951</v>
      </c>
      <c r="C44" s="1229"/>
    </row>
    <row r="45" spans="1:3">
      <c r="A45" s="1229">
        <v>3</v>
      </c>
      <c r="B45" s="1233" t="s">
        <v>952</v>
      </c>
      <c r="C45" s="1229"/>
    </row>
    <row r="46" spans="1:3">
      <c r="A46" s="1229">
        <v>4</v>
      </c>
      <c r="B46" s="1233" t="s">
        <v>953</v>
      </c>
      <c r="C46" s="1229"/>
    </row>
    <row r="47" spans="1:3">
      <c r="A47" s="1229"/>
      <c r="B47" s="1233" t="s">
        <v>954</v>
      </c>
      <c r="C47" s="1229"/>
    </row>
    <row r="48" spans="1:3">
      <c r="A48" s="1229">
        <v>5</v>
      </c>
      <c r="B48" s="1233" t="s">
        <v>955</v>
      </c>
      <c r="C48" s="1229"/>
    </row>
    <row r="49" spans="1:3" ht="30">
      <c r="A49" s="1234">
        <v>6</v>
      </c>
      <c r="B49" s="1230" t="s">
        <v>940</v>
      </c>
      <c r="C49" s="1234"/>
    </row>
    <row r="50" spans="1:3" ht="30">
      <c r="A50" s="1229"/>
      <c r="B50" s="1230" t="s">
        <v>956</v>
      </c>
      <c r="C50" s="1229"/>
    </row>
    <row r="51" spans="1:3" ht="30">
      <c r="A51" s="1229"/>
      <c r="B51" s="1230" t="s">
        <v>957</v>
      </c>
      <c r="C51" s="1229"/>
    </row>
    <row r="52" spans="1:3" ht="30">
      <c r="A52" s="1229"/>
      <c r="B52" s="1230" t="s">
        <v>958</v>
      </c>
      <c r="C52" s="1229"/>
    </row>
    <row r="53" spans="1:3">
      <c r="A53" s="1229"/>
      <c r="B53" s="1238" t="s">
        <v>941</v>
      </c>
      <c r="C53" s="1229"/>
    </row>
    <row r="54" spans="1:3">
      <c r="A54" s="1229">
        <v>7</v>
      </c>
      <c r="B54" s="1233" t="s">
        <v>942</v>
      </c>
      <c r="C54" s="1229"/>
    </row>
    <row r="55" spans="1:3">
      <c r="A55" s="1229">
        <v>8</v>
      </c>
      <c r="B55" s="1236" t="s">
        <v>943</v>
      </c>
      <c r="C55" s="1229"/>
    </row>
    <row r="56" spans="1:3">
      <c r="A56" s="1229"/>
      <c r="B56" s="1238" t="s">
        <v>944</v>
      </c>
      <c r="C56" s="1229"/>
    </row>
    <row r="57" spans="1:3">
      <c r="A57" s="1224">
        <v>9</v>
      </c>
      <c r="B57" s="1233" t="s">
        <v>959</v>
      </c>
      <c r="C57" s="1229"/>
    </row>
    <row r="58" spans="1:3">
      <c r="A58" s="1229">
        <v>10</v>
      </c>
      <c r="B58" s="1233" t="s">
        <v>960</v>
      </c>
      <c r="C58" s="1229"/>
    </row>
    <row r="59" spans="1:3">
      <c r="A59" s="1229">
        <v>11</v>
      </c>
      <c r="B59" s="1233" t="s">
        <v>961</v>
      </c>
      <c r="C59" s="1229"/>
    </row>
    <row r="60" spans="1:3">
      <c r="A60" s="1229"/>
      <c r="B60" s="1238" t="s">
        <v>948</v>
      </c>
      <c r="C60" s="1229"/>
    </row>
    <row r="61" spans="1:3">
      <c r="A61" s="1229">
        <v>12</v>
      </c>
      <c r="B61" s="1233" t="s">
        <v>962</v>
      </c>
      <c r="C61" s="1229"/>
    </row>
    <row r="62" spans="1:3">
      <c r="A62" s="1229">
        <v>13</v>
      </c>
      <c r="B62" s="1233" t="s">
        <v>963</v>
      </c>
      <c r="C62" s="1229"/>
    </row>
    <row r="63" spans="1:3">
      <c r="A63" s="1229">
        <v>14</v>
      </c>
      <c r="B63" s="1233" t="s">
        <v>964</v>
      </c>
      <c r="C63" s="1229"/>
    </row>
    <row r="64" spans="1:3">
      <c r="A64" s="1229">
        <v>15</v>
      </c>
      <c r="B64" s="1233" t="s">
        <v>965</v>
      </c>
      <c r="C64" s="1229"/>
    </row>
    <row r="65" spans="1:3">
      <c r="A65" s="1229">
        <v>16</v>
      </c>
      <c r="B65" s="1233" t="s">
        <v>966</v>
      </c>
      <c r="C65" s="1229"/>
    </row>
    <row r="66" spans="1:3">
      <c r="A66" s="1229"/>
      <c r="B66" s="1238" t="s">
        <v>370</v>
      </c>
      <c r="C66" s="1229"/>
    </row>
    <row r="67" spans="1:3">
      <c r="A67" s="1229"/>
      <c r="B67" s="1233" t="s">
        <v>967</v>
      </c>
      <c r="C67" s="1229"/>
    </row>
    <row r="68" spans="1:3">
      <c r="A68" s="1229"/>
      <c r="B68" s="1233" t="s">
        <v>968</v>
      </c>
      <c r="C68" s="1229"/>
    </row>
    <row r="69" spans="1:3">
      <c r="A69" s="1226" t="s">
        <v>507</v>
      </c>
      <c r="B69" s="1226" t="s">
        <v>925</v>
      </c>
      <c r="C69" s="1226"/>
    </row>
    <row r="70" spans="1:3">
      <c r="A70" s="1239"/>
      <c r="B70" s="1240" t="s">
        <v>969</v>
      </c>
      <c r="C70" s="1239"/>
    </row>
    <row r="71" spans="1:3">
      <c r="A71" s="1229">
        <v>1</v>
      </c>
      <c r="B71" s="1241" t="s">
        <v>970</v>
      </c>
      <c r="C71" s="1229"/>
    </row>
    <row r="72" spans="1:3">
      <c r="A72" s="1229">
        <v>2</v>
      </c>
      <c r="B72" s="1233" t="s">
        <v>971</v>
      </c>
      <c r="C72" s="1229"/>
    </row>
    <row r="73" spans="1:3">
      <c r="A73" s="1229">
        <v>3</v>
      </c>
      <c r="B73" s="1233" t="s">
        <v>972</v>
      </c>
      <c r="C73" s="1229"/>
    </row>
    <row r="74" spans="1:3">
      <c r="A74" s="1229">
        <v>4</v>
      </c>
      <c r="B74" s="1233" t="s">
        <v>973</v>
      </c>
      <c r="C74" s="1229"/>
    </row>
    <row r="75" spans="1:3" ht="30">
      <c r="A75" s="1229">
        <v>5</v>
      </c>
      <c r="B75" s="1230" t="s">
        <v>974</v>
      </c>
      <c r="C75" s="1229"/>
    </row>
    <row r="76" spans="1:3">
      <c r="A76" s="1229">
        <v>6</v>
      </c>
      <c r="B76" s="1233" t="s">
        <v>975</v>
      </c>
      <c r="C76" s="1229"/>
    </row>
    <row r="77" spans="1:3">
      <c r="A77" s="1229">
        <v>7</v>
      </c>
      <c r="B77" s="1233" t="s">
        <v>976</v>
      </c>
      <c r="C77" s="1229"/>
    </row>
    <row r="78" spans="1:3" ht="30">
      <c r="A78" s="1229">
        <v>8</v>
      </c>
      <c r="B78" s="1230" t="s">
        <v>940</v>
      </c>
      <c r="C78" s="1229"/>
    </row>
    <row r="79" spans="1:3">
      <c r="A79" s="1229"/>
      <c r="B79" s="1230" t="s">
        <v>977</v>
      </c>
      <c r="C79" s="1229"/>
    </row>
    <row r="80" spans="1:3">
      <c r="A80" s="1229"/>
      <c r="B80" s="1230" t="s">
        <v>978</v>
      </c>
      <c r="C80" s="1229"/>
    </row>
    <row r="81" spans="1:8">
      <c r="A81" s="1229"/>
      <c r="B81" s="1230" t="s">
        <v>979</v>
      </c>
      <c r="C81" s="1229"/>
    </row>
    <row r="82" spans="1:8">
      <c r="A82" s="1229"/>
      <c r="B82" s="1230"/>
      <c r="C82" s="1229"/>
    </row>
    <row r="83" spans="1:8">
      <c r="A83" s="1229"/>
      <c r="B83" s="1238" t="s">
        <v>941</v>
      </c>
      <c r="C83" s="1229"/>
    </row>
    <row r="84" spans="1:8">
      <c r="A84" s="1229">
        <v>10</v>
      </c>
      <c r="B84" s="1230" t="s">
        <v>980</v>
      </c>
      <c r="C84" s="1229"/>
    </row>
    <row r="85" spans="1:8">
      <c r="A85" s="1229">
        <v>11</v>
      </c>
      <c r="B85" s="1230" t="s">
        <v>981</v>
      </c>
      <c r="C85" s="1229"/>
    </row>
    <row r="86" spans="1:8" ht="30">
      <c r="A86" s="1229">
        <v>12</v>
      </c>
      <c r="B86" s="1230" t="s">
        <v>982</v>
      </c>
      <c r="C86" s="1229"/>
      <c r="G86" s="1224">
        <f>7*1.3+5*0.9</f>
        <v>13.6</v>
      </c>
    </row>
    <row r="87" spans="1:8" ht="30">
      <c r="A87" s="1229">
        <v>13</v>
      </c>
      <c r="B87" s="1236" t="s">
        <v>983</v>
      </c>
      <c r="C87" s="1229"/>
      <c r="H87" s="1224">
        <v>0.62</v>
      </c>
    </row>
    <row r="88" spans="1:8">
      <c r="A88" s="1229"/>
      <c r="B88" s="1238" t="s">
        <v>944</v>
      </c>
      <c r="C88" s="1229"/>
      <c r="H88" s="1224">
        <f>G86*H87</f>
        <v>8.4320000000000004</v>
      </c>
    </row>
    <row r="89" spans="1:8">
      <c r="A89" s="1229">
        <v>14</v>
      </c>
      <c r="B89" s="1230" t="s">
        <v>984</v>
      </c>
      <c r="C89" s="1229"/>
    </row>
    <row r="90" spans="1:8">
      <c r="A90" s="1229">
        <v>15</v>
      </c>
      <c r="B90" s="1230"/>
      <c r="C90" s="1229"/>
    </row>
    <row r="91" spans="1:8">
      <c r="A91" s="1229"/>
      <c r="B91" s="1238" t="s">
        <v>948</v>
      </c>
      <c r="C91" s="1229"/>
    </row>
    <row r="92" spans="1:8" ht="30">
      <c r="A92" s="1229">
        <v>14</v>
      </c>
      <c r="B92" s="1230" t="s">
        <v>985</v>
      </c>
      <c r="C92" s="1229"/>
    </row>
    <row r="93" spans="1:8">
      <c r="A93" s="1229">
        <v>15</v>
      </c>
      <c r="B93" s="1230" t="s">
        <v>986</v>
      </c>
      <c r="C93" s="1229"/>
    </row>
    <row r="94" spans="1:8">
      <c r="A94" s="1229">
        <v>16</v>
      </c>
      <c r="B94" s="1230"/>
      <c r="C94" s="1229"/>
    </row>
    <row r="95" spans="1:8">
      <c r="A95" s="1229">
        <v>17</v>
      </c>
      <c r="B95" s="1230"/>
      <c r="C95" s="1229"/>
    </row>
    <row r="96" spans="1:8">
      <c r="A96" s="1229">
        <v>18</v>
      </c>
      <c r="B96" s="1230"/>
      <c r="C96" s="1229"/>
    </row>
    <row r="97" spans="1:3">
      <c r="A97" s="1226" t="s">
        <v>513</v>
      </c>
      <c r="B97" s="1226" t="s">
        <v>987</v>
      </c>
      <c r="C97" s="1226"/>
    </row>
    <row r="98" spans="1:3">
      <c r="A98" s="1234">
        <v>1</v>
      </c>
      <c r="B98" s="1242" t="s">
        <v>988</v>
      </c>
      <c r="C98" s="1239"/>
    </row>
    <row r="99" spans="1:3">
      <c r="A99" s="1229">
        <v>2</v>
      </c>
      <c r="B99" s="1230" t="s">
        <v>989</v>
      </c>
      <c r="C99" s="1229"/>
    </row>
    <row r="100" spans="1:3">
      <c r="A100" s="1229">
        <v>3</v>
      </c>
      <c r="B100" s="1230" t="s">
        <v>990</v>
      </c>
      <c r="C100" s="1229"/>
    </row>
    <row r="101" spans="1:3">
      <c r="A101" s="1229">
        <v>4</v>
      </c>
      <c r="B101" s="1230" t="s">
        <v>991</v>
      </c>
      <c r="C101" s="1229"/>
    </row>
    <row r="102" spans="1:3">
      <c r="A102" s="1229">
        <v>5</v>
      </c>
      <c r="B102" s="1230" t="s">
        <v>992</v>
      </c>
      <c r="C102" s="1229"/>
    </row>
    <row r="103" spans="1:3">
      <c r="A103" s="1226"/>
      <c r="B103" s="1226" t="s">
        <v>993</v>
      </c>
      <c r="C103" s="1226"/>
    </row>
    <row r="104" spans="1:3">
      <c r="A104" s="1239"/>
      <c r="B104" s="1243" t="s">
        <v>994</v>
      </c>
      <c r="C104" s="1239"/>
    </row>
    <row r="105" spans="1:3">
      <c r="A105" s="1229"/>
      <c r="B105" s="1233" t="s">
        <v>995</v>
      </c>
      <c r="C105" s="1229"/>
    </row>
    <row r="106" spans="1:3">
      <c r="A106" s="1229"/>
      <c r="B106" s="1233"/>
      <c r="C106" s="1229"/>
    </row>
    <row r="107" spans="1:3">
      <c r="A107" s="1229"/>
      <c r="B107" s="1233"/>
      <c r="C107" s="1229"/>
    </row>
    <row r="108" spans="1:3">
      <c r="A108" s="1229"/>
      <c r="B108" s="1233"/>
      <c r="C108" s="1229"/>
    </row>
    <row r="109" spans="1:3">
      <c r="A109" s="1229"/>
      <c r="B109" s="1233"/>
      <c r="C109" s="1229"/>
    </row>
    <row r="110" spans="1:3">
      <c r="A110" s="1229"/>
      <c r="B110" s="1233"/>
      <c r="C110" s="1229"/>
    </row>
    <row r="111" spans="1:3">
      <c r="A111" s="1229"/>
      <c r="B111" s="1233"/>
      <c r="C111" s="1229"/>
    </row>
    <row r="112" spans="1:3">
      <c r="A112" s="1229"/>
      <c r="B112" s="1233"/>
      <c r="C112" s="1229"/>
    </row>
    <row r="113" spans="1:3">
      <c r="A113" s="1229"/>
      <c r="B113" s="1233"/>
      <c r="C113" s="1229"/>
    </row>
  </sheetData>
  <mergeCells count="1">
    <mergeCell ref="A1:C1"/>
  </mergeCells>
  <pageMargins left="0.7" right="0.7" top="0.75" bottom="0.75" header="0.3" footer="0.3"/>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H113"/>
  <sheetViews>
    <sheetView workbookViewId="0">
      <selection activeCell="B66" sqref="B66"/>
    </sheetView>
  </sheetViews>
  <sheetFormatPr defaultColWidth="10.140625" defaultRowHeight="15"/>
  <cols>
    <col min="1" max="1" width="10.140625" style="1224"/>
    <col min="2" max="2" width="96.42578125" style="1224" customWidth="1"/>
    <col min="3" max="257" width="10.140625" style="1224"/>
    <col min="258" max="258" width="96.42578125" style="1224" customWidth="1"/>
    <col min="259" max="513" width="10.140625" style="1224"/>
    <col min="514" max="514" width="96.42578125" style="1224" customWidth="1"/>
    <col min="515" max="769" width="10.140625" style="1224"/>
    <col min="770" max="770" width="96.42578125" style="1224" customWidth="1"/>
    <col min="771" max="1025" width="10.140625" style="1224"/>
    <col min="1026" max="1026" width="96.42578125" style="1224" customWidth="1"/>
    <col min="1027" max="1281" width="10.140625" style="1224"/>
    <col min="1282" max="1282" width="96.42578125" style="1224" customWidth="1"/>
    <col min="1283" max="1537" width="10.140625" style="1224"/>
    <col min="1538" max="1538" width="96.42578125" style="1224" customWidth="1"/>
    <col min="1539" max="1793" width="10.140625" style="1224"/>
    <col min="1794" max="1794" width="96.42578125" style="1224" customWidth="1"/>
    <col min="1795" max="2049" width="10.140625" style="1224"/>
    <col min="2050" max="2050" width="96.42578125" style="1224" customWidth="1"/>
    <col min="2051" max="2305" width="10.140625" style="1224"/>
    <col min="2306" max="2306" width="96.42578125" style="1224" customWidth="1"/>
    <col min="2307" max="2561" width="10.140625" style="1224"/>
    <col min="2562" max="2562" width="96.42578125" style="1224" customWidth="1"/>
    <col min="2563" max="2817" width="10.140625" style="1224"/>
    <col min="2818" max="2818" width="96.42578125" style="1224" customWidth="1"/>
    <col min="2819" max="3073" width="10.140625" style="1224"/>
    <col min="3074" max="3074" width="96.42578125" style="1224" customWidth="1"/>
    <col min="3075" max="3329" width="10.140625" style="1224"/>
    <col min="3330" max="3330" width="96.42578125" style="1224" customWidth="1"/>
    <col min="3331" max="3585" width="10.140625" style="1224"/>
    <col min="3586" max="3586" width="96.42578125" style="1224" customWidth="1"/>
    <col min="3587" max="3841" width="10.140625" style="1224"/>
    <col min="3842" max="3842" width="96.42578125" style="1224" customWidth="1"/>
    <col min="3843" max="4097" width="10.140625" style="1224"/>
    <col min="4098" max="4098" width="96.42578125" style="1224" customWidth="1"/>
    <col min="4099" max="4353" width="10.140625" style="1224"/>
    <col min="4354" max="4354" width="96.42578125" style="1224" customWidth="1"/>
    <col min="4355" max="4609" width="10.140625" style="1224"/>
    <col min="4610" max="4610" width="96.42578125" style="1224" customWidth="1"/>
    <col min="4611" max="4865" width="10.140625" style="1224"/>
    <col min="4866" max="4866" width="96.42578125" style="1224" customWidth="1"/>
    <col min="4867" max="5121" width="10.140625" style="1224"/>
    <col min="5122" max="5122" width="96.42578125" style="1224" customWidth="1"/>
    <col min="5123" max="5377" width="10.140625" style="1224"/>
    <col min="5378" max="5378" width="96.42578125" style="1224" customWidth="1"/>
    <col min="5379" max="5633" width="10.140625" style="1224"/>
    <col min="5634" max="5634" width="96.42578125" style="1224" customWidth="1"/>
    <col min="5635" max="5889" width="10.140625" style="1224"/>
    <col min="5890" max="5890" width="96.42578125" style="1224" customWidth="1"/>
    <col min="5891" max="6145" width="10.140625" style="1224"/>
    <col min="6146" max="6146" width="96.42578125" style="1224" customWidth="1"/>
    <col min="6147" max="6401" width="10.140625" style="1224"/>
    <col min="6402" max="6402" width="96.42578125" style="1224" customWidth="1"/>
    <col min="6403" max="6657" width="10.140625" style="1224"/>
    <col min="6658" max="6658" width="96.42578125" style="1224" customWidth="1"/>
    <col min="6659" max="6913" width="10.140625" style="1224"/>
    <col min="6914" max="6914" width="96.42578125" style="1224" customWidth="1"/>
    <col min="6915" max="7169" width="10.140625" style="1224"/>
    <col min="7170" max="7170" width="96.42578125" style="1224" customWidth="1"/>
    <col min="7171" max="7425" width="10.140625" style="1224"/>
    <col min="7426" max="7426" width="96.42578125" style="1224" customWidth="1"/>
    <col min="7427" max="7681" width="10.140625" style="1224"/>
    <col min="7682" max="7682" width="96.42578125" style="1224" customWidth="1"/>
    <col min="7683" max="7937" width="10.140625" style="1224"/>
    <col min="7938" max="7938" width="96.42578125" style="1224" customWidth="1"/>
    <col min="7939" max="8193" width="10.140625" style="1224"/>
    <col min="8194" max="8194" width="96.42578125" style="1224" customWidth="1"/>
    <col min="8195" max="8449" width="10.140625" style="1224"/>
    <col min="8450" max="8450" width="96.42578125" style="1224" customWidth="1"/>
    <col min="8451" max="8705" width="10.140625" style="1224"/>
    <col min="8706" max="8706" width="96.42578125" style="1224" customWidth="1"/>
    <col min="8707" max="8961" width="10.140625" style="1224"/>
    <col min="8962" max="8962" width="96.42578125" style="1224" customWidth="1"/>
    <col min="8963" max="9217" width="10.140625" style="1224"/>
    <col min="9218" max="9218" width="96.42578125" style="1224" customWidth="1"/>
    <col min="9219" max="9473" width="10.140625" style="1224"/>
    <col min="9474" max="9474" width="96.42578125" style="1224" customWidth="1"/>
    <col min="9475" max="9729" width="10.140625" style="1224"/>
    <col min="9730" max="9730" width="96.42578125" style="1224" customWidth="1"/>
    <col min="9731" max="9985" width="10.140625" style="1224"/>
    <col min="9986" max="9986" width="96.42578125" style="1224" customWidth="1"/>
    <col min="9987" max="10241" width="10.140625" style="1224"/>
    <col min="10242" max="10242" width="96.42578125" style="1224" customWidth="1"/>
    <col min="10243" max="10497" width="10.140625" style="1224"/>
    <col min="10498" max="10498" width="96.42578125" style="1224" customWidth="1"/>
    <col min="10499" max="10753" width="10.140625" style="1224"/>
    <col min="10754" max="10754" width="96.42578125" style="1224" customWidth="1"/>
    <col min="10755" max="11009" width="10.140625" style="1224"/>
    <col min="11010" max="11010" width="96.42578125" style="1224" customWidth="1"/>
    <col min="11011" max="11265" width="10.140625" style="1224"/>
    <col min="11266" max="11266" width="96.42578125" style="1224" customWidth="1"/>
    <col min="11267" max="11521" width="10.140625" style="1224"/>
    <col min="11522" max="11522" width="96.42578125" style="1224" customWidth="1"/>
    <col min="11523" max="11777" width="10.140625" style="1224"/>
    <col min="11778" max="11778" width="96.42578125" style="1224" customWidth="1"/>
    <col min="11779" max="12033" width="10.140625" style="1224"/>
    <col min="12034" max="12034" width="96.42578125" style="1224" customWidth="1"/>
    <col min="12035" max="12289" width="10.140625" style="1224"/>
    <col min="12290" max="12290" width="96.42578125" style="1224" customWidth="1"/>
    <col min="12291" max="12545" width="10.140625" style="1224"/>
    <col min="12546" max="12546" width="96.42578125" style="1224" customWidth="1"/>
    <col min="12547" max="12801" width="10.140625" style="1224"/>
    <col min="12802" max="12802" width="96.42578125" style="1224" customWidth="1"/>
    <col min="12803" max="13057" width="10.140625" style="1224"/>
    <col min="13058" max="13058" width="96.42578125" style="1224" customWidth="1"/>
    <col min="13059" max="13313" width="10.140625" style="1224"/>
    <col min="13314" max="13314" width="96.42578125" style="1224" customWidth="1"/>
    <col min="13315" max="13569" width="10.140625" style="1224"/>
    <col min="13570" max="13570" width="96.42578125" style="1224" customWidth="1"/>
    <col min="13571" max="13825" width="10.140625" style="1224"/>
    <col min="13826" max="13826" width="96.42578125" style="1224" customWidth="1"/>
    <col min="13827" max="14081" width="10.140625" style="1224"/>
    <col min="14082" max="14082" width="96.42578125" style="1224" customWidth="1"/>
    <col min="14083" max="14337" width="10.140625" style="1224"/>
    <col min="14338" max="14338" width="96.42578125" style="1224" customWidth="1"/>
    <col min="14339" max="14593" width="10.140625" style="1224"/>
    <col min="14594" max="14594" width="96.42578125" style="1224" customWidth="1"/>
    <col min="14595" max="14849" width="10.140625" style="1224"/>
    <col min="14850" max="14850" width="96.42578125" style="1224" customWidth="1"/>
    <col min="14851" max="15105" width="10.140625" style="1224"/>
    <col min="15106" max="15106" width="96.42578125" style="1224" customWidth="1"/>
    <col min="15107" max="15361" width="10.140625" style="1224"/>
    <col min="15362" max="15362" width="96.42578125" style="1224" customWidth="1"/>
    <col min="15363" max="15617" width="10.140625" style="1224"/>
    <col min="15618" max="15618" width="96.42578125" style="1224" customWidth="1"/>
    <col min="15619" max="15873" width="10.140625" style="1224"/>
    <col min="15874" max="15874" width="96.42578125" style="1224" customWidth="1"/>
    <col min="15875" max="16129" width="10.140625" style="1224"/>
    <col min="16130" max="16130" width="96.42578125" style="1224" customWidth="1"/>
    <col min="16131" max="16384" width="10.140625" style="1224"/>
  </cols>
  <sheetData>
    <row r="1" spans="1:3" ht="32.450000000000003" customHeight="1">
      <c r="A1" s="1704" t="s">
        <v>896</v>
      </c>
      <c r="B1" s="1704"/>
      <c r="C1" s="1704"/>
    </row>
    <row r="2" spans="1:3">
      <c r="A2" s="1225" t="s">
        <v>51</v>
      </c>
      <c r="B2" s="1225" t="s">
        <v>897</v>
      </c>
      <c r="C2" s="1225" t="s">
        <v>898</v>
      </c>
    </row>
    <row r="3" spans="1:3">
      <c r="A3" s="1226" t="s">
        <v>500</v>
      </c>
      <c r="B3" s="1226" t="s">
        <v>899</v>
      </c>
      <c r="C3" s="1226"/>
    </row>
    <row r="4" spans="1:3">
      <c r="A4" s="1227">
        <v>1</v>
      </c>
      <c r="B4" s="1228" t="s">
        <v>900</v>
      </c>
      <c r="C4" s="1227"/>
    </row>
    <row r="5" spans="1:3">
      <c r="A5" s="1229">
        <v>2</v>
      </c>
      <c r="B5" s="1230" t="s">
        <v>901</v>
      </c>
      <c r="C5" s="1229"/>
    </row>
    <row r="6" spans="1:3" ht="75">
      <c r="A6" s="1229">
        <v>3</v>
      </c>
      <c r="B6" s="1230" t="s">
        <v>902</v>
      </c>
      <c r="C6" s="1229"/>
    </row>
    <row r="7" spans="1:3" ht="30">
      <c r="A7" s="1229">
        <v>4</v>
      </c>
      <c r="B7" s="1230" t="s">
        <v>903</v>
      </c>
      <c r="C7" s="1229"/>
    </row>
    <row r="8" spans="1:3">
      <c r="A8" s="1229">
        <v>5</v>
      </c>
      <c r="B8" s="1230" t="s">
        <v>904</v>
      </c>
      <c r="C8" s="1229"/>
    </row>
    <row r="9" spans="1:3">
      <c r="A9" s="1229">
        <v>6</v>
      </c>
      <c r="B9" s="1230" t="s">
        <v>905</v>
      </c>
      <c r="C9" s="1229"/>
    </row>
    <row r="10" spans="1:3">
      <c r="A10" s="1229">
        <v>7</v>
      </c>
      <c r="B10" s="1230" t="s">
        <v>906</v>
      </c>
      <c r="C10" s="1229"/>
    </row>
    <row r="11" spans="1:3" ht="105">
      <c r="A11" s="1229">
        <v>8</v>
      </c>
      <c r="B11" s="1230" t="s">
        <v>934</v>
      </c>
      <c r="C11" s="1229"/>
    </row>
    <row r="12" spans="1:3">
      <c r="A12" s="1229">
        <v>9</v>
      </c>
      <c r="B12" s="1230" t="s">
        <v>908</v>
      </c>
      <c r="C12" s="1229"/>
    </row>
    <row r="13" spans="1:3">
      <c r="A13" s="1229">
        <v>10</v>
      </c>
      <c r="B13" s="1230" t="s">
        <v>935</v>
      </c>
      <c r="C13" s="1229"/>
    </row>
    <row r="14" spans="1:3">
      <c r="A14" s="1229">
        <v>11</v>
      </c>
      <c r="B14" s="1230" t="s">
        <v>936</v>
      </c>
      <c r="C14" s="1229"/>
    </row>
    <row r="15" spans="1:3" ht="30">
      <c r="A15" s="1229">
        <v>12</v>
      </c>
      <c r="B15" s="1230" t="s">
        <v>911</v>
      </c>
      <c r="C15" s="1229"/>
    </row>
    <row r="16" spans="1:3" ht="30">
      <c r="A16" s="1229">
        <v>13</v>
      </c>
      <c r="B16" s="1230" t="s">
        <v>912</v>
      </c>
      <c r="C16" s="1229"/>
    </row>
    <row r="17" spans="1:3">
      <c r="A17" s="1229">
        <v>14</v>
      </c>
      <c r="B17" s="1230" t="s">
        <v>913</v>
      </c>
      <c r="C17" s="1229"/>
    </row>
    <row r="18" spans="1:3" ht="30">
      <c r="A18" s="1229">
        <v>15</v>
      </c>
      <c r="B18" s="1230" t="s">
        <v>914</v>
      </c>
      <c r="C18" s="1229"/>
    </row>
    <row r="19" spans="1:3" ht="45">
      <c r="A19" s="1229">
        <v>16</v>
      </c>
      <c r="B19" s="1230" t="s">
        <v>915</v>
      </c>
      <c r="C19" s="1229"/>
    </row>
    <row r="20" spans="1:3">
      <c r="A20" s="1235">
        <v>17</v>
      </c>
      <c r="B20" s="1236" t="s">
        <v>916</v>
      </c>
      <c r="C20" s="1235"/>
    </row>
    <row r="21" spans="1:3" ht="45">
      <c r="A21" s="1229">
        <v>18</v>
      </c>
      <c r="B21" s="1230" t="s">
        <v>937</v>
      </c>
      <c r="C21" s="1229"/>
    </row>
    <row r="22" spans="1:3">
      <c r="A22" s="1235">
        <v>19</v>
      </c>
      <c r="B22" s="1230" t="s">
        <v>938</v>
      </c>
      <c r="C22" s="1229"/>
    </row>
    <row r="23" spans="1:3">
      <c r="A23" s="1229">
        <v>20</v>
      </c>
      <c r="B23" s="1230" t="s">
        <v>939</v>
      </c>
      <c r="C23" s="1229"/>
    </row>
    <row r="24" spans="1:3" ht="30">
      <c r="A24" s="1235">
        <v>21</v>
      </c>
      <c r="B24" s="1230" t="s">
        <v>940</v>
      </c>
      <c r="C24" s="1229"/>
    </row>
    <row r="25" spans="1:3">
      <c r="A25" s="1235"/>
      <c r="B25" s="1237" t="s">
        <v>941</v>
      </c>
      <c r="C25" s="1235"/>
    </row>
    <row r="26" spans="1:3">
      <c r="A26" s="1235">
        <v>22</v>
      </c>
      <c r="B26" s="1236" t="s">
        <v>942</v>
      </c>
      <c r="C26" s="1235"/>
    </row>
    <row r="27" spans="1:3">
      <c r="A27" s="1235">
        <v>23</v>
      </c>
      <c r="B27" s="1236" t="s">
        <v>943</v>
      </c>
      <c r="C27" s="1235"/>
    </row>
    <row r="28" spans="1:3">
      <c r="A28" s="1235">
        <v>24</v>
      </c>
      <c r="B28" s="1236"/>
      <c r="C28" s="1235"/>
    </row>
    <row r="29" spans="1:3">
      <c r="A29" s="1235">
        <v>25</v>
      </c>
      <c r="B29" s="1236"/>
      <c r="C29" s="1235"/>
    </row>
    <row r="30" spans="1:3">
      <c r="A30" s="1235">
        <v>26</v>
      </c>
      <c r="B30" s="1236"/>
      <c r="C30" s="1235"/>
    </row>
    <row r="31" spans="1:3">
      <c r="A31" s="1235"/>
      <c r="B31" s="1237" t="s">
        <v>944</v>
      </c>
      <c r="C31" s="1235"/>
    </row>
    <row r="32" spans="1:3">
      <c r="A32" s="1235">
        <v>27</v>
      </c>
      <c r="B32" s="1236" t="s">
        <v>945</v>
      </c>
      <c r="C32" s="1235"/>
    </row>
    <row r="33" spans="1:3" ht="30">
      <c r="A33" s="1235">
        <v>28</v>
      </c>
      <c r="B33" s="1236" t="s">
        <v>946</v>
      </c>
      <c r="C33" s="1235"/>
    </row>
    <row r="34" spans="1:3" ht="30">
      <c r="A34" s="1235">
        <v>29</v>
      </c>
      <c r="B34" s="1236" t="s">
        <v>947</v>
      </c>
      <c r="C34" s="1235"/>
    </row>
    <row r="35" spans="1:3">
      <c r="A35" s="1235">
        <v>30</v>
      </c>
      <c r="B35" s="1236"/>
      <c r="C35" s="1235"/>
    </row>
    <row r="36" spans="1:3">
      <c r="A36" s="1235">
        <v>31</v>
      </c>
      <c r="B36" s="1236"/>
      <c r="C36" s="1235"/>
    </row>
    <row r="37" spans="1:3">
      <c r="A37" s="1235"/>
      <c r="B37" s="1237" t="s">
        <v>948</v>
      </c>
      <c r="C37" s="1235"/>
    </row>
    <row r="38" spans="1:3">
      <c r="A38" s="1235"/>
      <c r="B38" s="1236"/>
      <c r="C38" s="1235"/>
    </row>
    <row r="39" spans="1:3">
      <c r="A39" s="1235"/>
      <c r="B39" s="1236"/>
      <c r="C39" s="1235"/>
    </row>
    <row r="40" spans="1:3">
      <c r="A40" s="1235"/>
      <c r="B40" s="1236"/>
      <c r="C40" s="1235"/>
    </row>
    <row r="41" spans="1:3">
      <c r="A41" s="1235">
        <v>22</v>
      </c>
      <c r="B41" s="1236"/>
      <c r="C41" s="1235"/>
    </row>
    <row r="42" spans="1:3">
      <c r="A42" s="1226" t="s">
        <v>504</v>
      </c>
      <c r="B42" s="1226" t="s">
        <v>949</v>
      </c>
      <c r="C42" s="1226"/>
    </row>
    <row r="43" spans="1:3">
      <c r="A43" s="1229">
        <v>1</v>
      </c>
      <c r="B43" s="1233" t="s">
        <v>950</v>
      </c>
      <c r="C43" s="1229"/>
    </row>
    <row r="44" spans="1:3" ht="75">
      <c r="A44" s="1229">
        <v>2</v>
      </c>
      <c r="B44" s="1230" t="s">
        <v>951</v>
      </c>
      <c r="C44" s="1229"/>
    </row>
    <row r="45" spans="1:3">
      <c r="A45" s="1229">
        <v>3</v>
      </c>
      <c r="B45" s="1233" t="s">
        <v>952</v>
      </c>
      <c r="C45" s="1229"/>
    </row>
    <row r="46" spans="1:3">
      <c r="A46" s="1229">
        <v>4</v>
      </c>
      <c r="B46" s="1233" t="s">
        <v>953</v>
      </c>
      <c r="C46" s="1229"/>
    </row>
    <row r="47" spans="1:3">
      <c r="A47" s="1229"/>
      <c r="B47" s="1233" t="s">
        <v>954</v>
      </c>
      <c r="C47" s="1229"/>
    </row>
    <row r="48" spans="1:3">
      <c r="A48" s="1229">
        <v>5</v>
      </c>
      <c r="B48" s="1233" t="s">
        <v>955</v>
      </c>
      <c r="C48" s="1229"/>
    </row>
    <row r="49" spans="1:3" ht="30">
      <c r="A49" s="1234">
        <v>6</v>
      </c>
      <c r="B49" s="1230" t="s">
        <v>940</v>
      </c>
      <c r="C49" s="1234"/>
    </row>
    <row r="50" spans="1:3" ht="30">
      <c r="A50" s="1229"/>
      <c r="B50" s="1230" t="s">
        <v>956</v>
      </c>
      <c r="C50" s="1229"/>
    </row>
    <row r="51" spans="1:3" ht="30">
      <c r="A51" s="1229"/>
      <c r="B51" s="1230" t="s">
        <v>957</v>
      </c>
      <c r="C51" s="1229"/>
    </row>
    <row r="52" spans="1:3" ht="30">
      <c r="A52" s="1229"/>
      <c r="B52" s="1230" t="s">
        <v>958</v>
      </c>
      <c r="C52" s="1229"/>
    </row>
    <row r="53" spans="1:3">
      <c r="A53" s="1229"/>
      <c r="B53" s="1238" t="s">
        <v>941</v>
      </c>
      <c r="C53" s="1229"/>
    </row>
    <row r="54" spans="1:3">
      <c r="A54" s="1229">
        <v>7</v>
      </c>
      <c r="B54" s="1233" t="s">
        <v>942</v>
      </c>
      <c r="C54" s="1229"/>
    </row>
    <row r="55" spans="1:3">
      <c r="A55" s="1229">
        <v>8</v>
      </c>
      <c r="B55" s="1236" t="s">
        <v>943</v>
      </c>
      <c r="C55" s="1229"/>
    </row>
    <row r="56" spans="1:3">
      <c r="A56" s="1229"/>
      <c r="B56" s="1238" t="s">
        <v>944</v>
      </c>
      <c r="C56" s="1229"/>
    </row>
    <row r="57" spans="1:3">
      <c r="A57" s="1224">
        <v>9</v>
      </c>
      <c r="B57" s="1233" t="s">
        <v>959</v>
      </c>
      <c r="C57" s="1229"/>
    </row>
    <row r="58" spans="1:3">
      <c r="A58" s="1229">
        <v>10</v>
      </c>
      <c r="B58" s="1233" t="s">
        <v>960</v>
      </c>
      <c r="C58" s="1229"/>
    </row>
    <row r="59" spans="1:3">
      <c r="A59" s="1229">
        <v>11</v>
      </c>
      <c r="B59" s="1233" t="s">
        <v>961</v>
      </c>
      <c r="C59" s="1229"/>
    </row>
    <row r="60" spans="1:3">
      <c r="A60" s="1229"/>
      <c r="B60" s="1238" t="s">
        <v>948</v>
      </c>
      <c r="C60" s="1229"/>
    </row>
    <row r="61" spans="1:3">
      <c r="A61" s="1229">
        <v>12</v>
      </c>
      <c r="B61" s="1233" t="s">
        <v>962</v>
      </c>
      <c r="C61" s="1229"/>
    </row>
    <row r="62" spans="1:3">
      <c r="A62" s="1229">
        <v>13</v>
      </c>
      <c r="B62" s="1233" t="s">
        <v>963</v>
      </c>
      <c r="C62" s="1229"/>
    </row>
    <row r="63" spans="1:3">
      <c r="A63" s="1229">
        <v>14</v>
      </c>
      <c r="B63" s="1233" t="s">
        <v>964</v>
      </c>
      <c r="C63" s="1229"/>
    </row>
    <row r="64" spans="1:3">
      <c r="A64" s="1229">
        <v>15</v>
      </c>
      <c r="B64" s="1233" t="s">
        <v>965</v>
      </c>
      <c r="C64" s="1229"/>
    </row>
    <row r="65" spans="1:3">
      <c r="A65" s="1229">
        <v>16</v>
      </c>
      <c r="B65" s="1233" t="s">
        <v>966</v>
      </c>
      <c r="C65" s="1229"/>
    </row>
    <row r="66" spans="1:3">
      <c r="A66" s="1229"/>
      <c r="B66" s="1238" t="s">
        <v>370</v>
      </c>
      <c r="C66" s="1229"/>
    </row>
    <row r="67" spans="1:3">
      <c r="A67" s="1229"/>
      <c r="B67" s="1233" t="s">
        <v>967</v>
      </c>
      <c r="C67" s="1229"/>
    </row>
    <row r="68" spans="1:3">
      <c r="A68" s="1229"/>
      <c r="B68" s="1233" t="s">
        <v>968</v>
      </c>
      <c r="C68" s="1229"/>
    </row>
    <row r="69" spans="1:3">
      <c r="A69" s="1226" t="s">
        <v>507</v>
      </c>
      <c r="B69" s="1226" t="s">
        <v>925</v>
      </c>
      <c r="C69" s="1226"/>
    </row>
    <row r="70" spans="1:3">
      <c r="A70" s="1239"/>
      <c r="B70" s="1240" t="s">
        <v>969</v>
      </c>
      <c r="C70" s="1239"/>
    </row>
    <row r="71" spans="1:3">
      <c r="A71" s="1229">
        <v>1</v>
      </c>
      <c r="B71" s="1241" t="s">
        <v>970</v>
      </c>
      <c r="C71" s="1229"/>
    </row>
    <row r="72" spans="1:3">
      <c r="A72" s="1229">
        <v>2</v>
      </c>
      <c r="B72" s="1233" t="s">
        <v>971</v>
      </c>
      <c r="C72" s="1229"/>
    </row>
    <row r="73" spans="1:3">
      <c r="A73" s="1229">
        <v>3</v>
      </c>
      <c r="B73" s="1233" t="s">
        <v>972</v>
      </c>
      <c r="C73" s="1229"/>
    </row>
    <row r="74" spans="1:3">
      <c r="A74" s="1229">
        <v>4</v>
      </c>
      <c r="B74" s="1233" t="s">
        <v>973</v>
      </c>
      <c r="C74" s="1229"/>
    </row>
    <row r="75" spans="1:3" ht="30">
      <c r="A75" s="1229">
        <v>5</v>
      </c>
      <c r="B75" s="1230" t="s">
        <v>974</v>
      </c>
      <c r="C75" s="1229"/>
    </row>
    <row r="76" spans="1:3">
      <c r="A76" s="1229">
        <v>6</v>
      </c>
      <c r="B76" s="1233" t="s">
        <v>975</v>
      </c>
      <c r="C76" s="1229"/>
    </row>
    <row r="77" spans="1:3">
      <c r="A77" s="1229">
        <v>7</v>
      </c>
      <c r="B77" s="1233" t="s">
        <v>976</v>
      </c>
      <c r="C77" s="1229"/>
    </row>
    <row r="78" spans="1:3" ht="30">
      <c r="A78" s="1229">
        <v>8</v>
      </c>
      <c r="B78" s="1230" t="s">
        <v>940</v>
      </c>
      <c r="C78" s="1229"/>
    </row>
    <row r="79" spans="1:3">
      <c r="A79" s="1229"/>
      <c r="B79" s="1230" t="s">
        <v>977</v>
      </c>
      <c r="C79" s="1229"/>
    </row>
    <row r="80" spans="1:3">
      <c r="A80" s="1229"/>
      <c r="B80" s="1230" t="s">
        <v>978</v>
      </c>
      <c r="C80" s="1229"/>
    </row>
    <row r="81" spans="1:8">
      <c r="A81" s="1229"/>
      <c r="B81" s="1230" t="s">
        <v>979</v>
      </c>
      <c r="C81" s="1229"/>
    </row>
    <row r="82" spans="1:8">
      <c r="A82" s="1229"/>
      <c r="B82" s="1230"/>
      <c r="C82" s="1229"/>
    </row>
    <row r="83" spans="1:8">
      <c r="A83" s="1229"/>
      <c r="B83" s="1238" t="s">
        <v>941</v>
      </c>
      <c r="C83" s="1229"/>
    </row>
    <row r="84" spans="1:8">
      <c r="A84" s="1229">
        <v>10</v>
      </c>
      <c r="B84" s="1230" t="s">
        <v>980</v>
      </c>
      <c r="C84" s="1229"/>
    </row>
    <row r="85" spans="1:8">
      <c r="A85" s="1229">
        <v>11</v>
      </c>
      <c r="B85" s="1230" t="s">
        <v>981</v>
      </c>
      <c r="C85" s="1229"/>
    </row>
    <row r="86" spans="1:8" ht="30">
      <c r="A86" s="1229">
        <v>12</v>
      </c>
      <c r="B86" s="1230" t="s">
        <v>982</v>
      </c>
      <c r="C86" s="1229"/>
      <c r="G86" s="1224">
        <f>7*1.3+5*0.9</f>
        <v>13.6</v>
      </c>
    </row>
    <row r="87" spans="1:8" ht="30">
      <c r="A87" s="1229">
        <v>13</v>
      </c>
      <c r="B87" s="1236" t="s">
        <v>983</v>
      </c>
      <c r="C87" s="1229"/>
      <c r="H87" s="1224">
        <v>0.62</v>
      </c>
    </row>
    <row r="88" spans="1:8">
      <c r="A88" s="1229"/>
      <c r="B88" s="1238" t="s">
        <v>944</v>
      </c>
      <c r="C88" s="1229"/>
      <c r="H88" s="1224">
        <f>G86*H87</f>
        <v>8.4320000000000004</v>
      </c>
    </row>
    <row r="89" spans="1:8">
      <c r="A89" s="1229">
        <v>14</v>
      </c>
      <c r="B89" s="1230" t="s">
        <v>984</v>
      </c>
      <c r="C89" s="1229"/>
    </row>
    <row r="90" spans="1:8">
      <c r="A90" s="1229">
        <v>15</v>
      </c>
      <c r="B90" s="1230"/>
      <c r="C90" s="1229"/>
    </row>
    <row r="91" spans="1:8">
      <c r="A91" s="1229"/>
      <c r="B91" s="1238" t="s">
        <v>948</v>
      </c>
      <c r="C91" s="1229"/>
    </row>
    <row r="92" spans="1:8" ht="30">
      <c r="A92" s="1229">
        <v>14</v>
      </c>
      <c r="B92" s="1230" t="s">
        <v>985</v>
      </c>
      <c r="C92" s="1229"/>
    </row>
    <row r="93" spans="1:8">
      <c r="A93" s="1229">
        <v>15</v>
      </c>
      <c r="B93" s="1230" t="s">
        <v>986</v>
      </c>
      <c r="C93" s="1229"/>
    </row>
    <row r="94" spans="1:8">
      <c r="A94" s="1229">
        <v>16</v>
      </c>
      <c r="B94" s="1230"/>
      <c r="C94" s="1229"/>
    </row>
    <row r="95" spans="1:8">
      <c r="A95" s="1229">
        <v>17</v>
      </c>
      <c r="B95" s="1230"/>
      <c r="C95" s="1229"/>
    </row>
    <row r="96" spans="1:8">
      <c r="A96" s="1229">
        <v>18</v>
      </c>
      <c r="B96" s="1230"/>
      <c r="C96" s="1229"/>
    </row>
    <row r="97" spans="1:3">
      <c r="A97" s="1226" t="s">
        <v>513</v>
      </c>
      <c r="B97" s="1226" t="s">
        <v>987</v>
      </c>
      <c r="C97" s="1226"/>
    </row>
    <row r="98" spans="1:3">
      <c r="A98" s="1234">
        <v>1</v>
      </c>
      <c r="B98" s="1242" t="s">
        <v>988</v>
      </c>
      <c r="C98" s="1239"/>
    </row>
    <row r="99" spans="1:3">
      <c r="A99" s="1229">
        <v>2</v>
      </c>
      <c r="B99" s="1230" t="s">
        <v>989</v>
      </c>
      <c r="C99" s="1229"/>
    </row>
    <row r="100" spans="1:3">
      <c r="A100" s="1229">
        <v>3</v>
      </c>
      <c r="B100" s="1230" t="s">
        <v>990</v>
      </c>
      <c r="C100" s="1229"/>
    </row>
    <row r="101" spans="1:3">
      <c r="A101" s="1229">
        <v>4</v>
      </c>
      <c r="B101" s="1230" t="s">
        <v>991</v>
      </c>
      <c r="C101" s="1229"/>
    </row>
    <row r="102" spans="1:3">
      <c r="A102" s="1229">
        <v>5</v>
      </c>
      <c r="B102" s="1230" t="s">
        <v>992</v>
      </c>
      <c r="C102" s="1229"/>
    </row>
    <row r="103" spans="1:3">
      <c r="A103" s="1226"/>
      <c r="B103" s="1226" t="s">
        <v>993</v>
      </c>
      <c r="C103" s="1226"/>
    </row>
    <row r="104" spans="1:3">
      <c r="A104" s="1239"/>
      <c r="B104" s="1243" t="s">
        <v>994</v>
      </c>
      <c r="C104" s="1239"/>
    </row>
    <row r="105" spans="1:3">
      <c r="A105" s="1229"/>
      <c r="B105" s="1233" t="s">
        <v>995</v>
      </c>
      <c r="C105" s="1229"/>
    </row>
    <row r="106" spans="1:3">
      <c r="A106" s="1229"/>
      <c r="B106" s="1233"/>
      <c r="C106" s="1229"/>
    </row>
    <row r="107" spans="1:3">
      <c r="A107" s="1229"/>
      <c r="B107" s="1233"/>
      <c r="C107" s="1229"/>
    </row>
    <row r="108" spans="1:3">
      <c r="A108" s="1229"/>
      <c r="B108" s="1233"/>
      <c r="C108" s="1229"/>
    </row>
    <row r="109" spans="1:3">
      <c r="A109" s="1229"/>
      <c r="B109" s="1233"/>
      <c r="C109" s="1229"/>
    </row>
    <row r="110" spans="1:3">
      <c r="A110" s="1229"/>
      <c r="B110" s="1233"/>
      <c r="C110" s="1229"/>
    </row>
    <row r="111" spans="1:3">
      <c r="A111" s="1229"/>
      <c r="B111" s="1233"/>
      <c r="C111" s="1229"/>
    </row>
    <row r="112" spans="1:3">
      <c r="A112" s="1229"/>
      <c r="B112" s="1233"/>
      <c r="C112" s="1229"/>
    </row>
    <row r="113" spans="1:3">
      <c r="A113" s="1229"/>
      <c r="B113" s="1233"/>
      <c r="C113" s="1229"/>
    </row>
  </sheetData>
  <mergeCells count="1">
    <mergeCell ref="A1:C1"/>
  </mergeCells>
  <pageMargins left="0.7" right="0.7" top="0.75" bottom="0.75" header="0.3" footer="0.3"/>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FFFF00"/>
  </sheetPr>
  <dimension ref="A3:N508"/>
  <sheetViews>
    <sheetView zoomScale="73" zoomScaleNormal="73" workbookViewId="0">
      <selection activeCell="A478" sqref="A478:XFD478"/>
    </sheetView>
  </sheetViews>
  <sheetFormatPr defaultRowHeight="15" outlineLevelRow="1" outlineLevelCol="1"/>
  <cols>
    <col min="1" max="1" width="8.7109375" style="1211" customWidth="1"/>
    <col min="2" max="2" width="32.140625" style="1100" customWidth="1"/>
    <col min="3" max="3" width="60.5703125" style="1100" customWidth="1"/>
    <col min="4" max="4" width="72.85546875" style="1100" customWidth="1"/>
    <col min="5" max="5" width="9.140625" style="1212" customWidth="1"/>
    <col min="6" max="6" width="11.7109375" style="1100" customWidth="1"/>
    <col min="7" max="7" width="19.42578125" style="1213" bestFit="1" customWidth="1"/>
    <col min="8" max="8" width="8.5703125" style="1213" customWidth="1"/>
    <col min="9" max="9" width="24.140625" style="1213" customWidth="1"/>
    <col min="10" max="10" width="18.85546875" style="1213" customWidth="1"/>
    <col min="11" max="11" width="22.85546875" style="1213" bestFit="1" customWidth="1"/>
    <col min="12" max="12" width="33.28515625" style="1213" hidden="1" customWidth="1" outlineLevel="1"/>
    <col min="13" max="13" width="29.28515625" style="1100" hidden="1" customWidth="1" outlineLevel="1"/>
    <col min="14" max="14" width="35.85546875" style="1101" customWidth="1" collapsed="1"/>
    <col min="15" max="229" width="9.140625" style="1100"/>
    <col min="230" max="230" width="34.140625" style="1100" customWidth="1"/>
    <col min="231" max="231" width="56.85546875" style="1100" customWidth="1"/>
    <col min="232" max="232" width="59.42578125" style="1100" customWidth="1"/>
    <col min="233" max="233" width="9.140625" style="1100"/>
    <col min="234" max="235" width="11.85546875" style="1100" customWidth="1"/>
    <col min="236" max="236" width="18.140625" style="1100" customWidth="1"/>
    <col min="237" max="237" width="17.85546875" style="1100" customWidth="1"/>
    <col min="238" max="238" width="15.28515625" style="1100" customWidth="1"/>
    <col min="239" max="240" width="17.85546875" style="1100" customWidth="1"/>
    <col min="241" max="243" width="17.5703125" style="1100" customWidth="1"/>
    <col min="244" max="485" width="9.140625" style="1100"/>
    <col min="486" max="486" width="34.140625" style="1100" customWidth="1"/>
    <col min="487" max="487" width="56.85546875" style="1100" customWidth="1"/>
    <col min="488" max="488" width="59.42578125" style="1100" customWidth="1"/>
    <col min="489" max="489" width="9.140625" style="1100"/>
    <col min="490" max="491" width="11.85546875" style="1100" customWidth="1"/>
    <col min="492" max="492" width="18.140625" style="1100" customWidth="1"/>
    <col min="493" max="493" width="17.85546875" style="1100" customWidth="1"/>
    <col min="494" max="494" width="15.28515625" style="1100" customWidth="1"/>
    <col min="495" max="496" width="17.85546875" style="1100" customWidth="1"/>
    <col min="497" max="499" width="17.5703125" style="1100" customWidth="1"/>
    <col min="500" max="741" width="9.140625" style="1100"/>
    <col min="742" max="742" width="34.140625" style="1100" customWidth="1"/>
    <col min="743" max="743" width="56.85546875" style="1100" customWidth="1"/>
    <col min="744" max="744" width="59.42578125" style="1100" customWidth="1"/>
    <col min="745" max="745" width="9.140625" style="1100"/>
    <col min="746" max="747" width="11.85546875" style="1100" customWidth="1"/>
    <col min="748" max="748" width="18.140625" style="1100" customWidth="1"/>
    <col min="749" max="749" width="17.85546875" style="1100" customWidth="1"/>
    <col min="750" max="750" width="15.28515625" style="1100" customWidth="1"/>
    <col min="751" max="752" width="17.85546875" style="1100" customWidth="1"/>
    <col min="753" max="755" width="17.5703125" style="1100" customWidth="1"/>
    <col min="756" max="997" width="9.140625" style="1100"/>
    <col min="998" max="998" width="34.140625" style="1100" customWidth="1"/>
    <col min="999" max="999" width="56.85546875" style="1100" customWidth="1"/>
    <col min="1000" max="1000" width="59.42578125" style="1100" customWidth="1"/>
    <col min="1001" max="1001" width="9.140625" style="1100"/>
    <col min="1002" max="1003" width="11.85546875" style="1100" customWidth="1"/>
    <col min="1004" max="1004" width="18.140625" style="1100" customWidth="1"/>
    <col min="1005" max="1005" width="17.85546875" style="1100" customWidth="1"/>
    <col min="1006" max="1006" width="15.28515625" style="1100" customWidth="1"/>
    <col min="1007" max="1008" width="17.85546875" style="1100" customWidth="1"/>
    <col min="1009" max="1011" width="17.5703125" style="1100" customWidth="1"/>
    <col min="1012" max="1253" width="9.140625" style="1100"/>
    <col min="1254" max="1254" width="34.140625" style="1100" customWidth="1"/>
    <col min="1255" max="1255" width="56.85546875" style="1100" customWidth="1"/>
    <col min="1256" max="1256" width="59.42578125" style="1100" customWidth="1"/>
    <col min="1257" max="1257" width="9.140625" style="1100"/>
    <col min="1258" max="1259" width="11.85546875" style="1100" customWidth="1"/>
    <col min="1260" max="1260" width="18.140625" style="1100" customWidth="1"/>
    <col min="1261" max="1261" width="17.85546875" style="1100" customWidth="1"/>
    <col min="1262" max="1262" width="15.28515625" style="1100" customWidth="1"/>
    <col min="1263" max="1264" width="17.85546875" style="1100" customWidth="1"/>
    <col min="1265" max="1267" width="17.5703125" style="1100" customWidth="1"/>
    <col min="1268" max="1509" width="9.140625" style="1100"/>
    <col min="1510" max="1510" width="34.140625" style="1100" customWidth="1"/>
    <col min="1511" max="1511" width="56.85546875" style="1100" customWidth="1"/>
    <col min="1512" max="1512" width="59.42578125" style="1100" customWidth="1"/>
    <col min="1513" max="1513" width="9.140625" style="1100"/>
    <col min="1514" max="1515" width="11.85546875" style="1100" customWidth="1"/>
    <col min="1516" max="1516" width="18.140625" style="1100" customWidth="1"/>
    <col min="1517" max="1517" width="17.85546875" style="1100" customWidth="1"/>
    <col min="1518" max="1518" width="15.28515625" style="1100" customWidth="1"/>
    <col min="1519" max="1520" width="17.85546875" style="1100" customWidth="1"/>
    <col min="1521" max="1523" width="17.5703125" style="1100" customWidth="1"/>
    <col min="1524" max="1765" width="9.140625" style="1100"/>
    <col min="1766" max="1766" width="34.140625" style="1100" customWidth="1"/>
    <col min="1767" max="1767" width="56.85546875" style="1100" customWidth="1"/>
    <col min="1768" max="1768" width="59.42578125" style="1100" customWidth="1"/>
    <col min="1769" max="1769" width="9.140625" style="1100"/>
    <col min="1770" max="1771" width="11.85546875" style="1100" customWidth="1"/>
    <col min="1772" max="1772" width="18.140625" style="1100" customWidth="1"/>
    <col min="1773" max="1773" width="17.85546875" style="1100" customWidth="1"/>
    <col min="1774" max="1774" width="15.28515625" style="1100" customWidth="1"/>
    <col min="1775" max="1776" width="17.85546875" style="1100" customWidth="1"/>
    <col min="1777" max="1779" width="17.5703125" style="1100" customWidth="1"/>
    <col min="1780" max="2021" width="9.140625" style="1100"/>
    <col min="2022" max="2022" width="34.140625" style="1100" customWidth="1"/>
    <col min="2023" max="2023" width="56.85546875" style="1100" customWidth="1"/>
    <col min="2024" max="2024" width="59.42578125" style="1100" customWidth="1"/>
    <col min="2025" max="2025" width="9.140625" style="1100"/>
    <col min="2026" max="2027" width="11.85546875" style="1100" customWidth="1"/>
    <col min="2028" max="2028" width="18.140625" style="1100" customWidth="1"/>
    <col min="2029" max="2029" width="17.85546875" style="1100" customWidth="1"/>
    <col min="2030" max="2030" width="15.28515625" style="1100" customWidth="1"/>
    <col min="2031" max="2032" width="17.85546875" style="1100" customWidth="1"/>
    <col min="2033" max="2035" width="17.5703125" style="1100" customWidth="1"/>
    <col min="2036" max="2277" width="9.140625" style="1100"/>
    <col min="2278" max="2278" width="34.140625" style="1100" customWidth="1"/>
    <col min="2279" max="2279" width="56.85546875" style="1100" customWidth="1"/>
    <col min="2280" max="2280" width="59.42578125" style="1100" customWidth="1"/>
    <col min="2281" max="2281" width="9.140625" style="1100"/>
    <col min="2282" max="2283" width="11.85546875" style="1100" customWidth="1"/>
    <col min="2284" max="2284" width="18.140625" style="1100" customWidth="1"/>
    <col min="2285" max="2285" width="17.85546875" style="1100" customWidth="1"/>
    <col min="2286" max="2286" width="15.28515625" style="1100" customWidth="1"/>
    <col min="2287" max="2288" width="17.85546875" style="1100" customWidth="1"/>
    <col min="2289" max="2291" width="17.5703125" style="1100" customWidth="1"/>
    <col min="2292" max="2533" width="9.140625" style="1100"/>
    <col min="2534" max="2534" width="34.140625" style="1100" customWidth="1"/>
    <col min="2535" max="2535" width="56.85546875" style="1100" customWidth="1"/>
    <col min="2536" max="2536" width="59.42578125" style="1100" customWidth="1"/>
    <col min="2537" max="2537" width="9.140625" style="1100"/>
    <col min="2538" max="2539" width="11.85546875" style="1100" customWidth="1"/>
    <col min="2540" max="2540" width="18.140625" style="1100" customWidth="1"/>
    <col min="2541" max="2541" width="17.85546875" style="1100" customWidth="1"/>
    <col min="2542" max="2542" width="15.28515625" style="1100" customWidth="1"/>
    <col min="2543" max="2544" width="17.85546875" style="1100" customWidth="1"/>
    <col min="2545" max="2547" width="17.5703125" style="1100" customWidth="1"/>
    <col min="2548" max="2789" width="9.140625" style="1100"/>
    <col min="2790" max="2790" width="34.140625" style="1100" customWidth="1"/>
    <col min="2791" max="2791" width="56.85546875" style="1100" customWidth="1"/>
    <col min="2792" max="2792" width="59.42578125" style="1100" customWidth="1"/>
    <col min="2793" max="2793" width="9.140625" style="1100"/>
    <col min="2794" max="2795" width="11.85546875" style="1100" customWidth="1"/>
    <col min="2796" max="2796" width="18.140625" style="1100" customWidth="1"/>
    <col min="2797" max="2797" width="17.85546875" style="1100" customWidth="1"/>
    <col min="2798" max="2798" width="15.28515625" style="1100" customWidth="1"/>
    <col min="2799" max="2800" width="17.85546875" style="1100" customWidth="1"/>
    <col min="2801" max="2803" width="17.5703125" style="1100" customWidth="1"/>
    <col min="2804" max="3045" width="9.140625" style="1100"/>
    <col min="3046" max="3046" width="34.140625" style="1100" customWidth="1"/>
    <col min="3047" max="3047" width="56.85546875" style="1100" customWidth="1"/>
    <col min="3048" max="3048" width="59.42578125" style="1100" customWidth="1"/>
    <col min="3049" max="3049" width="9.140625" style="1100"/>
    <col min="3050" max="3051" width="11.85546875" style="1100" customWidth="1"/>
    <col min="3052" max="3052" width="18.140625" style="1100" customWidth="1"/>
    <col min="3053" max="3053" width="17.85546875" style="1100" customWidth="1"/>
    <col min="3054" max="3054" width="15.28515625" style="1100" customWidth="1"/>
    <col min="3055" max="3056" width="17.85546875" style="1100" customWidth="1"/>
    <col min="3057" max="3059" width="17.5703125" style="1100" customWidth="1"/>
    <col min="3060" max="3301" width="9.140625" style="1100"/>
    <col min="3302" max="3302" width="34.140625" style="1100" customWidth="1"/>
    <col min="3303" max="3303" width="56.85546875" style="1100" customWidth="1"/>
    <col min="3304" max="3304" width="59.42578125" style="1100" customWidth="1"/>
    <col min="3305" max="3305" width="9.140625" style="1100"/>
    <col min="3306" max="3307" width="11.85546875" style="1100" customWidth="1"/>
    <col min="3308" max="3308" width="18.140625" style="1100" customWidth="1"/>
    <col min="3309" max="3309" width="17.85546875" style="1100" customWidth="1"/>
    <col min="3310" max="3310" width="15.28515625" style="1100" customWidth="1"/>
    <col min="3311" max="3312" width="17.85546875" style="1100" customWidth="1"/>
    <col min="3313" max="3315" width="17.5703125" style="1100" customWidth="1"/>
    <col min="3316" max="3557" width="9.140625" style="1100"/>
    <col min="3558" max="3558" width="34.140625" style="1100" customWidth="1"/>
    <col min="3559" max="3559" width="56.85546875" style="1100" customWidth="1"/>
    <col min="3560" max="3560" width="59.42578125" style="1100" customWidth="1"/>
    <col min="3561" max="3561" width="9.140625" style="1100"/>
    <col min="3562" max="3563" width="11.85546875" style="1100" customWidth="1"/>
    <col min="3564" max="3564" width="18.140625" style="1100" customWidth="1"/>
    <col min="3565" max="3565" width="17.85546875" style="1100" customWidth="1"/>
    <col min="3566" max="3566" width="15.28515625" style="1100" customWidth="1"/>
    <col min="3567" max="3568" width="17.85546875" style="1100" customWidth="1"/>
    <col min="3569" max="3571" width="17.5703125" style="1100" customWidth="1"/>
    <col min="3572" max="3813" width="9.140625" style="1100"/>
    <col min="3814" max="3814" width="34.140625" style="1100" customWidth="1"/>
    <col min="3815" max="3815" width="56.85546875" style="1100" customWidth="1"/>
    <col min="3816" max="3816" width="59.42578125" style="1100" customWidth="1"/>
    <col min="3817" max="3817" width="9.140625" style="1100"/>
    <col min="3818" max="3819" width="11.85546875" style="1100" customWidth="1"/>
    <col min="3820" max="3820" width="18.140625" style="1100" customWidth="1"/>
    <col min="3821" max="3821" width="17.85546875" style="1100" customWidth="1"/>
    <col min="3822" max="3822" width="15.28515625" style="1100" customWidth="1"/>
    <col min="3823" max="3824" width="17.85546875" style="1100" customWidth="1"/>
    <col min="3825" max="3827" width="17.5703125" style="1100" customWidth="1"/>
    <col min="3828" max="4069" width="9.140625" style="1100"/>
    <col min="4070" max="4070" width="34.140625" style="1100" customWidth="1"/>
    <col min="4071" max="4071" width="56.85546875" style="1100" customWidth="1"/>
    <col min="4072" max="4072" width="59.42578125" style="1100" customWidth="1"/>
    <col min="4073" max="4073" width="9.140625" style="1100"/>
    <col min="4074" max="4075" width="11.85546875" style="1100" customWidth="1"/>
    <col min="4076" max="4076" width="18.140625" style="1100" customWidth="1"/>
    <col min="4077" max="4077" width="17.85546875" style="1100" customWidth="1"/>
    <col min="4078" max="4078" width="15.28515625" style="1100" customWidth="1"/>
    <col min="4079" max="4080" width="17.85546875" style="1100" customWidth="1"/>
    <col min="4081" max="4083" width="17.5703125" style="1100" customWidth="1"/>
    <col min="4084" max="4325" width="9.140625" style="1100"/>
    <col min="4326" max="4326" width="34.140625" style="1100" customWidth="1"/>
    <col min="4327" max="4327" width="56.85546875" style="1100" customWidth="1"/>
    <col min="4328" max="4328" width="59.42578125" style="1100" customWidth="1"/>
    <col min="4329" max="4329" width="9.140625" style="1100"/>
    <col min="4330" max="4331" width="11.85546875" style="1100" customWidth="1"/>
    <col min="4332" max="4332" width="18.140625" style="1100" customWidth="1"/>
    <col min="4333" max="4333" width="17.85546875" style="1100" customWidth="1"/>
    <col min="4334" max="4334" width="15.28515625" style="1100" customWidth="1"/>
    <col min="4335" max="4336" width="17.85546875" style="1100" customWidth="1"/>
    <col min="4337" max="4339" width="17.5703125" style="1100" customWidth="1"/>
    <col min="4340" max="4581" width="9.140625" style="1100"/>
    <col min="4582" max="4582" width="34.140625" style="1100" customWidth="1"/>
    <col min="4583" max="4583" width="56.85546875" style="1100" customWidth="1"/>
    <col min="4584" max="4584" width="59.42578125" style="1100" customWidth="1"/>
    <col min="4585" max="4585" width="9.140625" style="1100"/>
    <col min="4586" max="4587" width="11.85546875" style="1100" customWidth="1"/>
    <col min="4588" max="4588" width="18.140625" style="1100" customWidth="1"/>
    <col min="4589" max="4589" width="17.85546875" style="1100" customWidth="1"/>
    <col min="4590" max="4590" width="15.28515625" style="1100" customWidth="1"/>
    <col min="4591" max="4592" width="17.85546875" style="1100" customWidth="1"/>
    <col min="4593" max="4595" width="17.5703125" style="1100" customWidth="1"/>
    <col min="4596" max="4837" width="9.140625" style="1100"/>
    <col min="4838" max="4838" width="34.140625" style="1100" customWidth="1"/>
    <col min="4839" max="4839" width="56.85546875" style="1100" customWidth="1"/>
    <col min="4840" max="4840" width="59.42578125" style="1100" customWidth="1"/>
    <col min="4841" max="4841" width="9.140625" style="1100"/>
    <col min="4842" max="4843" width="11.85546875" style="1100" customWidth="1"/>
    <col min="4844" max="4844" width="18.140625" style="1100" customWidth="1"/>
    <col min="4845" max="4845" width="17.85546875" style="1100" customWidth="1"/>
    <col min="4846" max="4846" width="15.28515625" style="1100" customWidth="1"/>
    <col min="4847" max="4848" width="17.85546875" style="1100" customWidth="1"/>
    <col min="4849" max="4851" width="17.5703125" style="1100" customWidth="1"/>
    <col min="4852" max="5093" width="9.140625" style="1100"/>
    <col min="5094" max="5094" width="34.140625" style="1100" customWidth="1"/>
    <col min="5095" max="5095" width="56.85546875" style="1100" customWidth="1"/>
    <col min="5096" max="5096" width="59.42578125" style="1100" customWidth="1"/>
    <col min="5097" max="5097" width="9.140625" style="1100"/>
    <col min="5098" max="5099" width="11.85546875" style="1100" customWidth="1"/>
    <col min="5100" max="5100" width="18.140625" style="1100" customWidth="1"/>
    <col min="5101" max="5101" width="17.85546875" style="1100" customWidth="1"/>
    <col min="5102" max="5102" width="15.28515625" style="1100" customWidth="1"/>
    <col min="5103" max="5104" width="17.85546875" style="1100" customWidth="1"/>
    <col min="5105" max="5107" width="17.5703125" style="1100" customWidth="1"/>
    <col min="5108" max="5349" width="9.140625" style="1100"/>
    <col min="5350" max="5350" width="34.140625" style="1100" customWidth="1"/>
    <col min="5351" max="5351" width="56.85546875" style="1100" customWidth="1"/>
    <col min="5352" max="5352" width="59.42578125" style="1100" customWidth="1"/>
    <col min="5353" max="5353" width="9.140625" style="1100"/>
    <col min="5354" max="5355" width="11.85546875" style="1100" customWidth="1"/>
    <col min="5356" max="5356" width="18.140625" style="1100" customWidth="1"/>
    <col min="5357" max="5357" width="17.85546875" style="1100" customWidth="1"/>
    <col min="5358" max="5358" width="15.28515625" style="1100" customWidth="1"/>
    <col min="5359" max="5360" width="17.85546875" style="1100" customWidth="1"/>
    <col min="5361" max="5363" width="17.5703125" style="1100" customWidth="1"/>
    <col min="5364" max="5605" width="9.140625" style="1100"/>
    <col min="5606" max="5606" width="34.140625" style="1100" customWidth="1"/>
    <col min="5607" max="5607" width="56.85546875" style="1100" customWidth="1"/>
    <col min="5608" max="5608" width="59.42578125" style="1100" customWidth="1"/>
    <col min="5609" max="5609" width="9.140625" style="1100"/>
    <col min="5610" max="5611" width="11.85546875" style="1100" customWidth="1"/>
    <col min="5612" max="5612" width="18.140625" style="1100" customWidth="1"/>
    <col min="5613" max="5613" width="17.85546875" style="1100" customWidth="1"/>
    <col min="5614" max="5614" width="15.28515625" style="1100" customWidth="1"/>
    <col min="5615" max="5616" width="17.85546875" style="1100" customWidth="1"/>
    <col min="5617" max="5619" width="17.5703125" style="1100" customWidth="1"/>
    <col min="5620" max="5861" width="9.140625" style="1100"/>
    <col min="5862" max="5862" width="34.140625" style="1100" customWidth="1"/>
    <col min="5863" max="5863" width="56.85546875" style="1100" customWidth="1"/>
    <col min="5864" max="5864" width="59.42578125" style="1100" customWidth="1"/>
    <col min="5865" max="5865" width="9.140625" style="1100"/>
    <col min="5866" max="5867" width="11.85546875" style="1100" customWidth="1"/>
    <col min="5868" max="5868" width="18.140625" style="1100" customWidth="1"/>
    <col min="5869" max="5869" width="17.85546875" style="1100" customWidth="1"/>
    <col min="5870" max="5870" width="15.28515625" style="1100" customWidth="1"/>
    <col min="5871" max="5872" width="17.85546875" style="1100" customWidth="1"/>
    <col min="5873" max="5875" width="17.5703125" style="1100" customWidth="1"/>
    <col min="5876" max="6117" width="9.140625" style="1100"/>
    <col min="6118" max="6118" width="34.140625" style="1100" customWidth="1"/>
    <col min="6119" max="6119" width="56.85546875" style="1100" customWidth="1"/>
    <col min="6120" max="6120" width="59.42578125" style="1100" customWidth="1"/>
    <col min="6121" max="6121" width="9.140625" style="1100"/>
    <col min="6122" max="6123" width="11.85546875" style="1100" customWidth="1"/>
    <col min="6124" max="6124" width="18.140625" style="1100" customWidth="1"/>
    <col min="6125" max="6125" width="17.85546875" style="1100" customWidth="1"/>
    <col min="6126" max="6126" width="15.28515625" style="1100" customWidth="1"/>
    <col min="6127" max="6128" width="17.85546875" style="1100" customWidth="1"/>
    <col min="6129" max="6131" width="17.5703125" style="1100" customWidth="1"/>
    <col min="6132" max="6373" width="9.140625" style="1100"/>
    <col min="6374" max="6374" width="34.140625" style="1100" customWidth="1"/>
    <col min="6375" max="6375" width="56.85546875" style="1100" customWidth="1"/>
    <col min="6376" max="6376" width="59.42578125" style="1100" customWidth="1"/>
    <col min="6377" max="6377" width="9.140625" style="1100"/>
    <col min="6378" max="6379" width="11.85546875" style="1100" customWidth="1"/>
    <col min="6380" max="6380" width="18.140625" style="1100" customWidth="1"/>
    <col min="6381" max="6381" width="17.85546875" style="1100" customWidth="1"/>
    <col min="6382" max="6382" width="15.28515625" style="1100" customWidth="1"/>
    <col min="6383" max="6384" width="17.85546875" style="1100" customWidth="1"/>
    <col min="6385" max="6387" width="17.5703125" style="1100" customWidth="1"/>
    <col min="6388" max="6629" width="9.140625" style="1100"/>
    <col min="6630" max="6630" width="34.140625" style="1100" customWidth="1"/>
    <col min="6631" max="6631" width="56.85546875" style="1100" customWidth="1"/>
    <col min="6632" max="6632" width="59.42578125" style="1100" customWidth="1"/>
    <col min="6633" max="6633" width="9.140625" style="1100"/>
    <col min="6634" max="6635" width="11.85546875" style="1100" customWidth="1"/>
    <col min="6636" max="6636" width="18.140625" style="1100" customWidth="1"/>
    <col min="6637" max="6637" width="17.85546875" style="1100" customWidth="1"/>
    <col min="6638" max="6638" width="15.28515625" style="1100" customWidth="1"/>
    <col min="6639" max="6640" width="17.85546875" style="1100" customWidth="1"/>
    <col min="6641" max="6643" width="17.5703125" style="1100" customWidth="1"/>
    <col min="6644" max="6885" width="9.140625" style="1100"/>
    <col min="6886" max="6886" width="34.140625" style="1100" customWidth="1"/>
    <col min="6887" max="6887" width="56.85546875" style="1100" customWidth="1"/>
    <col min="6888" max="6888" width="59.42578125" style="1100" customWidth="1"/>
    <col min="6889" max="6889" width="9.140625" style="1100"/>
    <col min="6890" max="6891" width="11.85546875" style="1100" customWidth="1"/>
    <col min="6892" max="6892" width="18.140625" style="1100" customWidth="1"/>
    <col min="6893" max="6893" width="17.85546875" style="1100" customWidth="1"/>
    <col min="6894" max="6894" width="15.28515625" style="1100" customWidth="1"/>
    <col min="6895" max="6896" width="17.85546875" style="1100" customWidth="1"/>
    <col min="6897" max="6899" width="17.5703125" style="1100" customWidth="1"/>
    <col min="6900" max="7141" width="9.140625" style="1100"/>
    <col min="7142" max="7142" width="34.140625" style="1100" customWidth="1"/>
    <col min="7143" max="7143" width="56.85546875" style="1100" customWidth="1"/>
    <col min="7144" max="7144" width="59.42578125" style="1100" customWidth="1"/>
    <col min="7145" max="7145" width="9.140625" style="1100"/>
    <col min="7146" max="7147" width="11.85546875" style="1100" customWidth="1"/>
    <col min="7148" max="7148" width="18.140625" style="1100" customWidth="1"/>
    <col min="7149" max="7149" width="17.85546875" style="1100" customWidth="1"/>
    <col min="7150" max="7150" width="15.28515625" style="1100" customWidth="1"/>
    <col min="7151" max="7152" width="17.85546875" style="1100" customWidth="1"/>
    <col min="7153" max="7155" width="17.5703125" style="1100" customWidth="1"/>
    <col min="7156" max="7397" width="9.140625" style="1100"/>
    <col min="7398" max="7398" width="34.140625" style="1100" customWidth="1"/>
    <col min="7399" max="7399" width="56.85546875" style="1100" customWidth="1"/>
    <col min="7400" max="7400" width="59.42578125" style="1100" customWidth="1"/>
    <col min="7401" max="7401" width="9.140625" style="1100"/>
    <col min="7402" max="7403" width="11.85546875" style="1100" customWidth="1"/>
    <col min="7404" max="7404" width="18.140625" style="1100" customWidth="1"/>
    <col min="7405" max="7405" width="17.85546875" style="1100" customWidth="1"/>
    <col min="7406" max="7406" width="15.28515625" style="1100" customWidth="1"/>
    <col min="7407" max="7408" width="17.85546875" style="1100" customWidth="1"/>
    <col min="7409" max="7411" width="17.5703125" style="1100" customWidth="1"/>
    <col min="7412" max="7653" width="9.140625" style="1100"/>
    <col min="7654" max="7654" width="34.140625" style="1100" customWidth="1"/>
    <col min="7655" max="7655" width="56.85546875" style="1100" customWidth="1"/>
    <col min="7656" max="7656" width="59.42578125" style="1100" customWidth="1"/>
    <col min="7657" max="7657" width="9.140625" style="1100"/>
    <col min="7658" max="7659" width="11.85546875" style="1100" customWidth="1"/>
    <col min="7660" max="7660" width="18.140625" style="1100" customWidth="1"/>
    <col min="7661" max="7661" width="17.85546875" style="1100" customWidth="1"/>
    <col min="7662" max="7662" width="15.28515625" style="1100" customWidth="1"/>
    <col min="7663" max="7664" width="17.85546875" style="1100" customWidth="1"/>
    <col min="7665" max="7667" width="17.5703125" style="1100" customWidth="1"/>
    <col min="7668" max="7909" width="9.140625" style="1100"/>
    <col min="7910" max="7910" width="34.140625" style="1100" customWidth="1"/>
    <col min="7911" max="7911" width="56.85546875" style="1100" customWidth="1"/>
    <col min="7912" max="7912" width="59.42578125" style="1100" customWidth="1"/>
    <col min="7913" max="7913" width="9.140625" style="1100"/>
    <col min="7914" max="7915" width="11.85546875" style="1100" customWidth="1"/>
    <col min="7916" max="7916" width="18.140625" style="1100" customWidth="1"/>
    <col min="7917" max="7917" width="17.85546875" style="1100" customWidth="1"/>
    <col min="7918" max="7918" width="15.28515625" style="1100" customWidth="1"/>
    <col min="7919" max="7920" width="17.85546875" style="1100" customWidth="1"/>
    <col min="7921" max="7923" width="17.5703125" style="1100" customWidth="1"/>
    <col min="7924" max="8165" width="9.140625" style="1100"/>
    <col min="8166" max="8166" width="34.140625" style="1100" customWidth="1"/>
    <col min="8167" max="8167" width="56.85546875" style="1100" customWidth="1"/>
    <col min="8168" max="8168" width="59.42578125" style="1100" customWidth="1"/>
    <col min="8169" max="8169" width="9.140625" style="1100"/>
    <col min="8170" max="8171" width="11.85546875" style="1100" customWidth="1"/>
    <col min="8172" max="8172" width="18.140625" style="1100" customWidth="1"/>
    <col min="8173" max="8173" width="17.85546875" style="1100" customWidth="1"/>
    <col min="8174" max="8174" width="15.28515625" style="1100" customWidth="1"/>
    <col min="8175" max="8176" width="17.85546875" style="1100" customWidth="1"/>
    <col min="8177" max="8179" width="17.5703125" style="1100" customWidth="1"/>
    <col min="8180" max="8421" width="9.140625" style="1100"/>
    <col min="8422" max="8422" width="34.140625" style="1100" customWidth="1"/>
    <col min="8423" max="8423" width="56.85546875" style="1100" customWidth="1"/>
    <col min="8424" max="8424" width="59.42578125" style="1100" customWidth="1"/>
    <col min="8425" max="8425" width="9.140625" style="1100"/>
    <col min="8426" max="8427" width="11.85546875" style="1100" customWidth="1"/>
    <col min="8428" max="8428" width="18.140625" style="1100" customWidth="1"/>
    <col min="8429" max="8429" width="17.85546875" style="1100" customWidth="1"/>
    <col min="8430" max="8430" width="15.28515625" style="1100" customWidth="1"/>
    <col min="8431" max="8432" width="17.85546875" style="1100" customWidth="1"/>
    <col min="8433" max="8435" width="17.5703125" style="1100" customWidth="1"/>
    <col min="8436" max="8677" width="9.140625" style="1100"/>
    <col min="8678" max="8678" width="34.140625" style="1100" customWidth="1"/>
    <col min="8679" max="8679" width="56.85546875" style="1100" customWidth="1"/>
    <col min="8680" max="8680" width="59.42578125" style="1100" customWidth="1"/>
    <col min="8681" max="8681" width="9.140625" style="1100"/>
    <col min="8682" max="8683" width="11.85546875" style="1100" customWidth="1"/>
    <col min="8684" max="8684" width="18.140625" style="1100" customWidth="1"/>
    <col min="8685" max="8685" width="17.85546875" style="1100" customWidth="1"/>
    <col min="8686" max="8686" width="15.28515625" style="1100" customWidth="1"/>
    <col min="8687" max="8688" width="17.85546875" style="1100" customWidth="1"/>
    <col min="8689" max="8691" width="17.5703125" style="1100" customWidth="1"/>
    <col min="8692" max="8933" width="9.140625" style="1100"/>
    <col min="8934" max="8934" width="34.140625" style="1100" customWidth="1"/>
    <col min="8935" max="8935" width="56.85546875" style="1100" customWidth="1"/>
    <col min="8936" max="8936" width="59.42578125" style="1100" customWidth="1"/>
    <col min="8937" max="8937" width="9.140625" style="1100"/>
    <col min="8938" max="8939" width="11.85546875" style="1100" customWidth="1"/>
    <col min="8940" max="8940" width="18.140625" style="1100" customWidth="1"/>
    <col min="8941" max="8941" width="17.85546875" style="1100" customWidth="1"/>
    <col min="8942" max="8942" width="15.28515625" style="1100" customWidth="1"/>
    <col min="8943" max="8944" width="17.85546875" style="1100" customWidth="1"/>
    <col min="8945" max="8947" width="17.5703125" style="1100" customWidth="1"/>
    <col min="8948" max="9189" width="9.140625" style="1100"/>
    <col min="9190" max="9190" width="34.140625" style="1100" customWidth="1"/>
    <col min="9191" max="9191" width="56.85546875" style="1100" customWidth="1"/>
    <col min="9192" max="9192" width="59.42578125" style="1100" customWidth="1"/>
    <col min="9193" max="9193" width="9.140625" style="1100"/>
    <col min="9194" max="9195" width="11.85546875" style="1100" customWidth="1"/>
    <col min="9196" max="9196" width="18.140625" style="1100" customWidth="1"/>
    <col min="9197" max="9197" width="17.85546875" style="1100" customWidth="1"/>
    <col min="9198" max="9198" width="15.28515625" style="1100" customWidth="1"/>
    <col min="9199" max="9200" width="17.85546875" style="1100" customWidth="1"/>
    <col min="9201" max="9203" width="17.5703125" style="1100" customWidth="1"/>
    <col min="9204" max="9445" width="9.140625" style="1100"/>
    <col min="9446" max="9446" width="34.140625" style="1100" customWidth="1"/>
    <col min="9447" max="9447" width="56.85546875" style="1100" customWidth="1"/>
    <col min="9448" max="9448" width="59.42578125" style="1100" customWidth="1"/>
    <col min="9449" max="9449" width="9.140625" style="1100"/>
    <col min="9450" max="9451" width="11.85546875" style="1100" customWidth="1"/>
    <col min="9452" max="9452" width="18.140625" style="1100" customWidth="1"/>
    <col min="9453" max="9453" width="17.85546875" style="1100" customWidth="1"/>
    <col min="9454" max="9454" width="15.28515625" style="1100" customWidth="1"/>
    <col min="9455" max="9456" width="17.85546875" style="1100" customWidth="1"/>
    <col min="9457" max="9459" width="17.5703125" style="1100" customWidth="1"/>
    <col min="9460" max="9701" width="9.140625" style="1100"/>
    <col min="9702" max="9702" width="34.140625" style="1100" customWidth="1"/>
    <col min="9703" max="9703" width="56.85546875" style="1100" customWidth="1"/>
    <col min="9704" max="9704" width="59.42578125" style="1100" customWidth="1"/>
    <col min="9705" max="9705" width="9.140625" style="1100"/>
    <col min="9706" max="9707" width="11.85546875" style="1100" customWidth="1"/>
    <col min="9708" max="9708" width="18.140625" style="1100" customWidth="1"/>
    <col min="9709" max="9709" width="17.85546875" style="1100" customWidth="1"/>
    <col min="9710" max="9710" width="15.28515625" style="1100" customWidth="1"/>
    <col min="9711" max="9712" width="17.85546875" style="1100" customWidth="1"/>
    <col min="9713" max="9715" width="17.5703125" style="1100" customWidth="1"/>
    <col min="9716" max="9957" width="9.140625" style="1100"/>
    <col min="9958" max="9958" width="34.140625" style="1100" customWidth="1"/>
    <col min="9959" max="9959" width="56.85546875" style="1100" customWidth="1"/>
    <col min="9960" max="9960" width="59.42578125" style="1100" customWidth="1"/>
    <col min="9961" max="9961" width="9.140625" style="1100"/>
    <col min="9962" max="9963" width="11.85546875" style="1100" customWidth="1"/>
    <col min="9964" max="9964" width="18.140625" style="1100" customWidth="1"/>
    <col min="9965" max="9965" width="17.85546875" style="1100" customWidth="1"/>
    <col min="9966" max="9966" width="15.28515625" style="1100" customWidth="1"/>
    <col min="9967" max="9968" width="17.85546875" style="1100" customWidth="1"/>
    <col min="9969" max="9971" width="17.5703125" style="1100" customWidth="1"/>
    <col min="9972" max="10213" width="9.140625" style="1100"/>
    <col min="10214" max="10214" width="34.140625" style="1100" customWidth="1"/>
    <col min="10215" max="10215" width="56.85546875" style="1100" customWidth="1"/>
    <col min="10216" max="10216" width="59.42578125" style="1100" customWidth="1"/>
    <col min="10217" max="10217" width="9.140625" style="1100"/>
    <col min="10218" max="10219" width="11.85546875" style="1100" customWidth="1"/>
    <col min="10220" max="10220" width="18.140625" style="1100" customWidth="1"/>
    <col min="10221" max="10221" width="17.85546875" style="1100" customWidth="1"/>
    <col min="10222" max="10222" width="15.28515625" style="1100" customWidth="1"/>
    <col min="10223" max="10224" width="17.85546875" style="1100" customWidth="1"/>
    <col min="10225" max="10227" width="17.5703125" style="1100" customWidth="1"/>
    <col min="10228" max="10469" width="9.140625" style="1100"/>
    <col min="10470" max="10470" width="34.140625" style="1100" customWidth="1"/>
    <col min="10471" max="10471" width="56.85546875" style="1100" customWidth="1"/>
    <col min="10472" max="10472" width="59.42578125" style="1100" customWidth="1"/>
    <col min="10473" max="10473" width="9.140625" style="1100"/>
    <col min="10474" max="10475" width="11.85546875" style="1100" customWidth="1"/>
    <col min="10476" max="10476" width="18.140625" style="1100" customWidth="1"/>
    <col min="10477" max="10477" width="17.85546875" style="1100" customWidth="1"/>
    <col min="10478" max="10478" width="15.28515625" style="1100" customWidth="1"/>
    <col min="10479" max="10480" width="17.85546875" style="1100" customWidth="1"/>
    <col min="10481" max="10483" width="17.5703125" style="1100" customWidth="1"/>
    <col min="10484" max="10725" width="9.140625" style="1100"/>
    <col min="10726" max="10726" width="34.140625" style="1100" customWidth="1"/>
    <col min="10727" max="10727" width="56.85546875" style="1100" customWidth="1"/>
    <col min="10728" max="10728" width="59.42578125" style="1100" customWidth="1"/>
    <col min="10729" max="10729" width="9.140625" style="1100"/>
    <col min="10730" max="10731" width="11.85546875" style="1100" customWidth="1"/>
    <col min="10732" max="10732" width="18.140625" style="1100" customWidth="1"/>
    <col min="10733" max="10733" width="17.85546875" style="1100" customWidth="1"/>
    <col min="10734" max="10734" width="15.28515625" style="1100" customWidth="1"/>
    <col min="10735" max="10736" width="17.85546875" style="1100" customWidth="1"/>
    <col min="10737" max="10739" width="17.5703125" style="1100" customWidth="1"/>
    <col min="10740" max="10981" width="9.140625" style="1100"/>
    <col min="10982" max="10982" width="34.140625" style="1100" customWidth="1"/>
    <col min="10983" max="10983" width="56.85546875" style="1100" customWidth="1"/>
    <col min="10984" max="10984" width="59.42578125" style="1100" customWidth="1"/>
    <col min="10985" max="10985" width="9.140625" style="1100"/>
    <col min="10986" max="10987" width="11.85546875" style="1100" customWidth="1"/>
    <col min="10988" max="10988" width="18.140625" style="1100" customWidth="1"/>
    <col min="10989" max="10989" width="17.85546875" style="1100" customWidth="1"/>
    <col min="10990" max="10990" width="15.28515625" style="1100" customWidth="1"/>
    <col min="10991" max="10992" width="17.85546875" style="1100" customWidth="1"/>
    <col min="10993" max="10995" width="17.5703125" style="1100" customWidth="1"/>
    <col min="10996" max="11237" width="9.140625" style="1100"/>
    <col min="11238" max="11238" width="34.140625" style="1100" customWidth="1"/>
    <col min="11239" max="11239" width="56.85546875" style="1100" customWidth="1"/>
    <col min="11240" max="11240" width="59.42578125" style="1100" customWidth="1"/>
    <col min="11241" max="11241" width="9.140625" style="1100"/>
    <col min="11242" max="11243" width="11.85546875" style="1100" customWidth="1"/>
    <col min="11244" max="11244" width="18.140625" style="1100" customWidth="1"/>
    <col min="11245" max="11245" width="17.85546875" style="1100" customWidth="1"/>
    <col min="11246" max="11246" width="15.28515625" style="1100" customWidth="1"/>
    <col min="11247" max="11248" width="17.85546875" style="1100" customWidth="1"/>
    <col min="11249" max="11251" width="17.5703125" style="1100" customWidth="1"/>
    <col min="11252" max="11493" width="9.140625" style="1100"/>
    <col min="11494" max="11494" width="34.140625" style="1100" customWidth="1"/>
    <col min="11495" max="11495" width="56.85546875" style="1100" customWidth="1"/>
    <col min="11496" max="11496" width="59.42578125" style="1100" customWidth="1"/>
    <col min="11497" max="11497" width="9.140625" style="1100"/>
    <col min="11498" max="11499" width="11.85546875" style="1100" customWidth="1"/>
    <col min="11500" max="11500" width="18.140625" style="1100" customWidth="1"/>
    <col min="11501" max="11501" width="17.85546875" style="1100" customWidth="1"/>
    <col min="11502" max="11502" width="15.28515625" style="1100" customWidth="1"/>
    <col min="11503" max="11504" width="17.85546875" style="1100" customWidth="1"/>
    <col min="11505" max="11507" width="17.5703125" style="1100" customWidth="1"/>
    <col min="11508" max="11749" width="9.140625" style="1100"/>
    <col min="11750" max="11750" width="34.140625" style="1100" customWidth="1"/>
    <col min="11751" max="11751" width="56.85546875" style="1100" customWidth="1"/>
    <col min="11752" max="11752" width="59.42578125" style="1100" customWidth="1"/>
    <col min="11753" max="11753" width="9.140625" style="1100"/>
    <col min="11754" max="11755" width="11.85546875" style="1100" customWidth="1"/>
    <col min="11756" max="11756" width="18.140625" style="1100" customWidth="1"/>
    <col min="11757" max="11757" width="17.85546875" style="1100" customWidth="1"/>
    <col min="11758" max="11758" width="15.28515625" style="1100" customWidth="1"/>
    <col min="11759" max="11760" width="17.85546875" style="1100" customWidth="1"/>
    <col min="11761" max="11763" width="17.5703125" style="1100" customWidth="1"/>
    <col min="11764" max="12005" width="9.140625" style="1100"/>
    <col min="12006" max="12006" width="34.140625" style="1100" customWidth="1"/>
    <col min="12007" max="12007" width="56.85546875" style="1100" customWidth="1"/>
    <col min="12008" max="12008" width="59.42578125" style="1100" customWidth="1"/>
    <col min="12009" max="12009" width="9.140625" style="1100"/>
    <col min="12010" max="12011" width="11.85546875" style="1100" customWidth="1"/>
    <col min="12012" max="12012" width="18.140625" style="1100" customWidth="1"/>
    <col min="12013" max="12013" width="17.85546875" style="1100" customWidth="1"/>
    <col min="12014" max="12014" width="15.28515625" style="1100" customWidth="1"/>
    <col min="12015" max="12016" width="17.85546875" style="1100" customWidth="1"/>
    <col min="12017" max="12019" width="17.5703125" style="1100" customWidth="1"/>
    <col min="12020" max="12261" width="9.140625" style="1100"/>
    <col min="12262" max="12262" width="34.140625" style="1100" customWidth="1"/>
    <col min="12263" max="12263" width="56.85546875" style="1100" customWidth="1"/>
    <col min="12264" max="12264" width="59.42578125" style="1100" customWidth="1"/>
    <col min="12265" max="12265" width="9.140625" style="1100"/>
    <col min="12266" max="12267" width="11.85546875" style="1100" customWidth="1"/>
    <col min="12268" max="12268" width="18.140625" style="1100" customWidth="1"/>
    <col min="12269" max="12269" width="17.85546875" style="1100" customWidth="1"/>
    <col min="12270" max="12270" width="15.28515625" style="1100" customWidth="1"/>
    <col min="12271" max="12272" width="17.85546875" style="1100" customWidth="1"/>
    <col min="12273" max="12275" width="17.5703125" style="1100" customWidth="1"/>
    <col min="12276" max="12517" width="9.140625" style="1100"/>
    <col min="12518" max="12518" width="34.140625" style="1100" customWidth="1"/>
    <col min="12519" max="12519" width="56.85546875" style="1100" customWidth="1"/>
    <col min="12520" max="12520" width="59.42578125" style="1100" customWidth="1"/>
    <col min="12521" max="12521" width="9.140625" style="1100"/>
    <col min="12522" max="12523" width="11.85546875" style="1100" customWidth="1"/>
    <col min="12524" max="12524" width="18.140625" style="1100" customWidth="1"/>
    <col min="12525" max="12525" width="17.85546875" style="1100" customWidth="1"/>
    <col min="12526" max="12526" width="15.28515625" style="1100" customWidth="1"/>
    <col min="12527" max="12528" width="17.85546875" style="1100" customWidth="1"/>
    <col min="12529" max="12531" width="17.5703125" style="1100" customWidth="1"/>
    <col min="12532" max="12773" width="9.140625" style="1100"/>
    <col min="12774" max="12774" width="34.140625" style="1100" customWidth="1"/>
    <col min="12775" max="12775" width="56.85546875" style="1100" customWidth="1"/>
    <col min="12776" max="12776" width="59.42578125" style="1100" customWidth="1"/>
    <col min="12777" max="12777" width="9.140625" style="1100"/>
    <col min="12778" max="12779" width="11.85546875" style="1100" customWidth="1"/>
    <col min="12780" max="12780" width="18.140625" style="1100" customWidth="1"/>
    <col min="12781" max="12781" width="17.85546875" style="1100" customWidth="1"/>
    <col min="12782" max="12782" width="15.28515625" style="1100" customWidth="1"/>
    <col min="12783" max="12784" width="17.85546875" style="1100" customWidth="1"/>
    <col min="12785" max="12787" width="17.5703125" style="1100" customWidth="1"/>
    <col min="12788" max="13029" width="9.140625" style="1100"/>
    <col min="13030" max="13030" width="34.140625" style="1100" customWidth="1"/>
    <col min="13031" max="13031" width="56.85546875" style="1100" customWidth="1"/>
    <col min="13032" max="13032" width="59.42578125" style="1100" customWidth="1"/>
    <col min="13033" max="13033" width="9.140625" style="1100"/>
    <col min="13034" max="13035" width="11.85546875" style="1100" customWidth="1"/>
    <col min="13036" max="13036" width="18.140625" style="1100" customWidth="1"/>
    <col min="13037" max="13037" width="17.85546875" style="1100" customWidth="1"/>
    <col min="13038" max="13038" width="15.28515625" style="1100" customWidth="1"/>
    <col min="13039" max="13040" width="17.85546875" style="1100" customWidth="1"/>
    <col min="13041" max="13043" width="17.5703125" style="1100" customWidth="1"/>
    <col min="13044" max="13285" width="9.140625" style="1100"/>
    <col min="13286" max="13286" width="34.140625" style="1100" customWidth="1"/>
    <col min="13287" max="13287" width="56.85546875" style="1100" customWidth="1"/>
    <col min="13288" max="13288" width="59.42578125" style="1100" customWidth="1"/>
    <col min="13289" max="13289" width="9.140625" style="1100"/>
    <col min="13290" max="13291" width="11.85546875" style="1100" customWidth="1"/>
    <col min="13292" max="13292" width="18.140625" style="1100" customWidth="1"/>
    <col min="13293" max="13293" width="17.85546875" style="1100" customWidth="1"/>
    <col min="13294" max="13294" width="15.28515625" style="1100" customWidth="1"/>
    <col min="13295" max="13296" width="17.85546875" style="1100" customWidth="1"/>
    <col min="13297" max="13299" width="17.5703125" style="1100" customWidth="1"/>
    <col min="13300" max="13541" width="9.140625" style="1100"/>
    <col min="13542" max="13542" width="34.140625" style="1100" customWidth="1"/>
    <col min="13543" max="13543" width="56.85546875" style="1100" customWidth="1"/>
    <col min="13544" max="13544" width="59.42578125" style="1100" customWidth="1"/>
    <col min="13545" max="13545" width="9.140625" style="1100"/>
    <col min="13546" max="13547" width="11.85546875" style="1100" customWidth="1"/>
    <col min="13548" max="13548" width="18.140625" style="1100" customWidth="1"/>
    <col min="13549" max="13549" width="17.85546875" style="1100" customWidth="1"/>
    <col min="13550" max="13550" width="15.28515625" style="1100" customWidth="1"/>
    <col min="13551" max="13552" width="17.85546875" style="1100" customWidth="1"/>
    <col min="13553" max="13555" width="17.5703125" style="1100" customWidth="1"/>
    <col min="13556" max="13797" width="9.140625" style="1100"/>
    <col min="13798" max="13798" width="34.140625" style="1100" customWidth="1"/>
    <col min="13799" max="13799" width="56.85546875" style="1100" customWidth="1"/>
    <col min="13800" max="13800" width="59.42578125" style="1100" customWidth="1"/>
    <col min="13801" max="13801" width="9.140625" style="1100"/>
    <col min="13802" max="13803" width="11.85546875" style="1100" customWidth="1"/>
    <col min="13804" max="13804" width="18.140625" style="1100" customWidth="1"/>
    <col min="13805" max="13805" width="17.85546875" style="1100" customWidth="1"/>
    <col min="13806" max="13806" width="15.28515625" style="1100" customWidth="1"/>
    <col min="13807" max="13808" width="17.85546875" style="1100" customWidth="1"/>
    <col min="13809" max="13811" width="17.5703125" style="1100" customWidth="1"/>
    <col min="13812" max="14053" width="9.140625" style="1100"/>
    <col min="14054" max="14054" width="34.140625" style="1100" customWidth="1"/>
    <col min="14055" max="14055" width="56.85546875" style="1100" customWidth="1"/>
    <col min="14056" max="14056" width="59.42578125" style="1100" customWidth="1"/>
    <col min="14057" max="14057" width="9.140625" style="1100"/>
    <col min="14058" max="14059" width="11.85546875" style="1100" customWidth="1"/>
    <col min="14060" max="14060" width="18.140625" style="1100" customWidth="1"/>
    <col min="14061" max="14061" width="17.85546875" style="1100" customWidth="1"/>
    <col min="14062" max="14062" width="15.28515625" style="1100" customWidth="1"/>
    <col min="14063" max="14064" width="17.85546875" style="1100" customWidth="1"/>
    <col min="14065" max="14067" width="17.5703125" style="1100" customWidth="1"/>
    <col min="14068" max="14309" width="9.140625" style="1100"/>
    <col min="14310" max="14310" width="34.140625" style="1100" customWidth="1"/>
    <col min="14311" max="14311" width="56.85546875" style="1100" customWidth="1"/>
    <col min="14312" max="14312" width="59.42578125" style="1100" customWidth="1"/>
    <col min="14313" max="14313" width="9.140625" style="1100"/>
    <col min="14314" max="14315" width="11.85546875" style="1100" customWidth="1"/>
    <col min="14316" max="14316" width="18.140625" style="1100" customWidth="1"/>
    <col min="14317" max="14317" width="17.85546875" style="1100" customWidth="1"/>
    <col min="14318" max="14318" width="15.28515625" style="1100" customWidth="1"/>
    <col min="14319" max="14320" width="17.85546875" style="1100" customWidth="1"/>
    <col min="14321" max="14323" width="17.5703125" style="1100" customWidth="1"/>
    <col min="14324" max="14565" width="9.140625" style="1100"/>
    <col min="14566" max="14566" width="34.140625" style="1100" customWidth="1"/>
    <col min="14567" max="14567" width="56.85546875" style="1100" customWidth="1"/>
    <col min="14568" max="14568" width="59.42578125" style="1100" customWidth="1"/>
    <col min="14569" max="14569" width="9.140625" style="1100"/>
    <col min="14570" max="14571" width="11.85546875" style="1100" customWidth="1"/>
    <col min="14572" max="14572" width="18.140625" style="1100" customWidth="1"/>
    <col min="14573" max="14573" width="17.85546875" style="1100" customWidth="1"/>
    <col min="14574" max="14574" width="15.28515625" style="1100" customWidth="1"/>
    <col min="14575" max="14576" width="17.85546875" style="1100" customWidth="1"/>
    <col min="14577" max="14579" width="17.5703125" style="1100" customWidth="1"/>
    <col min="14580" max="14821" width="9.140625" style="1100"/>
    <col min="14822" max="14822" width="34.140625" style="1100" customWidth="1"/>
    <col min="14823" max="14823" width="56.85546875" style="1100" customWidth="1"/>
    <col min="14824" max="14824" width="59.42578125" style="1100" customWidth="1"/>
    <col min="14825" max="14825" width="9.140625" style="1100"/>
    <col min="14826" max="14827" width="11.85546875" style="1100" customWidth="1"/>
    <col min="14828" max="14828" width="18.140625" style="1100" customWidth="1"/>
    <col min="14829" max="14829" width="17.85546875" style="1100" customWidth="1"/>
    <col min="14830" max="14830" width="15.28515625" style="1100" customWidth="1"/>
    <col min="14831" max="14832" width="17.85546875" style="1100" customWidth="1"/>
    <col min="14833" max="14835" width="17.5703125" style="1100" customWidth="1"/>
    <col min="14836" max="15077" width="9.140625" style="1100"/>
    <col min="15078" max="15078" width="34.140625" style="1100" customWidth="1"/>
    <col min="15079" max="15079" width="56.85546875" style="1100" customWidth="1"/>
    <col min="15080" max="15080" width="59.42578125" style="1100" customWidth="1"/>
    <col min="15081" max="15081" width="9.140625" style="1100"/>
    <col min="15082" max="15083" width="11.85546875" style="1100" customWidth="1"/>
    <col min="15084" max="15084" width="18.140625" style="1100" customWidth="1"/>
    <col min="15085" max="15085" width="17.85546875" style="1100" customWidth="1"/>
    <col min="15086" max="15086" width="15.28515625" style="1100" customWidth="1"/>
    <col min="15087" max="15088" width="17.85546875" style="1100" customWidth="1"/>
    <col min="15089" max="15091" width="17.5703125" style="1100" customWidth="1"/>
    <col min="15092" max="15333" width="9.140625" style="1100"/>
    <col min="15334" max="15334" width="34.140625" style="1100" customWidth="1"/>
    <col min="15335" max="15335" width="56.85546875" style="1100" customWidth="1"/>
    <col min="15336" max="15336" width="59.42578125" style="1100" customWidth="1"/>
    <col min="15337" max="15337" width="9.140625" style="1100"/>
    <col min="15338" max="15339" width="11.85546875" style="1100" customWidth="1"/>
    <col min="15340" max="15340" width="18.140625" style="1100" customWidth="1"/>
    <col min="15341" max="15341" width="17.85546875" style="1100" customWidth="1"/>
    <col min="15342" max="15342" width="15.28515625" style="1100" customWidth="1"/>
    <col min="15343" max="15344" width="17.85546875" style="1100" customWidth="1"/>
    <col min="15345" max="15347" width="17.5703125" style="1100" customWidth="1"/>
    <col min="15348" max="15589" width="9.140625" style="1100"/>
    <col min="15590" max="15590" width="34.140625" style="1100" customWidth="1"/>
    <col min="15591" max="15591" width="56.85546875" style="1100" customWidth="1"/>
    <col min="15592" max="15592" width="59.42578125" style="1100" customWidth="1"/>
    <col min="15593" max="15593" width="9.140625" style="1100"/>
    <col min="15594" max="15595" width="11.85546875" style="1100" customWidth="1"/>
    <col min="15596" max="15596" width="18.140625" style="1100" customWidth="1"/>
    <col min="15597" max="15597" width="17.85546875" style="1100" customWidth="1"/>
    <col min="15598" max="15598" width="15.28515625" style="1100" customWidth="1"/>
    <col min="15599" max="15600" width="17.85546875" style="1100" customWidth="1"/>
    <col min="15601" max="15603" width="17.5703125" style="1100" customWidth="1"/>
    <col min="15604" max="15845" width="9.140625" style="1100"/>
    <col min="15846" max="15846" width="34.140625" style="1100" customWidth="1"/>
    <col min="15847" max="15847" width="56.85546875" style="1100" customWidth="1"/>
    <col min="15848" max="15848" width="59.42578125" style="1100" customWidth="1"/>
    <col min="15849" max="15849" width="9.140625" style="1100"/>
    <col min="15850" max="15851" width="11.85546875" style="1100" customWidth="1"/>
    <col min="15852" max="15852" width="18.140625" style="1100" customWidth="1"/>
    <col min="15853" max="15853" width="17.85546875" style="1100" customWidth="1"/>
    <col min="15854" max="15854" width="15.28515625" style="1100" customWidth="1"/>
    <col min="15855" max="15856" width="17.85546875" style="1100" customWidth="1"/>
    <col min="15857" max="15859" width="17.5703125" style="1100" customWidth="1"/>
    <col min="15860" max="16101" width="9.140625" style="1100"/>
    <col min="16102" max="16102" width="34.140625" style="1100" customWidth="1"/>
    <col min="16103" max="16103" width="56.85546875" style="1100" customWidth="1"/>
    <col min="16104" max="16104" width="59.42578125" style="1100" customWidth="1"/>
    <col min="16105" max="16105" width="9.140625" style="1100"/>
    <col min="16106" max="16107" width="11.85546875" style="1100" customWidth="1"/>
    <col min="16108" max="16108" width="18.140625" style="1100" customWidth="1"/>
    <col min="16109" max="16109" width="17.85546875" style="1100" customWidth="1"/>
    <col min="16110" max="16110" width="15.28515625" style="1100" customWidth="1"/>
    <col min="16111" max="16112" width="17.85546875" style="1100" customWidth="1"/>
    <col min="16113" max="16115" width="17.5703125" style="1100" customWidth="1"/>
    <col min="16116" max="16384" width="9.140625" style="1100"/>
  </cols>
  <sheetData>
    <row r="3" spans="1:14" ht="25.5">
      <c r="A3" s="1707" t="s">
        <v>996</v>
      </c>
      <c r="B3" s="1707"/>
      <c r="C3" s="1707"/>
      <c r="D3" s="1707"/>
      <c r="E3" s="1707"/>
      <c r="F3" s="1707"/>
      <c r="G3" s="1707"/>
      <c r="H3" s="1707"/>
      <c r="I3" s="1707"/>
      <c r="J3" s="1707"/>
      <c r="K3" s="1707"/>
      <c r="L3" s="1099"/>
    </row>
    <row r="4" spans="1:14" ht="15.75">
      <c r="A4" s="1708" t="s">
        <v>997</v>
      </c>
      <c r="B4" s="1708"/>
      <c r="C4" s="1708"/>
      <c r="D4" s="1708"/>
      <c r="E4" s="1708"/>
      <c r="F4" s="1708"/>
      <c r="G4" s="1708"/>
      <c r="H4" s="1708"/>
      <c r="I4" s="1708"/>
      <c r="J4" s="1708"/>
      <c r="K4" s="1708"/>
      <c r="L4" s="1102"/>
    </row>
    <row r="5" spans="1:14" ht="15.75">
      <c r="A5" s="1708" t="s">
        <v>998</v>
      </c>
      <c r="B5" s="1708"/>
      <c r="C5" s="1708"/>
      <c r="D5" s="1708"/>
      <c r="E5" s="1708"/>
      <c r="F5" s="1708"/>
      <c r="G5" s="1708"/>
      <c r="H5" s="1708"/>
      <c r="I5" s="1708"/>
      <c r="J5" s="1708"/>
      <c r="K5" s="1708"/>
      <c r="L5" s="1102"/>
    </row>
    <row r="6" spans="1:14" ht="15.75">
      <c r="A6" s="1103"/>
      <c r="B6" s="1103"/>
      <c r="C6" s="1103"/>
      <c r="D6" s="1103"/>
      <c r="E6" s="1104"/>
      <c r="F6" s="1103"/>
      <c r="G6" s="1105"/>
      <c r="H6" s="1105"/>
      <c r="I6" s="1105"/>
      <c r="J6" s="1105"/>
      <c r="K6" s="1105"/>
      <c r="L6" s="1105"/>
    </row>
    <row r="7" spans="1:14" s="1111" customFormat="1" ht="31.5">
      <c r="A7" s="933" t="s">
        <v>51</v>
      </c>
      <c r="B7" s="933" t="s">
        <v>614</v>
      </c>
      <c r="C7" s="933" t="s">
        <v>999</v>
      </c>
      <c r="D7" s="933" t="s">
        <v>1000</v>
      </c>
      <c r="E7" s="933" t="s">
        <v>1001</v>
      </c>
      <c r="F7" s="933" t="s">
        <v>1002</v>
      </c>
      <c r="G7" s="1106" t="s">
        <v>768</v>
      </c>
      <c r="H7" s="1107" t="s">
        <v>1003</v>
      </c>
      <c r="I7" s="1108" t="s">
        <v>769</v>
      </c>
      <c r="J7" s="1108" t="s">
        <v>1004</v>
      </c>
      <c r="K7" s="1108" t="s">
        <v>769</v>
      </c>
      <c r="L7" s="1109" t="s">
        <v>1005</v>
      </c>
      <c r="M7" s="1109" t="s">
        <v>1006</v>
      </c>
      <c r="N7" s="1110" t="s">
        <v>898</v>
      </c>
    </row>
    <row r="8" spans="1:14" s="1111" customFormat="1" ht="15.75">
      <c r="A8" s="933"/>
      <c r="B8" s="933"/>
      <c r="C8" s="933"/>
      <c r="D8" s="933"/>
      <c r="E8" s="933"/>
      <c r="F8" s="933"/>
      <c r="G8" s="1108" t="s">
        <v>1007</v>
      </c>
      <c r="H8" s="1112"/>
      <c r="I8" s="1108" t="s">
        <v>1007</v>
      </c>
      <c r="J8" s="1108" t="s">
        <v>1008</v>
      </c>
      <c r="K8" s="1108" t="s">
        <v>1009</v>
      </c>
      <c r="L8" s="1109"/>
      <c r="N8" s="1113"/>
    </row>
    <row r="9" spans="1:14" ht="15.75">
      <c r="A9" s="940">
        <v>1</v>
      </c>
      <c r="B9" s="941" t="s">
        <v>1010</v>
      </c>
      <c r="C9" s="942"/>
      <c r="D9" s="942"/>
      <c r="E9" s="940" t="s">
        <v>1011</v>
      </c>
      <c r="F9" s="940">
        <v>45</v>
      </c>
      <c r="G9" s="1114"/>
      <c r="H9" s="1114"/>
      <c r="I9" s="1114"/>
      <c r="J9" s="1114"/>
      <c r="K9" s="1114"/>
      <c r="L9" s="1109"/>
    </row>
    <row r="10" spans="1:14" ht="214.5" customHeight="1" outlineLevel="1">
      <c r="A10" s="940">
        <v>1</v>
      </c>
      <c r="B10" s="944" t="s">
        <v>1012</v>
      </c>
      <c r="C10" s="1115" t="s">
        <v>1013</v>
      </c>
      <c r="D10" s="1115" t="s">
        <v>1013</v>
      </c>
      <c r="E10" s="946" t="s">
        <v>1014</v>
      </c>
      <c r="F10" s="947">
        <f>23*F9</f>
        <v>1035</v>
      </c>
      <c r="G10" s="1116">
        <v>1830000</v>
      </c>
      <c r="H10" s="1117">
        <v>0.08</v>
      </c>
      <c r="I10" s="950">
        <f t="shared" ref="I10:I74" si="0">F10*G10</f>
        <v>1894050000</v>
      </c>
      <c r="J10" s="950">
        <f>+ROUND(G10*1.08,0)</f>
        <v>1976400</v>
      </c>
      <c r="K10" s="950">
        <f>+ROUND(J10*F10,0)</f>
        <v>2045574000</v>
      </c>
      <c r="L10" s="1118"/>
      <c r="M10" s="1119"/>
      <c r="N10" s="1120"/>
    </row>
    <row r="11" spans="1:14" ht="142.5" customHeight="1" outlineLevel="1">
      <c r="A11" s="940">
        <f t="shared" ref="A11:A20" si="1">A10+1</f>
        <v>2</v>
      </c>
      <c r="B11" s="944" t="s">
        <v>1015</v>
      </c>
      <c r="C11" s="951" t="s">
        <v>1016</v>
      </c>
      <c r="D11" s="951" t="s">
        <v>1016</v>
      </c>
      <c r="E11" s="946" t="s">
        <v>1014</v>
      </c>
      <c r="F11" s="952">
        <f>F9*45</f>
        <v>2025</v>
      </c>
      <c r="G11" s="1116">
        <v>485000</v>
      </c>
      <c r="H11" s="1117">
        <v>0.08</v>
      </c>
      <c r="I11" s="950">
        <f t="shared" si="0"/>
        <v>982125000</v>
      </c>
      <c r="J11" s="950">
        <f>+ROUND(G11*1.08,0)</f>
        <v>523800</v>
      </c>
      <c r="K11" s="950">
        <f t="shared" ref="K11:K75" si="2">+ROUND(J11*F11,0)</f>
        <v>1060695000</v>
      </c>
      <c r="L11" s="1118"/>
      <c r="M11" s="1119"/>
      <c r="N11" s="1120"/>
    </row>
    <row r="12" spans="1:14" ht="130.5" customHeight="1" outlineLevel="1">
      <c r="A12" s="940">
        <f t="shared" si="1"/>
        <v>3</v>
      </c>
      <c r="B12" s="944" t="s">
        <v>1017</v>
      </c>
      <c r="C12" s="953" t="s">
        <v>1018</v>
      </c>
      <c r="D12" s="953" t="s">
        <v>1018</v>
      </c>
      <c r="E12" s="1709" t="s">
        <v>680</v>
      </c>
      <c r="F12" s="1711">
        <f>F9</f>
        <v>45</v>
      </c>
      <c r="G12" s="1121">
        <v>3740000</v>
      </c>
      <c r="H12" s="1117">
        <v>0.1</v>
      </c>
      <c r="I12" s="950">
        <f t="shared" si="0"/>
        <v>168300000</v>
      </c>
      <c r="J12" s="950">
        <f>+ROUND(G12*1.08,0)</f>
        <v>4039200</v>
      </c>
      <c r="K12" s="950">
        <f t="shared" si="2"/>
        <v>181764000</v>
      </c>
      <c r="L12" s="1122"/>
      <c r="M12" s="1119"/>
      <c r="N12" s="1120"/>
    </row>
    <row r="13" spans="1:14" ht="101.25" customHeight="1" outlineLevel="1">
      <c r="A13" s="940">
        <f t="shared" si="1"/>
        <v>4</v>
      </c>
      <c r="B13" s="944" t="s">
        <v>1019</v>
      </c>
      <c r="C13" s="944" t="s">
        <v>1020</v>
      </c>
      <c r="D13" s="944" t="s">
        <v>1020</v>
      </c>
      <c r="E13" s="1710"/>
      <c r="F13" s="1712"/>
      <c r="G13" s="1123"/>
      <c r="H13" s="1117"/>
      <c r="I13" s="950"/>
      <c r="J13" s="950"/>
      <c r="K13" s="950"/>
      <c r="L13" s="1124"/>
      <c r="M13" s="1119"/>
      <c r="N13" s="1120"/>
    </row>
    <row r="14" spans="1:14" ht="242.25" customHeight="1" outlineLevel="1">
      <c r="A14" s="940">
        <f t="shared" si="1"/>
        <v>5</v>
      </c>
      <c r="B14" s="944" t="s">
        <v>1021</v>
      </c>
      <c r="C14" s="953" t="s">
        <v>1022</v>
      </c>
      <c r="D14" s="953" t="s">
        <v>1022</v>
      </c>
      <c r="E14" s="961" t="s">
        <v>627</v>
      </c>
      <c r="F14" s="962">
        <f>F9</f>
        <v>45</v>
      </c>
      <c r="G14" s="1116">
        <v>5600000</v>
      </c>
      <c r="H14" s="1117">
        <v>0.1</v>
      </c>
      <c r="I14" s="950">
        <f t="shared" si="0"/>
        <v>252000000</v>
      </c>
      <c r="J14" s="950">
        <f>+ROUND(G14*1.08,0)</f>
        <v>6048000</v>
      </c>
      <c r="K14" s="950">
        <f t="shared" si="2"/>
        <v>272160000</v>
      </c>
      <c r="L14" s="1118"/>
      <c r="M14" s="1119"/>
      <c r="N14" s="1120"/>
    </row>
    <row r="15" spans="1:14" ht="207.75" customHeight="1" outlineLevel="1">
      <c r="A15" s="940">
        <f t="shared" si="1"/>
        <v>6</v>
      </c>
      <c r="B15" s="944" t="s">
        <v>1023</v>
      </c>
      <c r="C15" s="963" t="s">
        <v>1024</v>
      </c>
      <c r="D15" s="963" t="s">
        <v>1024</v>
      </c>
      <c r="E15" s="961" t="s">
        <v>680</v>
      </c>
      <c r="F15" s="962">
        <f t="shared" ref="F15:F17" si="3">F14</f>
        <v>45</v>
      </c>
      <c r="G15" s="1116">
        <v>8880000</v>
      </c>
      <c r="H15" s="1117">
        <v>0.1</v>
      </c>
      <c r="I15" s="950">
        <f t="shared" si="0"/>
        <v>399600000</v>
      </c>
      <c r="J15" s="950">
        <f>+ROUND(G15*1.08,0)</f>
        <v>9590400</v>
      </c>
      <c r="K15" s="950">
        <f t="shared" si="2"/>
        <v>431568000</v>
      </c>
      <c r="L15" s="1118"/>
      <c r="M15" s="1116"/>
      <c r="N15" s="1125"/>
    </row>
    <row r="16" spans="1:14" ht="78" customHeight="1" outlineLevel="1">
      <c r="A16" s="940">
        <f t="shared" si="1"/>
        <v>7</v>
      </c>
      <c r="B16" s="944" t="s">
        <v>1025</v>
      </c>
      <c r="C16" s="1126" t="s">
        <v>1026</v>
      </c>
      <c r="D16" s="1126" t="s">
        <v>1027</v>
      </c>
      <c r="E16" s="961" t="s">
        <v>1028</v>
      </c>
      <c r="F16" s="962">
        <f t="shared" si="3"/>
        <v>45</v>
      </c>
      <c r="G16" s="1116">
        <v>650000</v>
      </c>
      <c r="H16" s="1117">
        <v>0.1</v>
      </c>
      <c r="I16" s="950">
        <f t="shared" si="0"/>
        <v>29250000</v>
      </c>
      <c r="J16" s="950">
        <f t="shared" ref="J16:J79" si="4">+ROUND(G16*1.1,0)</f>
        <v>715000</v>
      </c>
      <c r="K16" s="950">
        <f t="shared" si="2"/>
        <v>32175000</v>
      </c>
      <c r="L16" s="1118"/>
      <c r="M16" s="1119"/>
      <c r="N16" s="1120"/>
    </row>
    <row r="17" spans="1:14" ht="76.5" customHeight="1" outlineLevel="1">
      <c r="A17" s="940">
        <f t="shared" si="1"/>
        <v>8</v>
      </c>
      <c r="B17" s="944" t="s">
        <v>1029</v>
      </c>
      <c r="C17" s="1127" t="s">
        <v>1030</v>
      </c>
      <c r="D17" s="1127" t="s">
        <v>1030</v>
      </c>
      <c r="E17" s="961" t="s">
        <v>627</v>
      </c>
      <c r="F17" s="962">
        <f t="shared" si="3"/>
        <v>45</v>
      </c>
      <c r="G17" s="1116">
        <v>130000</v>
      </c>
      <c r="H17" s="1117">
        <v>0.1</v>
      </c>
      <c r="I17" s="950">
        <f t="shared" si="0"/>
        <v>5850000</v>
      </c>
      <c r="J17" s="950">
        <f t="shared" si="4"/>
        <v>143000</v>
      </c>
      <c r="K17" s="950">
        <f t="shared" si="2"/>
        <v>6435000</v>
      </c>
      <c r="L17" s="1118"/>
      <c r="M17" s="1119"/>
      <c r="N17" s="1120"/>
    </row>
    <row r="18" spans="1:14" ht="196.5" customHeight="1" outlineLevel="1">
      <c r="A18" s="940">
        <f t="shared" si="1"/>
        <v>9</v>
      </c>
      <c r="B18" s="944" t="s">
        <v>1031</v>
      </c>
      <c r="C18" s="953" t="s">
        <v>1032</v>
      </c>
      <c r="D18" s="953" t="s">
        <v>1032</v>
      </c>
      <c r="E18" s="940" t="s">
        <v>1033</v>
      </c>
      <c r="F18" s="962">
        <f>F9</f>
        <v>45</v>
      </c>
      <c r="G18" s="1116">
        <v>6800000</v>
      </c>
      <c r="H18" s="1117">
        <v>0.05</v>
      </c>
      <c r="I18" s="950">
        <f t="shared" si="0"/>
        <v>306000000</v>
      </c>
      <c r="J18" s="950">
        <f t="shared" si="4"/>
        <v>7480000</v>
      </c>
      <c r="K18" s="950">
        <f t="shared" si="2"/>
        <v>336600000</v>
      </c>
      <c r="L18" s="1118"/>
      <c r="M18" s="1119"/>
      <c r="N18" s="1120"/>
    </row>
    <row r="19" spans="1:14" ht="47.25" outlineLevel="1">
      <c r="A19" s="940">
        <f t="shared" si="1"/>
        <v>10</v>
      </c>
      <c r="B19" s="944" t="s">
        <v>1034</v>
      </c>
      <c r="C19" s="966" t="s">
        <v>1035</v>
      </c>
      <c r="D19" s="966" t="s">
        <v>1035</v>
      </c>
      <c r="E19" s="940" t="s">
        <v>1033</v>
      </c>
      <c r="F19" s="962">
        <f>F9</f>
        <v>45</v>
      </c>
      <c r="G19" s="1116">
        <v>130000</v>
      </c>
      <c r="H19" s="1117">
        <v>0.1</v>
      </c>
      <c r="I19" s="950">
        <f t="shared" si="0"/>
        <v>5850000</v>
      </c>
      <c r="J19" s="950">
        <f t="shared" si="4"/>
        <v>143000</v>
      </c>
      <c r="K19" s="950">
        <f t="shared" si="2"/>
        <v>6435000</v>
      </c>
      <c r="L19" s="1118"/>
      <c r="M19" s="1119"/>
      <c r="N19" s="1120"/>
    </row>
    <row r="20" spans="1:14" ht="409.6" outlineLevel="1" thickBot="1">
      <c r="A20" s="940">
        <f t="shared" si="1"/>
        <v>11</v>
      </c>
      <c r="B20" s="967" t="s">
        <v>1036</v>
      </c>
      <c r="C20" s="1126" t="s">
        <v>1037</v>
      </c>
      <c r="D20" s="1128" t="s">
        <v>1038</v>
      </c>
      <c r="E20" s="940" t="s">
        <v>627</v>
      </c>
      <c r="F20" s="962">
        <v>37</v>
      </c>
      <c r="G20" s="1116">
        <v>19500000</v>
      </c>
      <c r="H20" s="1117">
        <v>0.1</v>
      </c>
      <c r="I20" s="950">
        <f t="shared" si="0"/>
        <v>721500000</v>
      </c>
      <c r="J20" s="950">
        <f t="shared" si="4"/>
        <v>21450000</v>
      </c>
      <c r="K20" s="950">
        <f t="shared" si="2"/>
        <v>793650000</v>
      </c>
      <c r="L20" s="1118" t="s">
        <v>1039</v>
      </c>
      <c r="M20" s="1116"/>
      <c r="N20" s="1125" t="s">
        <v>1040</v>
      </c>
    </row>
    <row r="21" spans="1:14" ht="15.75">
      <c r="A21" s="940">
        <v>2</v>
      </c>
      <c r="B21" s="941" t="s">
        <v>1041</v>
      </c>
      <c r="C21" s="942"/>
      <c r="D21" s="942"/>
      <c r="E21" s="968" t="s">
        <v>1011</v>
      </c>
      <c r="F21" s="968">
        <v>1</v>
      </c>
      <c r="G21" s="1116"/>
      <c r="H21" s="1117"/>
      <c r="I21" s="950">
        <f t="shared" si="0"/>
        <v>0</v>
      </c>
      <c r="J21" s="950">
        <f t="shared" si="4"/>
        <v>0</v>
      </c>
      <c r="K21" s="950">
        <f t="shared" si="2"/>
        <v>0</v>
      </c>
      <c r="L21" s="1118"/>
      <c r="M21" s="1129"/>
      <c r="N21" s="1130"/>
    </row>
    <row r="22" spans="1:14" ht="78.75" outlineLevel="1">
      <c r="A22" s="940">
        <v>1</v>
      </c>
      <c r="B22" s="944" t="s">
        <v>1042</v>
      </c>
      <c r="C22" s="944" t="s">
        <v>1043</v>
      </c>
      <c r="D22" s="1131" t="s">
        <v>1044</v>
      </c>
      <c r="E22" s="940" t="s">
        <v>680</v>
      </c>
      <c r="F22" s="962">
        <v>1</v>
      </c>
      <c r="G22" s="1116">
        <v>6550000</v>
      </c>
      <c r="H22" s="1117">
        <v>0.1</v>
      </c>
      <c r="I22" s="950">
        <f t="shared" si="0"/>
        <v>6550000</v>
      </c>
      <c r="J22" s="950">
        <f t="shared" si="4"/>
        <v>7205000</v>
      </c>
      <c r="K22" s="950">
        <f t="shared" si="2"/>
        <v>7205000</v>
      </c>
      <c r="L22" s="1118"/>
      <c r="M22" s="1119"/>
      <c r="N22" s="1120"/>
    </row>
    <row r="23" spans="1:14" ht="147.75" customHeight="1" outlineLevel="1">
      <c r="A23" s="940">
        <f t="shared" ref="A23:A33" si="5">A22+1</f>
        <v>2</v>
      </c>
      <c r="B23" s="944" t="s">
        <v>1045</v>
      </c>
      <c r="C23" s="963" t="s">
        <v>1046</v>
      </c>
      <c r="D23" s="1132" t="s">
        <v>1046</v>
      </c>
      <c r="E23" s="940" t="s">
        <v>627</v>
      </c>
      <c r="F23" s="962">
        <v>1</v>
      </c>
      <c r="G23" s="1116">
        <v>2700000</v>
      </c>
      <c r="H23" s="1117">
        <v>0.1</v>
      </c>
      <c r="I23" s="950">
        <f t="shared" si="0"/>
        <v>2700000</v>
      </c>
      <c r="J23" s="950">
        <f t="shared" si="4"/>
        <v>2970000</v>
      </c>
      <c r="K23" s="950">
        <f t="shared" si="2"/>
        <v>2970000</v>
      </c>
      <c r="L23" s="1118"/>
      <c r="M23" s="1119"/>
      <c r="N23" s="1120"/>
    </row>
    <row r="24" spans="1:14" ht="76.5" customHeight="1" outlineLevel="1">
      <c r="A24" s="940">
        <f t="shared" si="5"/>
        <v>3</v>
      </c>
      <c r="B24" s="944" t="s">
        <v>1047</v>
      </c>
      <c r="C24" s="969" t="s">
        <v>1048</v>
      </c>
      <c r="D24" s="1133" t="s">
        <v>1049</v>
      </c>
      <c r="E24" s="940" t="s">
        <v>627</v>
      </c>
      <c r="F24" s="962">
        <v>2</v>
      </c>
      <c r="G24" s="1116">
        <v>480000</v>
      </c>
      <c r="H24" s="1117">
        <v>0.1</v>
      </c>
      <c r="I24" s="950">
        <f t="shared" si="0"/>
        <v>960000</v>
      </c>
      <c r="J24" s="950">
        <f t="shared" si="4"/>
        <v>528000</v>
      </c>
      <c r="K24" s="950">
        <f t="shared" si="2"/>
        <v>1056000</v>
      </c>
      <c r="L24" s="1118"/>
      <c r="M24" s="1119"/>
      <c r="N24" s="1120"/>
    </row>
    <row r="25" spans="1:14" ht="225" customHeight="1" outlineLevel="1">
      <c r="A25" s="940">
        <f t="shared" si="5"/>
        <v>4</v>
      </c>
      <c r="B25" s="944" t="s">
        <v>1021</v>
      </c>
      <c r="C25" s="953" t="s">
        <v>1050</v>
      </c>
      <c r="D25" s="1134" t="s">
        <v>1051</v>
      </c>
      <c r="E25" s="940" t="s">
        <v>627</v>
      </c>
      <c r="F25" s="962">
        <v>1</v>
      </c>
      <c r="G25" s="1116">
        <v>5600000</v>
      </c>
      <c r="H25" s="1117">
        <v>0.1</v>
      </c>
      <c r="I25" s="950">
        <f t="shared" si="0"/>
        <v>5600000</v>
      </c>
      <c r="J25" s="950">
        <f t="shared" si="4"/>
        <v>6160000</v>
      </c>
      <c r="K25" s="950">
        <f t="shared" si="2"/>
        <v>6160000</v>
      </c>
      <c r="L25" s="1118"/>
      <c r="M25" s="1119"/>
      <c r="N25" s="1120"/>
    </row>
    <row r="26" spans="1:14" ht="94.5" outlineLevel="1">
      <c r="A26" s="940">
        <f t="shared" si="5"/>
        <v>5</v>
      </c>
      <c r="B26" s="944" t="s">
        <v>1052</v>
      </c>
      <c r="C26" s="970" t="s">
        <v>1053</v>
      </c>
      <c r="D26" s="970" t="s">
        <v>1053</v>
      </c>
      <c r="E26" s="940" t="s">
        <v>680</v>
      </c>
      <c r="F26" s="962">
        <v>1</v>
      </c>
      <c r="G26" s="1116">
        <v>14016000</v>
      </c>
      <c r="H26" s="1117">
        <v>0.1</v>
      </c>
      <c r="I26" s="950">
        <f t="shared" si="0"/>
        <v>14016000</v>
      </c>
      <c r="J26" s="950">
        <f t="shared" si="4"/>
        <v>15417600</v>
      </c>
      <c r="K26" s="950">
        <f t="shared" si="2"/>
        <v>15417600</v>
      </c>
      <c r="L26" s="1118"/>
      <c r="M26" s="1119"/>
      <c r="N26" s="1120"/>
    </row>
    <row r="27" spans="1:14" ht="145.5" customHeight="1" outlineLevel="1">
      <c r="A27" s="940">
        <f t="shared" si="5"/>
        <v>6</v>
      </c>
      <c r="B27" s="944" t="s">
        <v>1054</v>
      </c>
      <c r="C27" s="971" t="s">
        <v>1055</v>
      </c>
      <c r="D27" s="971" t="s">
        <v>1055</v>
      </c>
      <c r="E27" s="940" t="s">
        <v>627</v>
      </c>
      <c r="F27" s="962">
        <v>2</v>
      </c>
      <c r="G27" s="1116">
        <v>2400000</v>
      </c>
      <c r="H27" s="1117">
        <v>0.05</v>
      </c>
      <c r="I27" s="950">
        <f t="shared" si="0"/>
        <v>4800000</v>
      </c>
      <c r="J27" s="950">
        <f t="shared" si="4"/>
        <v>2640000</v>
      </c>
      <c r="K27" s="950">
        <f t="shared" si="2"/>
        <v>5280000</v>
      </c>
      <c r="L27" s="1118"/>
      <c r="M27" s="1119"/>
      <c r="N27" s="1120"/>
    </row>
    <row r="28" spans="1:14" ht="74.25" customHeight="1" outlineLevel="1">
      <c r="A28" s="940">
        <f t="shared" si="5"/>
        <v>7</v>
      </c>
      <c r="B28" s="944" t="s">
        <v>1056</v>
      </c>
      <c r="C28" s="972" t="s">
        <v>1057</v>
      </c>
      <c r="D28" s="972" t="s">
        <v>1057</v>
      </c>
      <c r="E28" s="940" t="s">
        <v>627</v>
      </c>
      <c r="F28" s="962">
        <v>1</v>
      </c>
      <c r="G28" s="1116">
        <v>1200000</v>
      </c>
      <c r="H28" s="1117">
        <v>0.1</v>
      </c>
      <c r="I28" s="950">
        <f t="shared" si="0"/>
        <v>1200000</v>
      </c>
      <c r="J28" s="950">
        <f t="shared" si="4"/>
        <v>1320000</v>
      </c>
      <c r="K28" s="950">
        <f t="shared" si="2"/>
        <v>1320000</v>
      </c>
      <c r="L28" s="1118"/>
      <c r="M28" s="1119"/>
      <c r="N28" s="1120"/>
    </row>
    <row r="29" spans="1:14" ht="409.5" outlineLevel="1">
      <c r="A29" s="940">
        <f t="shared" si="5"/>
        <v>8</v>
      </c>
      <c r="B29" s="973" t="s">
        <v>1058</v>
      </c>
      <c r="C29" s="974" t="s">
        <v>1059</v>
      </c>
      <c r="D29" s="1131" t="s">
        <v>1060</v>
      </c>
      <c r="E29" s="940" t="s">
        <v>627</v>
      </c>
      <c r="F29" s="962">
        <v>1</v>
      </c>
      <c r="G29" s="1116">
        <v>15000000</v>
      </c>
      <c r="H29" s="1117">
        <v>0.1</v>
      </c>
      <c r="I29" s="950">
        <f t="shared" si="0"/>
        <v>15000000</v>
      </c>
      <c r="J29" s="950">
        <f t="shared" si="4"/>
        <v>16500000</v>
      </c>
      <c r="K29" s="950">
        <f t="shared" si="2"/>
        <v>16500000</v>
      </c>
      <c r="L29" s="1118"/>
      <c r="M29" s="1116"/>
      <c r="N29" s="1125" t="s">
        <v>1061</v>
      </c>
    </row>
    <row r="30" spans="1:14" ht="189" outlineLevel="1">
      <c r="A30" s="940">
        <f t="shared" si="5"/>
        <v>9</v>
      </c>
      <c r="B30" s="975" t="s">
        <v>1062</v>
      </c>
      <c r="C30" s="976" t="s">
        <v>1063</v>
      </c>
      <c r="D30" s="1131" t="s">
        <v>1064</v>
      </c>
      <c r="E30" s="961" t="s">
        <v>627</v>
      </c>
      <c r="F30" s="962">
        <v>1</v>
      </c>
      <c r="G30" s="1116">
        <v>5200000</v>
      </c>
      <c r="H30" s="1117">
        <v>0.1</v>
      </c>
      <c r="I30" s="950">
        <f t="shared" si="0"/>
        <v>5200000</v>
      </c>
      <c r="J30" s="950">
        <f t="shared" si="4"/>
        <v>5720000</v>
      </c>
      <c r="K30" s="950">
        <f t="shared" si="2"/>
        <v>5720000</v>
      </c>
      <c r="L30" s="1118"/>
      <c r="M30" s="1135"/>
      <c r="N30" s="1136" t="s">
        <v>1065</v>
      </c>
    </row>
    <row r="31" spans="1:14" ht="63" outlineLevel="1">
      <c r="A31" s="940">
        <f t="shared" si="5"/>
        <v>10</v>
      </c>
      <c r="B31" s="944" t="s">
        <v>1066</v>
      </c>
      <c r="C31" s="944" t="s">
        <v>1067</v>
      </c>
      <c r="D31" s="1131" t="s">
        <v>1067</v>
      </c>
      <c r="E31" s="940" t="s">
        <v>627</v>
      </c>
      <c r="F31" s="962">
        <v>1</v>
      </c>
      <c r="G31" s="1116">
        <v>300000</v>
      </c>
      <c r="H31" s="1117">
        <v>0.1</v>
      </c>
      <c r="I31" s="950">
        <f t="shared" si="0"/>
        <v>300000</v>
      </c>
      <c r="J31" s="950">
        <f t="shared" si="4"/>
        <v>330000</v>
      </c>
      <c r="K31" s="950">
        <f t="shared" si="2"/>
        <v>330000</v>
      </c>
      <c r="L31" s="1118"/>
      <c r="M31" s="1119"/>
      <c r="N31" s="1120"/>
    </row>
    <row r="32" spans="1:14" ht="69.75" customHeight="1" outlineLevel="1">
      <c r="A32" s="940">
        <f t="shared" si="5"/>
        <v>11</v>
      </c>
      <c r="B32" s="944" t="s">
        <v>1034</v>
      </c>
      <c r="C32" s="966" t="s">
        <v>1035</v>
      </c>
      <c r="D32" s="1137" t="s">
        <v>1035</v>
      </c>
      <c r="E32" s="940" t="s">
        <v>1068</v>
      </c>
      <c r="F32" s="962">
        <v>1</v>
      </c>
      <c r="G32" s="1116">
        <v>130000</v>
      </c>
      <c r="H32" s="1117">
        <v>0.1</v>
      </c>
      <c r="I32" s="950">
        <f t="shared" si="0"/>
        <v>130000</v>
      </c>
      <c r="J32" s="950">
        <f t="shared" si="4"/>
        <v>143000</v>
      </c>
      <c r="K32" s="950">
        <f t="shared" si="2"/>
        <v>143000</v>
      </c>
      <c r="L32" s="1118"/>
      <c r="M32" s="1116">
        <f>M17</f>
        <v>0</v>
      </c>
      <c r="N32" s="1125"/>
    </row>
    <row r="33" spans="1:14" ht="93" customHeight="1" outlineLevel="1">
      <c r="A33" s="940">
        <f t="shared" si="5"/>
        <v>12</v>
      </c>
      <c r="B33" s="944" t="s">
        <v>1069</v>
      </c>
      <c r="C33" s="1138" t="s">
        <v>1070</v>
      </c>
      <c r="D33" s="1139" t="s">
        <v>1070</v>
      </c>
      <c r="E33" s="968" t="s">
        <v>1071</v>
      </c>
      <c r="F33" s="1026">
        <v>1</v>
      </c>
      <c r="G33" s="1116">
        <v>21990000</v>
      </c>
      <c r="H33" s="1117">
        <v>0.1</v>
      </c>
      <c r="I33" s="950">
        <f t="shared" si="0"/>
        <v>21990000</v>
      </c>
      <c r="J33" s="950">
        <f t="shared" si="4"/>
        <v>24189000</v>
      </c>
      <c r="K33" s="950">
        <f t="shared" si="2"/>
        <v>24189000</v>
      </c>
      <c r="L33" s="1118"/>
      <c r="M33" s="1119"/>
      <c r="N33" s="1120"/>
    </row>
    <row r="34" spans="1:14" ht="15.75">
      <c r="A34" s="940">
        <v>3</v>
      </c>
      <c r="B34" s="941" t="s">
        <v>1072</v>
      </c>
      <c r="C34" s="942"/>
      <c r="D34" s="942"/>
      <c r="E34" s="968" t="s">
        <v>1011</v>
      </c>
      <c r="F34" s="968">
        <v>2</v>
      </c>
      <c r="G34" s="1116"/>
      <c r="H34" s="1117"/>
      <c r="I34" s="950">
        <f t="shared" si="0"/>
        <v>0</v>
      </c>
      <c r="J34" s="950">
        <f t="shared" si="4"/>
        <v>0</v>
      </c>
      <c r="K34" s="950">
        <f t="shared" si="2"/>
        <v>0</v>
      </c>
      <c r="L34" s="1118"/>
      <c r="M34" s="1129"/>
      <c r="N34" s="1130"/>
    </row>
    <row r="35" spans="1:14" ht="78.75" outlineLevel="1">
      <c r="A35" s="940">
        <v>1</v>
      </c>
      <c r="B35" s="944" t="s">
        <v>1073</v>
      </c>
      <c r="C35" s="944" t="s">
        <v>1074</v>
      </c>
      <c r="D35" s="1131" t="s">
        <v>1074</v>
      </c>
      <c r="E35" s="940" t="s">
        <v>680</v>
      </c>
      <c r="F35" s="962">
        <v>2</v>
      </c>
      <c r="G35" s="1116">
        <v>6350000</v>
      </c>
      <c r="H35" s="1117">
        <v>0.1</v>
      </c>
      <c r="I35" s="950">
        <f t="shared" si="0"/>
        <v>12700000</v>
      </c>
      <c r="J35" s="950">
        <f t="shared" si="4"/>
        <v>6985000</v>
      </c>
      <c r="K35" s="950">
        <f t="shared" si="2"/>
        <v>13970000</v>
      </c>
      <c r="L35" s="1118"/>
      <c r="M35" s="1129"/>
      <c r="N35" s="1130"/>
    </row>
    <row r="36" spans="1:14" ht="63" outlineLevel="1">
      <c r="A36" s="940">
        <f>A35+1</f>
        <v>2</v>
      </c>
      <c r="B36" s="944" t="s">
        <v>1075</v>
      </c>
      <c r="C36" s="963" t="s">
        <v>1076</v>
      </c>
      <c r="D36" s="1132" t="s">
        <v>1076</v>
      </c>
      <c r="E36" s="940" t="s">
        <v>627</v>
      </c>
      <c r="F36" s="962">
        <v>2</v>
      </c>
      <c r="G36" s="1116">
        <v>2400000</v>
      </c>
      <c r="H36" s="1117">
        <v>0.1</v>
      </c>
      <c r="I36" s="950">
        <f t="shared" si="0"/>
        <v>4800000</v>
      </c>
      <c r="J36" s="950">
        <f t="shared" si="4"/>
        <v>2640000</v>
      </c>
      <c r="K36" s="950">
        <f t="shared" si="2"/>
        <v>5280000</v>
      </c>
      <c r="L36" s="1118"/>
      <c r="M36" s="1129"/>
      <c r="N36" s="1130"/>
    </row>
    <row r="37" spans="1:14" ht="47.25" outlineLevel="1">
      <c r="A37" s="940">
        <f t="shared" ref="A37:A44" si="6">A36+1</f>
        <v>3</v>
      </c>
      <c r="B37" s="944" t="s">
        <v>1077</v>
      </c>
      <c r="C37" s="969" t="s">
        <v>1048</v>
      </c>
      <c r="D37" s="1133" t="s">
        <v>1049</v>
      </c>
      <c r="E37" s="940" t="s">
        <v>627</v>
      </c>
      <c r="F37" s="962">
        <v>4</v>
      </c>
      <c r="G37" s="1116">
        <v>480000</v>
      </c>
      <c r="H37" s="1117">
        <v>0.1</v>
      </c>
      <c r="I37" s="950">
        <f t="shared" si="0"/>
        <v>1920000</v>
      </c>
      <c r="J37" s="950">
        <f t="shared" si="4"/>
        <v>528000</v>
      </c>
      <c r="K37" s="950">
        <f t="shared" si="2"/>
        <v>2112000</v>
      </c>
      <c r="L37" s="1118"/>
      <c r="M37" s="1129"/>
      <c r="N37" s="1130"/>
    </row>
    <row r="38" spans="1:14" ht="157.5" outlineLevel="1">
      <c r="A38" s="940">
        <f t="shared" si="6"/>
        <v>4</v>
      </c>
      <c r="B38" s="944" t="s">
        <v>1021</v>
      </c>
      <c r="C38" s="953" t="s">
        <v>1050</v>
      </c>
      <c r="D38" s="1134" t="s">
        <v>1051</v>
      </c>
      <c r="E38" s="940" t="s">
        <v>627</v>
      </c>
      <c r="F38" s="962">
        <v>2</v>
      </c>
      <c r="G38" s="1116">
        <v>5600000</v>
      </c>
      <c r="H38" s="1117">
        <v>0.1</v>
      </c>
      <c r="I38" s="950">
        <f t="shared" si="0"/>
        <v>11200000</v>
      </c>
      <c r="J38" s="950">
        <f t="shared" si="4"/>
        <v>6160000</v>
      </c>
      <c r="K38" s="950">
        <f t="shared" si="2"/>
        <v>12320000</v>
      </c>
      <c r="L38" s="1118"/>
      <c r="M38" s="1129"/>
      <c r="N38" s="1130"/>
    </row>
    <row r="39" spans="1:14" ht="63" outlineLevel="1">
      <c r="A39" s="940">
        <f t="shared" si="6"/>
        <v>5</v>
      </c>
      <c r="B39" s="944" t="s">
        <v>1056</v>
      </c>
      <c r="C39" s="972" t="s">
        <v>1057</v>
      </c>
      <c r="D39" s="1140" t="s">
        <v>1057</v>
      </c>
      <c r="E39" s="940" t="s">
        <v>627</v>
      </c>
      <c r="F39" s="962">
        <v>2</v>
      </c>
      <c r="G39" s="1116">
        <v>1200000</v>
      </c>
      <c r="H39" s="1117">
        <v>0.1</v>
      </c>
      <c r="I39" s="950">
        <f t="shared" si="0"/>
        <v>2400000</v>
      </c>
      <c r="J39" s="950">
        <f t="shared" si="4"/>
        <v>1320000</v>
      </c>
      <c r="K39" s="950">
        <f t="shared" si="2"/>
        <v>2640000</v>
      </c>
      <c r="L39" s="1118"/>
      <c r="M39" s="1129"/>
      <c r="N39" s="1130"/>
    </row>
    <row r="40" spans="1:14" ht="110.25" outlineLevel="1">
      <c r="A40" s="940">
        <f t="shared" si="6"/>
        <v>6</v>
      </c>
      <c r="B40" s="944" t="s">
        <v>1054</v>
      </c>
      <c r="C40" s="971" t="s">
        <v>1055</v>
      </c>
      <c r="D40" s="1141" t="s">
        <v>1055</v>
      </c>
      <c r="E40" s="940" t="s">
        <v>627</v>
      </c>
      <c r="F40" s="962">
        <v>2</v>
      </c>
      <c r="G40" s="1116">
        <v>2400000</v>
      </c>
      <c r="H40" s="1117">
        <v>0.05</v>
      </c>
      <c r="I40" s="950">
        <f t="shared" si="0"/>
        <v>4800000</v>
      </c>
      <c r="J40" s="950">
        <f t="shared" si="4"/>
        <v>2640000</v>
      </c>
      <c r="K40" s="950">
        <f t="shared" si="2"/>
        <v>5280000</v>
      </c>
      <c r="L40" s="1118"/>
      <c r="M40" s="1129"/>
      <c r="N40" s="1130"/>
    </row>
    <row r="41" spans="1:14" ht="409.5" outlineLevel="1">
      <c r="A41" s="940">
        <f t="shared" si="6"/>
        <v>7</v>
      </c>
      <c r="B41" s="944" t="s">
        <v>1058</v>
      </c>
      <c r="C41" s="974" t="s">
        <v>1059</v>
      </c>
      <c r="D41" s="1131" t="s">
        <v>1078</v>
      </c>
      <c r="E41" s="940" t="s">
        <v>627</v>
      </c>
      <c r="F41" s="962">
        <v>2</v>
      </c>
      <c r="G41" s="1116">
        <v>15000000</v>
      </c>
      <c r="H41" s="1117">
        <v>0.1</v>
      </c>
      <c r="I41" s="950">
        <f t="shared" si="0"/>
        <v>30000000</v>
      </c>
      <c r="J41" s="950">
        <f t="shared" si="4"/>
        <v>16500000</v>
      </c>
      <c r="K41" s="950">
        <f t="shared" si="2"/>
        <v>33000000</v>
      </c>
      <c r="L41" s="1118"/>
      <c r="M41" s="1129"/>
      <c r="N41" s="1125" t="s">
        <v>1061</v>
      </c>
    </row>
    <row r="42" spans="1:14" ht="189" outlineLevel="1">
      <c r="A42" s="940">
        <f t="shared" si="6"/>
        <v>8</v>
      </c>
      <c r="B42" s="967" t="s">
        <v>1062</v>
      </c>
      <c r="C42" s="976" t="s">
        <v>1063</v>
      </c>
      <c r="D42" s="1131" t="s">
        <v>1064</v>
      </c>
      <c r="E42" s="961" t="str">
        <f>E65</f>
        <v>Cái</v>
      </c>
      <c r="F42" s="986">
        <v>2</v>
      </c>
      <c r="G42" s="1116">
        <v>5200000</v>
      </c>
      <c r="H42" s="1117">
        <v>0.1</v>
      </c>
      <c r="I42" s="950">
        <f t="shared" si="0"/>
        <v>10400000</v>
      </c>
      <c r="J42" s="950">
        <f t="shared" si="4"/>
        <v>5720000</v>
      </c>
      <c r="K42" s="950">
        <f t="shared" si="2"/>
        <v>11440000</v>
      </c>
      <c r="L42" s="1118"/>
      <c r="M42" s="1129"/>
      <c r="N42" s="1136" t="s">
        <v>1065</v>
      </c>
    </row>
    <row r="43" spans="1:14" ht="63" outlineLevel="1">
      <c r="A43" s="940">
        <f t="shared" si="6"/>
        <v>9</v>
      </c>
      <c r="B43" s="944" t="s">
        <v>1066</v>
      </c>
      <c r="C43" s="944" t="s">
        <v>1067</v>
      </c>
      <c r="D43" s="1131" t="s">
        <v>1067</v>
      </c>
      <c r="E43" s="940" t="s">
        <v>627</v>
      </c>
      <c r="F43" s="962">
        <v>2</v>
      </c>
      <c r="G43" s="1116">
        <v>300000</v>
      </c>
      <c r="H43" s="1117">
        <v>0.1</v>
      </c>
      <c r="I43" s="950">
        <f t="shared" si="0"/>
        <v>600000</v>
      </c>
      <c r="J43" s="950">
        <f t="shared" si="4"/>
        <v>330000</v>
      </c>
      <c r="K43" s="950">
        <f t="shared" si="2"/>
        <v>660000</v>
      </c>
      <c r="L43" s="1118"/>
      <c r="M43" s="1129"/>
      <c r="N43" s="1130"/>
    </row>
    <row r="44" spans="1:14" ht="47.25" outlineLevel="1">
      <c r="A44" s="940">
        <f t="shared" si="6"/>
        <v>10</v>
      </c>
      <c r="B44" s="944" t="s">
        <v>1034</v>
      </c>
      <c r="C44" s="966" t="s">
        <v>1035</v>
      </c>
      <c r="D44" s="1137" t="s">
        <v>1035</v>
      </c>
      <c r="E44" s="940" t="s">
        <v>1068</v>
      </c>
      <c r="F44" s="962">
        <f>F34</f>
        <v>2</v>
      </c>
      <c r="G44" s="1116">
        <v>130000</v>
      </c>
      <c r="H44" s="1117">
        <v>0.1</v>
      </c>
      <c r="I44" s="950">
        <f t="shared" si="0"/>
        <v>260000</v>
      </c>
      <c r="J44" s="950">
        <f t="shared" si="4"/>
        <v>143000</v>
      </c>
      <c r="K44" s="950">
        <f t="shared" si="2"/>
        <v>286000</v>
      </c>
      <c r="L44" s="1118"/>
      <c r="M44" s="1129"/>
      <c r="N44" s="1130"/>
    </row>
    <row r="45" spans="1:14" ht="15.75">
      <c r="A45" s="940">
        <v>4</v>
      </c>
      <c r="B45" s="987" t="s">
        <v>1079</v>
      </c>
      <c r="C45" s="942"/>
      <c r="D45" s="1139"/>
      <c r="E45" s="968" t="s">
        <v>1011</v>
      </c>
      <c r="F45" s="968">
        <v>1</v>
      </c>
      <c r="G45" s="1116"/>
      <c r="H45" s="1117"/>
      <c r="I45" s="950">
        <f t="shared" si="0"/>
        <v>0</v>
      </c>
      <c r="J45" s="950">
        <f t="shared" si="4"/>
        <v>0</v>
      </c>
      <c r="K45" s="950">
        <f t="shared" si="2"/>
        <v>0</v>
      </c>
      <c r="L45" s="1118"/>
      <c r="M45" s="1129"/>
      <c r="N45" s="1130"/>
    </row>
    <row r="46" spans="1:14" ht="94.5" outlineLevel="1">
      <c r="A46" s="940">
        <v>1</v>
      </c>
      <c r="B46" s="944" t="s">
        <v>1052</v>
      </c>
      <c r="C46" s="970" t="s">
        <v>1080</v>
      </c>
      <c r="D46" s="970" t="s">
        <v>1080</v>
      </c>
      <c r="E46" s="961" t="s">
        <v>680</v>
      </c>
      <c r="F46" s="962">
        <v>1</v>
      </c>
      <c r="G46" s="1116">
        <v>14016000</v>
      </c>
      <c r="H46" s="1117">
        <v>0.1</v>
      </c>
      <c r="I46" s="950">
        <f t="shared" si="0"/>
        <v>14016000</v>
      </c>
      <c r="J46" s="950">
        <f t="shared" si="4"/>
        <v>15417600</v>
      </c>
      <c r="K46" s="950">
        <f t="shared" si="2"/>
        <v>15417600</v>
      </c>
      <c r="L46" s="1118"/>
      <c r="M46" s="1129"/>
      <c r="N46" s="1130"/>
    </row>
    <row r="47" spans="1:14" ht="63" outlineLevel="1">
      <c r="A47" s="940">
        <f>A46+1</f>
        <v>2</v>
      </c>
      <c r="B47" s="944" t="s">
        <v>1066</v>
      </c>
      <c r="C47" s="944" t="s">
        <v>1067</v>
      </c>
      <c r="D47" s="944" t="s">
        <v>1067</v>
      </c>
      <c r="E47" s="940" t="s">
        <v>627</v>
      </c>
      <c r="F47" s="962">
        <v>1</v>
      </c>
      <c r="G47" s="1116">
        <v>300000</v>
      </c>
      <c r="H47" s="1117">
        <v>0.1</v>
      </c>
      <c r="I47" s="950">
        <f t="shared" si="0"/>
        <v>300000</v>
      </c>
      <c r="J47" s="950">
        <f t="shared" si="4"/>
        <v>330000</v>
      </c>
      <c r="K47" s="950">
        <f t="shared" si="2"/>
        <v>330000</v>
      </c>
      <c r="L47" s="1118"/>
      <c r="M47" s="1129"/>
      <c r="N47" s="1130"/>
    </row>
    <row r="48" spans="1:14" ht="47.25" outlineLevel="1">
      <c r="A48" s="940">
        <f>A47+1</f>
        <v>3</v>
      </c>
      <c r="B48" s="944" t="s">
        <v>1034</v>
      </c>
      <c r="C48" s="966" t="s">
        <v>1035</v>
      </c>
      <c r="D48" s="966" t="s">
        <v>1035</v>
      </c>
      <c r="E48" s="940" t="s">
        <v>1068</v>
      </c>
      <c r="F48" s="962">
        <f>F45</f>
        <v>1</v>
      </c>
      <c r="G48" s="1116">
        <v>130000</v>
      </c>
      <c r="H48" s="1117">
        <v>0.1</v>
      </c>
      <c r="I48" s="950">
        <f t="shared" si="0"/>
        <v>130000</v>
      </c>
      <c r="J48" s="950">
        <f t="shared" si="4"/>
        <v>143000</v>
      </c>
      <c r="K48" s="950">
        <f t="shared" si="2"/>
        <v>143000</v>
      </c>
      <c r="L48" s="1118"/>
      <c r="M48" s="1129"/>
      <c r="N48" s="1130"/>
    </row>
    <row r="49" spans="1:14" ht="15.75">
      <c r="A49" s="940">
        <v>5</v>
      </c>
      <c r="B49" s="941" t="s">
        <v>1081</v>
      </c>
      <c r="C49" s="944"/>
      <c r="D49" s="944"/>
      <c r="E49" s="968" t="s">
        <v>1011</v>
      </c>
      <c r="F49" s="968">
        <v>1</v>
      </c>
      <c r="G49" s="1116"/>
      <c r="H49" s="1117"/>
      <c r="I49" s="950">
        <f t="shared" si="0"/>
        <v>0</v>
      </c>
      <c r="J49" s="950">
        <f t="shared" si="4"/>
        <v>0</v>
      </c>
      <c r="K49" s="950">
        <f t="shared" si="2"/>
        <v>0</v>
      </c>
      <c r="L49" s="1118"/>
      <c r="M49" s="1129"/>
      <c r="N49" s="1130"/>
    </row>
    <row r="50" spans="1:14" ht="94.5" outlineLevel="1">
      <c r="A50" s="940">
        <v>1</v>
      </c>
      <c r="B50" s="944" t="s">
        <v>1082</v>
      </c>
      <c r="C50" s="953" t="s">
        <v>1083</v>
      </c>
      <c r="D50" s="953" t="s">
        <v>1083</v>
      </c>
      <c r="E50" s="961" t="s">
        <v>627</v>
      </c>
      <c r="F50" s="962">
        <v>3</v>
      </c>
      <c r="G50" s="1116">
        <v>3150000</v>
      </c>
      <c r="H50" s="1117">
        <v>0.1</v>
      </c>
      <c r="I50" s="950">
        <f t="shared" si="0"/>
        <v>9450000</v>
      </c>
      <c r="J50" s="950">
        <f t="shared" si="4"/>
        <v>3465000</v>
      </c>
      <c r="K50" s="950">
        <f t="shared" si="2"/>
        <v>10395000</v>
      </c>
      <c r="L50" s="1118"/>
      <c r="M50" s="1129"/>
      <c r="N50" s="1130"/>
    </row>
    <row r="51" spans="1:14" ht="63" outlineLevel="1">
      <c r="A51" s="940">
        <f>A50+1</f>
        <v>2</v>
      </c>
      <c r="B51" s="944" t="s">
        <v>1077</v>
      </c>
      <c r="C51" s="972" t="s">
        <v>1084</v>
      </c>
      <c r="D51" s="972" t="s">
        <v>1084</v>
      </c>
      <c r="E51" s="961" t="s">
        <v>627</v>
      </c>
      <c r="F51" s="962">
        <v>9</v>
      </c>
      <c r="G51" s="1116">
        <v>1250000</v>
      </c>
      <c r="H51" s="1117">
        <v>0.1</v>
      </c>
      <c r="I51" s="950">
        <f t="shared" si="0"/>
        <v>11250000</v>
      </c>
      <c r="J51" s="950">
        <f t="shared" si="4"/>
        <v>1375000</v>
      </c>
      <c r="K51" s="950">
        <f t="shared" si="2"/>
        <v>12375000</v>
      </c>
      <c r="L51" s="1118"/>
      <c r="M51" s="1129"/>
      <c r="N51" s="1130"/>
    </row>
    <row r="52" spans="1:14" ht="238.5" customHeight="1" outlineLevel="1">
      <c r="A52" s="940">
        <f t="shared" ref="A52:A57" si="7">A51+1</f>
        <v>3</v>
      </c>
      <c r="B52" s="944" t="s">
        <v>1021</v>
      </c>
      <c r="C52" s="953" t="s">
        <v>1085</v>
      </c>
      <c r="D52" s="953" t="s">
        <v>1085</v>
      </c>
      <c r="E52" s="961" t="s">
        <v>627</v>
      </c>
      <c r="F52" s="962">
        <v>3</v>
      </c>
      <c r="G52" s="1116">
        <v>5600000</v>
      </c>
      <c r="H52" s="1117">
        <v>0.1</v>
      </c>
      <c r="I52" s="950">
        <f t="shared" si="0"/>
        <v>16800000</v>
      </c>
      <c r="J52" s="950">
        <f t="shared" si="4"/>
        <v>6160000</v>
      </c>
      <c r="K52" s="950">
        <f t="shared" si="2"/>
        <v>18480000</v>
      </c>
      <c r="L52" s="1118"/>
      <c r="M52" s="1129"/>
      <c r="N52" s="1130"/>
    </row>
    <row r="53" spans="1:14" ht="141.75" outlineLevel="1">
      <c r="A53" s="940">
        <f t="shared" si="7"/>
        <v>4</v>
      </c>
      <c r="B53" s="944" t="s">
        <v>1054</v>
      </c>
      <c r="C53" s="944" t="s">
        <v>1086</v>
      </c>
      <c r="D53" s="944" t="s">
        <v>1086</v>
      </c>
      <c r="E53" s="961" t="s">
        <v>627</v>
      </c>
      <c r="F53" s="962">
        <v>3</v>
      </c>
      <c r="G53" s="1116">
        <v>2400000</v>
      </c>
      <c r="H53" s="1117">
        <v>0.05</v>
      </c>
      <c r="I53" s="950">
        <f t="shared" si="0"/>
        <v>7200000</v>
      </c>
      <c r="J53" s="950">
        <f t="shared" si="4"/>
        <v>2640000</v>
      </c>
      <c r="K53" s="950">
        <f t="shared" si="2"/>
        <v>7920000</v>
      </c>
      <c r="L53" s="1118"/>
      <c r="M53" s="1129"/>
      <c r="N53" s="1130"/>
    </row>
    <row r="54" spans="1:14" ht="409.5" outlineLevel="1">
      <c r="A54" s="940">
        <f t="shared" si="7"/>
        <v>5</v>
      </c>
      <c r="B54" s="975" t="s">
        <v>1058</v>
      </c>
      <c r="C54" s="974" t="s">
        <v>1059</v>
      </c>
      <c r="D54" s="1131" t="s">
        <v>1078</v>
      </c>
      <c r="E54" s="961" t="s">
        <v>627</v>
      </c>
      <c r="F54" s="962">
        <v>3</v>
      </c>
      <c r="G54" s="1116">
        <v>15000000</v>
      </c>
      <c r="H54" s="1117">
        <v>0.1</v>
      </c>
      <c r="I54" s="950">
        <f t="shared" si="0"/>
        <v>45000000</v>
      </c>
      <c r="J54" s="950">
        <f t="shared" si="4"/>
        <v>16500000</v>
      </c>
      <c r="K54" s="950">
        <f t="shared" si="2"/>
        <v>49500000</v>
      </c>
      <c r="L54" s="1118"/>
      <c r="M54" s="1129"/>
      <c r="N54" s="1125" t="s">
        <v>1061</v>
      </c>
    </row>
    <row r="55" spans="1:14" ht="189" outlineLevel="1">
      <c r="A55" s="940">
        <f t="shared" si="7"/>
        <v>6</v>
      </c>
      <c r="B55" s="975" t="s">
        <v>1062</v>
      </c>
      <c r="C55" s="976" t="s">
        <v>1063</v>
      </c>
      <c r="D55" s="1131" t="s">
        <v>1064</v>
      </c>
      <c r="E55" s="961" t="s">
        <v>627</v>
      </c>
      <c r="F55" s="962">
        <v>1</v>
      </c>
      <c r="G55" s="1116">
        <v>5200000</v>
      </c>
      <c r="H55" s="1117">
        <v>0.1</v>
      </c>
      <c r="I55" s="950">
        <f t="shared" si="0"/>
        <v>5200000</v>
      </c>
      <c r="J55" s="950">
        <f t="shared" si="4"/>
        <v>5720000</v>
      </c>
      <c r="K55" s="950">
        <f t="shared" si="2"/>
        <v>5720000</v>
      </c>
      <c r="L55" s="1118"/>
      <c r="M55" s="1129"/>
      <c r="N55" s="1136" t="s">
        <v>1065</v>
      </c>
    </row>
    <row r="56" spans="1:14" ht="63" outlineLevel="1">
      <c r="A56" s="940">
        <f t="shared" si="7"/>
        <v>7</v>
      </c>
      <c r="B56" s="944" t="s">
        <v>1066</v>
      </c>
      <c r="C56" s="944" t="s">
        <v>1067</v>
      </c>
      <c r="D56" s="944" t="s">
        <v>1067</v>
      </c>
      <c r="E56" s="961" t="s">
        <v>627</v>
      </c>
      <c r="F56" s="962">
        <v>1</v>
      </c>
      <c r="G56" s="1116">
        <v>300000</v>
      </c>
      <c r="H56" s="1117">
        <v>0.1</v>
      </c>
      <c r="I56" s="950">
        <f t="shared" si="0"/>
        <v>300000</v>
      </c>
      <c r="J56" s="950">
        <f t="shared" si="4"/>
        <v>330000</v>
      </c>
      <c r="K56" s="950">
        <f t="shared" si="2"/>
        <v>330000</v>
      </c>
      <c r="L56" s="1118"/>
      <c r="M56" s="1129"/>
      <c r="N56" s="1130"/>
    </row>
    <row r="57" spans="1:14" ht="47.25" outlineLevel="1">
      <c r="A57" s="940">
        <f t="shared" si="7"/>
        <v>8</v>
      </c>
      <c r="B57" s="944" t="s">
        <v>1034</v>
      </c>
      <c r="C57" s="966" t="s">
        <v>1035</v>
      </c>
      <c r="D57" s="966" t="s">
        <v>1035</v>
      </c>
      <c r="E57" s="961" t="s">
        <v>627</v>
      </c>
      <c r="F57" s="962">
        <v>1</v>
      </c>
      <c r="G57" s="1116">
        <v>130000</v>
      </c>
      <c r="H57" s="1117">
        <v>0.1</v>
      </c>
      <c r="I57" s="950">
        <f t="shared" si="0"/>
        <v>130000</v>
      </c>
      <c r="J57" s="950">
        <f t="shared" si="4"/>
        <v>143000</v>
      </c>
      <c r="K57" s="950">
        <f t="shared" si="2"/>
        <v>143000</v>
      </c>
      <c r="L57" s="1118"/>
      <c r="M57" s="1129"/>
      <c r="N57" s="1130"/>
    </row>
    <row r="58" spans="1:14" ht="15.75">
      <c r="A58" s="940">
        <v>6</v>
      </c>
      <c r="B58" s="941" t="s">
        <v>1087</v>
      </c>
      <c r="C58" s="942"/>
      <c r="D58" s="942"/>
      <c r="E58" s="968" t="s">
        <v>1011</v>
      </c>
      <c r="F58" s="968">
        <v>1</v>
      </c>
      <c r="G58" s="1116"/>
      <c r="H58" s="1117"/>
      <c r="I58" s="950">
        <f t="shared" si="0"/>
        <v>0</v>
      </c>
      <c r="J58" s="950">
        <f t="shared" si="4"/>
        <v>0</v>
      </c>
      <c r="K58" s="950">
        <f t="shared" si="2"/>
        <v>0</v>
      </c>
      <c r="L58" s="1118"/>
      <c r="M58" s="1129"/>
      <c r="N58" s="1130"/>
    </row>
    <row r="59" spans="1:14" ht="137.25" customHeight="1" outlineLevel="1">
      <c r="A59" s="940">
        <v>1</v>
      </c>
      <c r="B59" s="944" t="s">
        <v>1082</v>
      </c>
      <c r="C59" s="953" t="s">
        <v>1088</v>
      </c>
      <c r="D59" s="953" t="s">
        <v>1088</v>
      </c>
      <c r="E59" s="961" t="s">
        <v>627</v>
      </c>
      <c r="F59" s="962">
        <v>3</v>
      </c>
      <c r="G59" s="1116">
        <v>3150000</v>
      </c>
      <c r="H59" s="1117">
        <v>0.1</v>
      </c>
      <c r="I59" s="950">
        <f t="shared" si="0"/>
        <v>9450000</v>
      </c>
      <c r="J59" s="950">
        <f t="shared" si="4"/>
        <v>3465000</v>
      </c>
      <c r="K59" s="950">
        <f t="shared" si="2"/>
        <v>10395000</v>
      </c>
      <c r="L59" s="1118"/>
      <c r="M59" s="1129"/>
      <c r="N59" s="1130"/>
    </row>
    <row r="60" spans="1:14" ht="68.25" customHeight="1" outlineLevel="1">
      <c r="A60" s="940">
        <f>A59+1</f>
        <v>2</v>
      </c>
      <c r="B60" s="944" t="s">
        <v>1077</v>
      </c>
      <c r="C60" s="972" t="s">
        <v>1084</v>
      </c>
      <c r="D60" s="972" t="s">
        <v>1084</v>
      </c>
      <c r="E60" s="961" t="s">
        <v>627</v>
      </c>
      <c r="F60" s="962">
        <v>9</v>
      </c>
      <c r="G60" s="1116">
        <v>1250000</v>
      </c>
      <c r="H60" s="1117">
        <v>0.1</v>
      </c>
      <c r="I60" s="950">
        <f t="shared" si="0"/>
        <v>11250000</v>
      </c>
      <c r="J60" s="950">
        <f t="shared" si="4"/>
        <v>1375000</v>
      </c>
      <c r="K60" s="950">
        <f t="shared" si="2"/>
        <v>12375000</v>
      </c>
      <c r="L60" s="1118"/>
      <c r="M60" s="1129"/>
      <c r="N60" s="1130"/>
    </row>
    <row r="61" spans="1:14" ht="233.25" customHeight="1" outlineLevel="1">
      <c r="A61" s="940">
        <f t="shared" ref="A61:A68" si="8">A60+1</f>
        <v>3</v>
      </c>
      <c r="B61" s="944" t="s">
        <v>1021</v>
      </c>
      <c r="C61" s="953" t="s">
        <v>1022</v>
      </c>
      <c r="D61" s="953" t="s">
        <v>1022</v>
      </c>
      <c r="E61" s="961" t="s">
        <v>627</v>
      </c>
      <c r="F61" s="962">
        <v>3</v>
      </c>
      <c r="G61" s="1116">
        <v>5600000</v>
      </c>
      <c r="H61" s="1117">
        <v>0.1</v>
      </c>
      <c r="I61" s="950">
        <f t="shared" si="0"/>
        <v>16800000</v>
      </c>
      <c r="J61" s="950">
        <f t="shared" si="4"/>
        <v>6160000</v>
      </c>
      <c r="K61" s="950">
        <f t="shared" si="2"/>
        <v>18480000</v>
      </c>
      <c r="L61" s="1118"/>
      <c r="M61" s="1129"/>
      <c r="N61" s="1130"/>
    </row>
    <row r="62" spans="1:14" ht="110.25" outlineLevel="1">
      <c r="A62" s="940">
        <f t="shared" si="8"/>
        <v>4</v>
      </c>
      <c r="B62" s="944" t="s">
        <v>1054</v>
      </c>
      <c r="C62" s="971" t="s">
        <v>1055</v>
      </c>
      <c r="D62" s="971" t="s">
        <v>1055</v>
      </c>
      <c r="E62" s="961" t="s">
        <v>627</v>
      </c>
      <c r="F62" s="962">
        <v>1</v>
      </c>
      <c r="G62" s="1116">
        <v>2400000</v>
      </c>
      <c r="H62" s="1117">
        <v>0.05</v>
      </c>
      <c r="I62" s="950">
        <f t="shared" si="0"/>
        <v>2400000</v>
      </c>
      <c r="J62" s="950">
        <f t="shared" si="4"/>
        <v>2640000</v>
      </c>
      <c r="K62" s="950">
        <f t="shared" si="2"/>
        <v>2640000</v>
      </c>
      <c r="L62" s="1118"/>
      <c r="M62" s="1129"/>
      <c r="N62" s="1130"/>
    </row>
    <row r="63" spans="1:14" ht="409.5" customHeight="1" outlineLevel="1">
      <c r="A63" s="1713">
        <f>A62+1</f>
        <v>5</v>
      </c>
      <c r="B63" s="1715" t="s">
        <v>1058</v>
      </c>
      <c r="C63" s="974" t="s">
        <v>1089</v>
      </c>
      <c r="D63" s="1717" t="s">
        <v>1078</v>
      </c>
      <c r="E63" s="1709" t="s">
        <v>627</v>
      </c>
      <c r="F63" s="1711">
        <v>3</v>
      </c>
      <c r="G63" s="1719">
        <v>15000000</v>
      </c>
      <c r="H63" s="1721">
        <v>10</v>
      </c>
      <c r="I63" s="1719">
        <f t="shared" si="0"/>
        <v>45000000</v>
      </c>
      <c r="J63" s="1723">
        <f t="shared" si="4"/>
        <v>16500000</v>
      </c>
      <c r="K63" s="1723">
        <f t="shared" si="2"/>
        <v>49500000</v>
      </c>
      <c r="L63" s="1118"/>
      <c r="M63" s="1129"/>
      <c r="N63" s="1125" t="s">
        <v>1061</v>
      </c>
    </row>
    <row r="64" spans="1:14" ht="351.75" customHeight="1" outlineLevel="1">
      <c r="A64" s="1714"/>
      <c r="B64" s="1716"/>
      <c r="C64" s="974" t="s">
        <v>1090</v>
      </c>
      <c r="D64" s="1718"/>
      <c r="E64" s="1710"/>
      <c r="F64" s="1712"/>
      <c r="G64" s="1720"/>
      <c r="H64" s="1722"/>
      <c r="I64" s="1720"/>
      <c r="J64" s="1724"/>
      <c r="K64" s="1724"/>
      <c r="L64" s="1118"/>
      <c r="M64" s="1129"/>
      <c r="N64" s="1136"/>
    </row>
    <row r="65" spans="1:14" ht="201.75" customHeight="1" outlineLevel="1">
      <c r="A65" s="940">
        <f>A63+1</f>
        <v>6</v>
      </c>
      <c r="B65" s="975" t="s">
        <v>1062</v>
      </c>
      <c r="C65" s="976" t="s">
        <v>1063</v>
      </c>
      <c r="D65" s="1131" t="s">
        <v>1064</v>
      </c>
      <c r="E65" s="961" t="s">
        <v>627</v>
      </c>
      <c r="F65" s="962">
        <v>1</v>
      </c>
      <c r="G65" s="1116">
        <v>5200000</v>
      </c>
      <c r="H65" s="1117">
        <v>0.1</v>
      </c>
      <c r="I65" s="950">
        <f t="shared" si="0"/>
        <v>5200000</v>
      </c>
      <c r="J65" s="950">
        <f t="shared" si="4"/>
        <v>5720000</v>
      </c>
      <c r="K65" s="950">
        <f t="shared" si="2"/>
        <v>5720000</v>
      </c>
      <c r="L65" s="1118"/>
      <c r="M65" s="1142" t="s">
        <v>1091</v>
      </c>
      <c r="N65" s="1136" t="s">
        <v>1065</v>
      </c>
    </row>
    <row r="66" spans="1:14" ht="264.75" customHeight="1" outlineLevel="1">
      <c r="A66" s="940">
        <f t="shared" si="8"/>
        <v>7</v>
      </c>
      <c r="B66" s="975" t="s">
        <v>1092</v>
      </c>
      <c r="C66" s="974" t="s">
        <v>1093</v>
      </c>
      <c r="D66" s="1143" t="s">
        <v>1094</v>
      </c>
      <c r="E66" s="961" t="s">
        <v>627</v>
      </c>
      <c r="F66" s="962">
        <v>1</v>
      </c>
      <c r="G66" s="1116">
        <v>48360000</v>
      </c>
      <c r="H66" s="1117">
        <v>0.1</v>
      </c>
      <c r="I66" s="950">
        <f t="shared" si="0"/>
        <v>48360000</v>
      </c>
      <c r="J66" s="950">
        <f t="shared" si="4"/>
        <v>53196000</v>
      </c>
      <c r="K66" s="950">
        <f t="shared" si="2"/>
        <v>53196000</v>
      </c>
      <c r="L66" s="1118"/>
      <c r="M66" s="1138" t="s">
        <v>1095</v>
      </c>
      <c r="N66" s="1144" t="s">
        <v>1096</v>
      </c>
    </row>
    <row r="67" spans="1:14" ht="63" outlineLevel="1">
      <c r="A67" s="940">
        <f t="shared" si="8"/>
        <v>8</v>
      </c>
      <c r="B67" s="944" t="s">
        <v>1066</v>
      </c>
      <c r="C67" s="944" t="s">
        <v>1067</v>
      </c>
      <c r="D67" s="944" t="s">
        <v>1067</v>
      </c>
      <c r="E67" s="940" t="s">
        <v>627</v>
      </c>
      <c r="F67" s="962">
        <v>1</v>
      </c>
      <c r="G67" s="1116">
        <v>300000</v>
      </c>
      <c r="H67" s="1117">
        <v>0.1</v>
      </c>
      <c r="I67" s="950">
        <f t="shared" si="0"/>
        <v>300000</v>
      </c>
      <c r="J67" s="950">
        <f t="shared" si="4"/>
        <v>330000</v>
      </c>
      <c r="K67" s="950">
        <f t="shared" si="2"/>
        <v>330000</v>
      </c>
      <c r="L67" s="1118"/>
      <c r="M67" s="1129"/>
      <c r="N67" s="1130"/>
    </row>
    <row r="68" spans="1:14" ht="47.25" outlineLevel="1">
      <c r="A68" s="940">
        <f t="shared" si="8"/>
        <v>9</v>
      </c>
      <c r="B68" s="944" t="s">
        <v>1034</v>
      </c>
      <c r="C68" s="966" t="s">
        <v>1035</v>
      </c>
      <c r="D68" s="966" t="s">
        <v>1035</v>
      </c>
      <c r="E68" s="940" t="s">
        <v>1068</v>
      </c>
      <c r="F68" s="962">
        <f>F58</f>
        <v>1</v>
      </c>
      <c r="G68" s="1116">
        <v>130000</v>
      </c>
      <c r="H68" s="1117">
        <v>0.1</v>
      </c>
      <c r="I68" s="950">
        <f t="shared" si="0"/>
        <v>130000</v>
      </c>
      <c r="J68" s="950">
        <f t="shared" si="4"/>
        <v>143000</v>
      </c>
      <c r="K68" s="950">
        <f t="shared" si="2"/>
        <v>143000</v>
      </c>
      <c r="L68" s="1118"/>
      <c r="M68" s="1129"/>
      <c r="N68" s="1130"/>
    </row>
    <row r="69" spans="1:14" ht="15.75">
      <c r="A69" s="940">
        <v>7</v>
      </c>
      <c r="B69" s="988" t="s">
        <v>1097</v>
      </c>
      <c r="C69" s="989"/>
      <c r="D69" s="989"/>
      <c r="E69" s="968" t="s">
        <v>1011</v>
      </c>
      <c r="F69" s="968">
        <v>1</v>
      </c>
      <c r="G69" s="1116"/>
      <c r="H69" s="1117"/>
      <c r="I69" s="950">
        <f t="shared" si="0"/>
        <v>0</v>
      </c>
      <c r="J69" s="950">
        <f t="shared" si="4"/>
        <v>0</v>
      </c>
      <c r="K69" s="950">
        <f t="shared" si="2"/>
        <v>0</v>
      </c>
      <c r="L69" s="1118"/>
      <c r="M69" s="1129"/>
      <c r="N69" s="1130"/>
    </row>
    <row r="70" spans="1:14" ht="185.25" customHeight="1" outlineLevel="1">
      <c r="A70" s="940">
        <v>1</v>
      </c>
      <c r="B70" s="944" t="s">
        <v>1098</v>
      </c>
      <c r="C70" s="969" t="s">
        <v>1099</v>
      </c>
      <c r="D70" s="969" t="s">
        <v>1099</v>
      </c>
      <c r="E70" s="940" t="s">
        <v>627</v>
      </c>
      <c r="F70" s="962">
        <v>1</v>
      </c>
      <c r="G70" s="1116">
        <v>19800000</v>
      </c>
      <c r="H70" s="1117">
        <v>0.1</v>
      </c>
      <c r="I70" s="950">
        <f t="shared" si="0"/>
        <v>19800000</v>
      </c>
      <c r="J70" s="950">
        <f t="shared" si="4"/>
        <v>21780000</v>
      </c>
      <c r="K70" s="950">
        <f t="shared" si="2"/>
        <v>21780000</v>
      </c>
      <c r="L70" s="1118"/>
      <c r="M70" s="1129"/>
      <c r="N70" s="1130"/>
    </row>
    <row r="71" spans="1:14" ht="81.75" customHeight="1" outlineLevel="1">
      <c r="A71" s="940">
        <f>A70+1</f>
        <v>2</v>
      </c>
      <c r="B71" s="944" t="s">
        <v>1077</v>
      </c>
      <c r="C71" s="944" t="s">
        <v>1100</v>
      </c>
      <c r="D71" s="944" t="s">
        <v>1100</v>
      </c>
      <c r="E71" s="940" t="s">
        <v>627</v>
      </c>
      <c r="F71" s="962">
        <v>20</v>
      </c>
      <c r="G71" s="1116">
        <v>480000</v>
      </c>
      <c r="H71" s="1117">
        <v>0.1</v>
      </c>
      <c r="I71" s="950">
        <f t="shared" si="0"/>
        <v>9600000</v>
      </c>
      <c r="J71" s="950">
        <f t="shared" si="4"/>
        <v>528000</v>
      </c>
      <c r="K71" s="950">
        <f t="shared" si="2"/>
        <v>10560000</v>
      </c>
      <c r="L71" s="1118"/>
      <c r="M71" s="1129"/>
      <c r="N71" s="1130"/>
    </row>
    <row r="72" spans="1:14" ht="144.75" customHeight="1" outlineLevel="1">
      <c r="A72" s="940">
        <f>A71+1</f>
        <v>3</v>
      </c>
      <c r="B72" s="944" t="s">
        <v>1101</v>
      </c>
      <c r="C72" s="990" t="s">
        <v>1102</v>
      </c>
      <c r="D72" s="990" t="s">
        <v>1102</v>
      </c>
      <c r="E72" s="940" t="str">
        <f>E100</f>
        <v>Cái</v>
      </c>
      <c r="F72" s="962">
        <v>4</v>
      </c>
      <c r="G72" s="1116">
        <v>6000000</v>
      </c>
      <c r="H72" s="1117">
        <v>0.1</v>
      </c>
      <c r="I72" s="950">
        <f t="shared" si="0"/>
        <v>24000000</v>
      </c>
      <c r="J72" s="950">
        <f t="shared" si="4"/>
        <v>6600000</v>
      </c>
      <c r="K72" s="950">
        <f t="shared" si="2"/>
        <v>26400000</v>
      </c>
      <c r="L72" s="1118" t="s">
        <v>1103</v>
      </c>
      <c r="M72" s="1129"/>
      <c r="N72" s="1130"/>
    </row>
    <row r="73" spans="1:14" ht="110.25" outlineLevel="1">
      <c r="A73" s="940">
        <f>A72+1</f>
        <v>4</v>
      </c>
      <c r="B73" s="944" t="s">
        <v>1104</v>
      </c>
      <c r="C73" s="991" t="s">
        <v>1105</v>
      </c>
      <c r="D73" s="991" t="s">
        <v>1105</v>
      </c>
      <c r="E73" s="940" t="s">
        <v>680</v>
      </c>
      <c r="F73" s="962">
        <v>1</v>
      </c>
      <c r="G73" s="1116">
        <v>35000000</v>
      </c>
      <c r="H73" s="1117">
        <v>0.1</v>
      </c>
      <c r="I73" s="950">
        <f t="shared" si="0"/>
        <v>35000000</v>
      </c>
      <c r="J73" s="950">
        <f t="shared" si="4"/>
        <v>38500000</v>
      </c>
      <c r="K73" s="950">
        <f t="shared" si="2"/>
        <v>38500000</v>
      </c>
      <c r="L73" s="1118"/>
      <c r="M73" s="1129"/>
      <c r="N73" s="1130"/>
    </row>
    <row r="74" spans="1:14" ht="47.25" outlineLevel="1">
      <c r="A74" s="940">
        <f>A73+1</f>
        <v>5</v>
      </c>
      <c r="B74" s="944" t="s">
        <v>1034</v>
      </c>
      <c r="C74" s="966" t="s">
        <v>1035</v>
      </c>
      <c r="D74" s="966" t="s">
        <v>1035</v>
      </c>
      <c r="E74" s="940" t="s">
        <v>1068</v>
      </c>
      <c r="F74" s="962">
        <f>F69</f>
        <v>1</v>
      </c>
      <c r="G74" s="1116">
        <v>130000</v>
      </c>
      <c r="H74" s="1117">
        <v>0.1</v>
      </c>
      <c r="I74" s="950">
        <f t="shared" si="0"/>
        <v>130000</v>
      </c>
      <c r="J74" s="950">
        <f t="shared" si="4"/>
        <v>143000</v>
      </c>
      <c r="K74" s="950">
        <f t="shared" si="2"/>
        <v>143000</v>
      </c>
      <c r="L74" s="1118"/>
      <c r="M74" s="1129"/>
      <c r="N74" s="1130"/>
    </row>
    <row r="75" spans="1:14" ht="36" customHeight="1">
      <c r="A75" s="940">
        <v>8</v>
      </c>
      <c r="B75" s="941" t="s">
        <v>1106</v>
      </c>
      <c r="C75" s="942"/>
      <c r="D75" s="942"/>
      <c r="E75" s="968" t="s">
        <v>1011</v>
      </c>
      <c r="F75" s="968">
        <v>1</v>
      </c>
      <c r="G75" s="1116"/>
      <c r="H75" s="1117"/>
      <c r="I75" s="950">
        <f t="shared" ref="I75:I138" si="9">F75*G75</f>
        <v>0</v>
      </c>
      <c r="J75" s="950">
        <f t="shared" si="4"/>
        <v>0</v>
      </c>
      <c r="K75" s="950">
        <f t="shared" si="2"/>
        <v>0</v>
      </c>
      <c r="L75" s="1118"/>
      <c r="M75" s="1129"/>
      <c r="N75" s="1130"/>
    </row>
    <row r="76" spans="1:14" ht="137.25" customHeight="1" outlineLevel="1">
      <c r="A76" s="940">
        <v>1</v>
      </c>
      <c r="B76" s="944" t="s">
        <v>1082</v>
      </c>
      <c r="C76" s="953" t="s">
        <v>1088</v>
      </c>
      <c r="D76" s="953" t="s">
        <v>1088</v>
      </c>
      <c r="E76" s="940" t="s">
        <v>627</v>
      </c>
      <c r="F76" s="962">
        <v>1</v>
      </c>
      <c r="G76" s="1116">
        <v>3150000</v>
      </c>
      <c r="H76" s="1117">
        <v>0.1</v>
      </c>
      <c r="I76" s="950">
        <f t="shared" si="9"/>
        <v>3150000</v>
      </c>
      <c r="J76" s="950">
        <f t="shared" si="4"/>
        <v>3465000</v>
      </c>
      <c r="K76" s="950">
        <f t="shared" ref="K76:K139" si="10">+ROUND(J76*F76,0)</f>
        <v>3465000</v>
      </c>
      <c r="L76" s="1118"/>
      <c r="M76" s="1129"/>
      <c r="N76" s="1130"/>
    </row>
    <row r="77" spans="1:14" ht="63" outlineLevel="1">
      <c r="A77" s="940">
        <f t="shared" ref="A77:A82" si="11">A76+1</f>
        <v>2</v>
      </c>
      <c r="B77" s="944" t="s">
        <v>1077</v>
      </c>
      <c r="C77" s="944" t="s">
        <v>1100</v>
      </c>
      <c r="D77" s="944" t="s">
        <v>1100</v>
      </c>
      <c r="E77" s="992" t="s">
        <v>655</v>
      </c>
      <c r="F77" s="993">
        <v>11</v>
      </c>
      <c r="G77" s="1116">
        <v>480000</v>
      </c>
      <c r="H77" s="1117">
        <v>0.1</v>
      </c>
      <c r="I77" s="950">
        <f t="shared" si="9"/>
        <v>5280000</v>
      </c>
      <c r="J77" s="950">
        <f t="shared" si="4"/>
        <v>528000</v>
      </c>
      <c r="K77" s="950">
        <f t="shared" si="10"/>
        <v>5808000</v>
      </c>
      <c r="L77" s="1118"/>
      <c r="M77" s="1129"/>
      <c r="N77" s="1130"/>
    </row>
    <row r="78" spans="1:14" ht="136.5" customHeight="1" outlineLevel="1">
      <c r="A78" s="940">
        <f t="shared" si="11"/>
        <v>3</v>
      </c>
      <c r="B78" s="944" t="s">
        <v>1107</v>
      </c>
      <c r="C78" s="969" t="s">
        <v>1108</v>
      </c>
      <c r="D78" s="969" t="s">
        <v>1108</v>
      </c>
      <c r="E78" s="940" t="s">
        <v>627</v>
      </c>
      <c r="F78" s="962">
        <v>1</v>
      </c>
      <c r="G78" s="1116">
        <v>10800000</v>
      </c>
      <c r="H78" s="1117">
        <v>0.1</v>
      </c>
      <c r="I78" s="950">
        <f t="shared" si="9"/>
        <v>10800000</v>
      </c>
      <c r="J78" s="950">
        <f t="shared" si="4"/>
        <v>11880000</v>
      </c>
      <c r="K78" s="950">
        <f t="shared" si="10"/>
        <v>11880000</v>
      </c>
      <c r="L78" s="1118"/>
      <c r="M78" s="1129"/>
      <c r="N78" s="1130"/>
    </row>
    <row r="79" spans="1:14" ht="157.5" outlineLevel="1">
      <c r="A79" s="940">
        <f t="shared" si="11"/>
        <v>4</v>
      </c>
      <c r="B79" s="944" t="s">
        <v>1021</v>
      </c>
      <c r="C79" s="953" t="s">
        <v>1085</v>
      </c>
      <c r="D79" s="953" t="s">
        <v>1085</v>
      </c>
      <c r="E79" s="1145" t="s">
        <v>627</v>
      </c>
      <c r="F79" s="1146">
        <v>1</v>
      </c>
      <c r="G79" s="1116">
        <v>5600000</v>
      </c>
      <c r="H79" s="1117">
        <v>0.1</v>
      </c>
      <c r="I79" s="950">
        <f t="shared" si="9"/>
        <v>5600000</v>
      </c>
      <c r="J79" s="950">
        <f t="shared" si="4"/>
        <v>6160000</v>
      </c>
      <c r="K79" s="950">
        <f t="shared" si="10"/>
        <v>6160000</v>
      </c>
      <c r="L79" s="1118"/>
      <c r="M79" s="1129"/>
      <c r="N79" s="1130"/>
    </row>
    <row r="80" spans="1:14" ht="139.5" customHeight="1" outlineLevel="1">
      <c r="A80" s="940">
        <f t="shared" si="11"/>
        <v>5</v>
      </c>
      <c r="B80" s="996" t="s">
        <v>1054</v>
      </c>
      <c r="C80" s="971" t="s">
        <v>1055</v>
      </c>
      <c r="D80" s="971" t="s">
        <v>1055</v>
      </c>
      <c r="E80" s="961" t="s">
        <v>627</v>
      </c>
      <c r="F80" s="962">
        <v>1</v>
      </c>
      <c r="G80" s="1116">
        <v>2400000</v>
      </c>
      <c r="H80" s="1117">
        <v>0.05</v>
      </c>
      <c r="I80" s="950">
        <f t="shared" si="9"/>
        <v>2400000</v>
      </c>
      <c r="J80" s="950">
        <f t="shared" ref="J80:J143" si="12">+ROUND(G80*1.1,0)</f>
        <v>2640000</v>
      </c>
      <c r="K80" s="950">
        <f t="shared" si="10"/>
        <v>2640000</v>
      </c>
      <c r="L80" s="1118"/>
      <c r="M80" s="1129"/>
      <c r="N80" s="1130"/>
    </row>
    <row r="81" spans="1:14" ht="76.5" customHeight="1" outlineLevel="1">
      <c r="A81" s="940">
        <f t="shared" si="11"/>
        <v>6</v>
      </c>
      <c r="B81" s="996" t="s">
        <v>1034</v>
      </c>
      <c r="C81" s="966" t="s">
        <v>1035</v>
      </c>
      <c r="D81" s="944" t="s">
        <v>1035</v>
      </c>
      <c r="E81" s="961" t="s">
        <v>1109</v>
      </c>
      <c r="F81" s="962">
        <f>F75</f>
        <v>1</v>
      </c>
      <c r="G81" s="1116">
        <v>130000</v>
      </c>
      <c r="H81" s="1117">
        <v>0.1</v>
      </c>
      <c r="I81" s="950">
        <f t="shared" si="9"/>
        <v>130000</v>
      </c>
      <c r="J81" s="950">
        <f t="shared" si="12"/>
        <v>143000</v>
      </c>
      <c r="K81" s="950">
        <f t="shared" si="10"/>
        <v>143000</v>
      </c>
      <c r="L81" s="1118"/>
      <c r="M81" s="1129"/>
      <c r="N81" s="1130"/>
    </row>
    <row r="82" spans="1:14" ht="84" customHeight="1" outlineLevel="1">
      <c r="A82" s="940">
        <f t="shared" si="11"/>
        <v>7</v>
      </c>
      <c r="B82" s="944" t="s">
        <v>1066</v>
      </c>
      <c r="C82" s="944" t="s">
        <v>1067</v>
      </c>
      <c r="D82" s="944" t="s">
        <v>1067</v>
      </c>
      <c r="E82" s="940" t="s">
        <v>627</v>
      </c>
      <c r="F82" s="962">
        <v>1</v>
      </c>
      <c r="G82" s="1116">
        <v>300000</v>
      </c>
      <c r="H82" s="1117">
        <v>0.1</v>
      </c>
      <c r="I82" s="950">
        <f t="shared" si="9"/>
        <v>300000</v>
      </c>
      <c r="J82" s="950">
        <f t="shared" si="12"/>
        <v>330000</v>
      </c>
      <c r="K82" s="950">
        <f t="shared" si="10"/>
        <v>330000</v>
      </c>
      <c r="L82" s="1118"/>
      <c r="M82" s="1129"/>
      <c r="N82" s="1130"/>
    </row>
    <row r="83" spans="1:14" ht="15.75">
      <c r="A83" s="940">
        <v>9</v>
      </c>
      <c r="B83" s="941" t="s">
        <v>1110</v>
      </c>
      <c r="C83" s="942"/>
      <c r="D83" s="942"/>
      <c r="E83" s="968" t="s">
        <v>1011</v>
      </c>
      <c r="F83" s="968">
        <v>1</v>
      </c>
      <c r="G83" s="1116"/>
      <c r="H83" s="1117"/>
      <c r="I83" s="950">
        <f t="shared" si="9"/>
        <v>0</v>
      </c>
      <c r="J83" s="950">
        <f t="shared" si="12"/>
        <v>0</v>
      </c>
      <c r="K83" s="950">
        <f t="shared" si="10"/>
        <v>0</v>
      </c>
      <c r="L83" s="1118"/>
      <c r="M83" s="1129"/>
      <c r="N83" s="1130"/>
    </row>
    <row r="84" spans="1:14" ht="136.5" customHeight="1" outlineLevel="1">
      <c r="A84" s="940">
        <v>1</v>
      </c>
      <c r="B84" s="944" t="s">
        <v>1082</v>
      </c>
      <c r="C84" s="953" t="s">
        <v>1083</v>
      </c>
      <c r="D84" s="953" t="s">
        <v>1083</v>
      </c>
      <c r="E84" s="940" t="s">
        <v>627</v>
      </c>
      <c r="F84" s="962">
        <v>1</v>
      </c>
      <c r="G84" s="1116">
        <v>3150000</v>
      </c>
      <c r="H84" s="1117">
        <v>0.1</v>
      </c>
      <c r="I84" s="950">
        <f t="shared" si="9"/>
        <v>3150000</v>
      </c>
      <c r="J84" s="950">
        <f t="shared" si="12"/>
        <v>3465000</v>
      </c>
      <c r="K84" s="950">
        <f t="shared" si="10"/>
        <v>3465000</v>
      </c>
      <c r="L84" s="1118"/>
      <c r="M84" s="1129"/>
      <c r="N84" s="1130"/>
    </row>
    <row r="85" spans="1:14" ht="91.5" customHeight="1" outlineLevel="1">
      <c r="A85" s="940">
        <f>A84+1</f>
        <v>2</v>
      </c>
      <c r="B85" s="944" t="s">
        <v>1077</v>
      </c>
      <c r="C85" s="944" t="s">
        <v>1100</v>
      </c>
      <c r="D85" s="944" t="s">
        <v>1100</v>
      </c>
      <c r="E85" s="940" t="s">
        <v>695</v>
      </c>
      <c r="F85" s="962">
        <v>3</v>
      </c>
      <c r="G85" s="1116">
        <v>480000</v>
      </c>
      <c r="H85" s="1117">
        <v>0.1</v>
      </c>
      <c r="I85" s="950">
        <f t="shared" si="9"/>
        <v>1440000</v>
      </c>
      <c r="J85" s="950">
        <f t="shared" si="12"/>
        <v>528000</v>
      </c>
      <c r="K85" s="950">
        <f t="shared" si="10"/>
        <v>1584000</v>
      </c>
      <c r="L85" s="1118"/>
      <c r="M85" s="1129"/>
      <c r="N85" s="1130"/>
    </row>
    <row r="86" spans="1:14" ht="220.5" customHeight="1" outlineLevel="1">
      <c r="A86" s="940">
        <f>A85+1</f>
        <v>3</v>
      </c>
      <c r="B86" s="944" t="s">
        <v>1021</v>
      </c>
      <c r="C86" s="953" t="s">
        <v>1111</v>
      </c>
      <c r="D86" s="953" t="s">
        <v>1111</v>
      </c>
      <c r="E86" s="997" t="s">
        <v>655</v>
      </c>
      <c r="F86" s="993">
        <v>1</v>
      </c>
      <c r="G86" s="1116">
        <v>5600000</v>
      </c>
      <c r="H86" s="1117">
        <v>0.1</v>
      </c>
      <c r="I86" s="950">
        <f t="shared" si="9"/>
        <v>5600000</v>
      </c>
      <c r="J86" s="950">
        <f t="shared" si="12"/>
        <v>6160000</v>
      </c>
      <c r="K86" s="950">
        <f t="shared" si="10"/>
        <v>6160000</v>
      </c>
      <c r="L86" s="1118"/>
      <c r="M86" s="1129"/>
      <c r="N86" s="1130"/>
    </row>
    <row r="87" spans="1:14" ht="198.75" customHeight="1" outlineLevel="1">
      <c r="A87" s="940">
        <f>A86+1</f>
        <v>4</v>
      </c>
      <c r="B87" s="944" t="s">
        <v>1112</v>
      </c>
      <c r="C87" s="970" t="s">
        <v>1113</v>
      </c>
      <c r="D87" s="970" t="s">
        <v>1113</v>
      </c>
      <c r="E87" s="940" t="s">
        <v>627</v>
      </c>
      <c r="F87" s="962">
        <v>2</v>
      </c>
      <c r="G87" s="1116">
        <v>3500000</v>
      </c>
      <c r="H87" s="1117">
        <v>0.1</v>
      </c>
      <c r="I87" s="950">
        <f t="shared" si="9"/>
        <v>7000000</v>
      </c>
      <c r="J87" s="950">
        <f t="shared" si="12"/>
        <v>3850000</v>
      </c>
      <c r="K87" s="950">
        <f t="shared" si="10"/>
        <v>7700000</v>
      </c>
      <c r="L87" s="1118"/>
      <c r="M87" s="1129"/>
      <c r="N87" s="1130"/>
    </row>
    <row r="88" spans="1:14" ht="278.25" customHeight="1" outlineLevel="1">
      <c r="A88" s="940">
        <f t="shared" ref="A88:A95" si="13">A87+1</f>
        <v>5</v>
      </c>
      <c r="B88" s="1138" t="s">
        <v>1114</v>
      </c>
      <c r="C88" s="970" t="s">
        <v>1115</v>
      </c>
      <c r="D88" s="970" t="s">
        <v>1115</v>
      </c>
      <c r="E88" s="1147" t="s">
        <v>680</v>
      </c>
      <c r="F88" s="1148">
        <v>1</v>
      </c>
      <c r="G88" s="1116">
        <v>25150000</v>
      </c>
      <c r="H88" s="1117">
        <v>0.1</v>
      </c>
      <c r="I88" s="950">
        <f t="shared" si="9"/>
        <v>25150000</v>
      </c>
      <c r="J88" s="950">
        <f t="shared" si="12"/>
        <v>27665000</v>
      </c>
      <c r="K88" s="950">
        <f t="shared" si="10"/>
        <v>27665000</v>
      </c>
      <c r="L88" s="1118"/>
      <c r="M88" s="1129"/>
      <c r="N88" s="1130"/>
    </row>
    <row r="89" spans="1:14" ht="31.5" outlineLevel="1">
      <c r="A89" s="940">
        <f t="shared" si="13"/>
        <v>6</v>
      </c>
      <c r="B89" s="944" t="s">
        <v>1116</v>
      </c>
      <c r="C89" s="971" t="s">
        <v>1117</v>
      </c>
      <c r="D89" s="971" t="s">
        <v>1117</v>
      </c>
      <c r="E89" s="940" t="s">
        <v>627</v>
      </c>
      <c r="F89" s="962">
        <v>1</v>
      </c>
      <c r="G89" s="1116">
        <v>3080000</v>
      </c>
      <c r="H89" s="1117">
        <v>0.1</v>
      </c>
      <c r="I89" s="950">
        <f t="shared" si="9"/>
        <v>3080000</v>
      </c>
      <c r="J89" s="950">
        <f t="shared" si="12"/>
        <v>3388000</v>
      </c>
      <c r="K89" s="950">
        <f t="shared" si="10"/>
        <v>3388000</v>
      </c>
      <c r="L89" s="1118"/>
      <c r="M89" s="1129"/>
      <c r="N89" s="1130"/>
    </row>
    <row r="90" spans="1:14" ht="94.5" outlineLevel="1">
      <c r="A90" s="940">
        <f>A89+1</f>
        <v>7</v>
      </c>
      <c r="B90" s="944" t="s">
        <v>1118</v>
      </c>
      <c r="C90" s="971" t="s">
        <v>1119</v>
      </c>
      <c r="D90" s="971" t="s">
        <v>1119</v>
      </c>
      <c r="E90" s="940" t="s">
        <v>1028</v>
      </c>
      <c r="F90" s="1148">
        <v>1</v>
      </c>
      <c r="G90" s="1116">
        <v>5000000</v>
      </c>
      <c r="H90" s="1117">
        <v>0.1</v>
      </c>
      <c r="I90" s="950">
        <f t="shared" si="9"/>
        <v>5000000</v>
      </c>
      <c r="J90" s="950">
        <f t="shared" si="12"/>
        <v>5500000</v>
      </c>
      <c r="K90" s="950">
        <f t="shared" si="10"/>
        <v>5500000</v>
      </c>
      <c r="L90" s="1118" t="s">
        <v>1120</v>
      </c>
      <c r="M90" s="1129"/>
      <c r="N90" s="1130"/>
    </row>
    <row r="91" spans="1:14" ht="15.75" outlineLevel="1">
      <c r="A91" s="940">
        <f t="shared" si="13"/>
        <v>8</v>
      </c>
      <c r="B91" s="944" t="s">
        <v>1121</v>
      </c>
      <c r="C91" s="971" t="s">
        <v>1122</v>
      </c>
      <c r="D91" s="971" t="s">
        <v>1122</v>
      </c>
      <c r="E91" s="940" t="s">
        <v>627</v>
      </c>
      <c r="F91" s="962">
        <v>1</v>
      </c>
      <c r="G91" s="1116">
        <v>4130000</v>
      </c>
      <c r="H91" s="1117">
        <v>0.1</v>
      </c>
      <c r="I91" s="950">
        <f t="shared" si="9"/>
        <v>4130000</v>
      </c>
      <c r="J91" s="950">
        <f t="shared" si="12"/>
        <v>4543000</v>
      </c>
      <c r="K91" s="950">
        <f t="shared" si="10"/>
        <v>4543000</v>
      </c>
      <c r="L91" s="1118"/>
      <c r="M91" s="1129"/>
      <c r="N91" s="1130"/>
    </row>
    <row r="92" spans="1:14" ht="63" outlineLevel="1">
      <c r="A92" s="940">
        <f t="shared" si="13"/>
        <v>9</v>
      </c>
      <c r="B92" s="944" t="s">
        <v>1066</v>
      </c>
      <c r="C92" s="944" t="s">
        <v>1067</v>
      </c>
      <c r="D92" s="944" t="s">
        <v>1067</v>
      </c>
      <c r="E92" s="940" t="s">
        <v>627</v>
      </c>
      <c r="F92" s="962">
        <v>1</v>
      </c>
      <c r="G92" s="1116">
        <v>300000</v>
      </c>
      <c r="H92" s="1117">
        <v>0.1</v>
      </c>
      <c r="I92" s="950">
        <f t="shared" si="9"/>
        <v>300000</v>
      </c>
      <c r="J92" s="950">
        <f t="shared" si="12"/>
        <v>330000</v>
      </c>
      <c r="K92" s="950">
        <f t="shared" si="10"/>
        <v>330000</v>
      </c>
      <c r="L92" s="1118"/>
      <c r="M92" s="1129"/>
      <c r="N92" s="1130"/>
    </row>
    <row r="93" spans="1:14" ht="189" customHeight="1" outlineLevel="1">
      <c r="A93" s="940">
        <f t="shared" si="13"/>
        <v>10</v>
      </c>
      <c r="B93" s="1149" t="s">
        <v>1123</v>
      </c>
      <c r="C93" s="1138" t="s">
        <v>1124</v>
      </c>
      <c r="D93" s="1138" t="s">
        <v>1124</v>
      </c>
      <c r="E93" s="1150" t="s">
        <v>627</v>
      </c>
      <c r="F93" s="1148">
        <v>1</v>
      </c>
      <c r="G93" s="1116">
        <v>4900000</v>
      </c>
      <c r="H93" s="1117">
        <v>0.1</v>
      </c>
      <c r="I93" s="950">
        <f t="shared" si="9"/>
        <v>4900000</v>
      </c>
      <c r="J93" s="950">
        <f t="shared" si="12"/>
        <v>5390000</v>
      </c>
      <c r="K93" s="950">
        <f t="shared" si="10"/>
        <v>5390000</v>
      </c>
      <c r="L93" s="1118"/>
      <c r="M93" s="1129"/>
      <c r="N93" s="1130"/>
    </row>
    <row r="94" spans="1:14" ht="148.5" customHeight="1" outlineLevel="1">
      <c r="A94" s="940">
        <f t="shared" si="13"/>
        <v>11</v>
      </c>
      <c r="B94" s="944" t="s">
        <v>1125</v>
      </c>
      <c r="C94" s="953" t="s">
        <v>1126</v>
      </c>
      <c r="D94" s="953" t="s">
        <v>1126</v>
      </c>
      <c r="E94" s="940" t="s">
        <v>627</v>
      </c>
      <c r="F94" s="962">
        <v>1</v>
      </c>
      <c r="G94" s="1116">
        <v>850000</v>
      </c>
      <c r="H94" s="1117">
        <v>0.1</v>
      </c>
      <c r="I94" s="950">
        <f t="shared" si="9"/>
        <v>850000</v>
      </c>
      <c r="J94" s="950">
        <f t="shared" si="12"/>
        <v>935000</v>
      </c>
      <c r="K94" s="950">
        <f t="shared" si="10"/>
        <v>935000</v>
      </c>
      <c r="L94" s="1118"/>
      <c r="M94" s="1129"/>
      <c r="N94" s="1130"/>
    </row>
    <row r="95" spans="1:14" ht="87.75" customHeight="1" outlineLevel="1">
      <c r="A95" s="940">
        <f t="shared" si="13"/>
        <v>12</v>
      </c>
      <c r="B95" s="944" t="s">
        <v>1034</v>
      </c>
      <c r="C95" s="966" t="s">
        <v>1035</v>
      </c>
      <c r="D95" s="966" t="s">
        <v>1035</v>
      </c>
      <c r="E95" s="940" t="s">
        <v>1068</v>
      </c>
      <c r="F95" s="962">
        <f>F83</f>
        <v>1</v>
      </c>
      <c r="G95" s="1116">
        <v>130000</v>
      </c>
      <c r="H95" s="1117">
        <v>0.1</v>
      </c>
      <c r="I95" s="950">
        <f t="shared" si="9"/>
        <v>130000</v>
      </c>
      <c r="J95" s="950">
        <f t="shared" si="12"/>
        <v>143000</v>
      </c>
      <c r="K95" s="950">
        <f t="shared" si="10"/>
        <v>143000</v>
      </c>
      <c r="L95" s="1118"/>
      <c r="M95" s="1129"/>
      <c r="N95" s="1130"/>
    </row>
    <row r="96" spans="1:14" ht="23.25" customHeight="1">
      <c r="A96" s="940">
        <v>10</v>
      </c>
      <c r="B96" s="941" t="s">
        <v>1127</v>
      </c>
      <c r="C96" s="942"/>
      <c r="D96" s="942"/>
      <c r="E96" s="968" t="s">
        <v>1011</v>
      </c>
      <c r="F96" s="968">
        <v>1</v>
      </c>
      <c r="G96" s="1116"/>
      <c r="H96" s="1117"/>
      <c r="I96" s="950">
        <f t="shared" si="9"/>
        <v>0</v>
      </c>
      <c r="J96" s="950">
        <f t="shared" si="12"/>
        <v>0</v>
      </c>
      <c r="K96" s="950">
        <f t="shared" si="10"/>
        <v>0</v>
      </c>
      <c r="L96" s="1118"/>
      <c r="M96" s="1129"/>
      <c r="N96" s="1130"/>
    </row>
    <row r="97" spans="1:14" ht="138.75" customHeight="1" outlineLevel="1">
      <c r="A97" s="940">
        <v>1</v>
      </c>
      <c r="B97" s="944" t="s">
        <v>1082</v>
      </c>
      <c r="C97" s="953" t="s">
        <v>1083</v>
      </c>
      <c r="D97" s="953" t="s">
        <v>1083</v>
      </c>
      <c r="E97" s="940" t="s">
        <v>627</v>
      </c>
      <c r="F97" s="962">
        <v>1</v>
      </c>
      <c r="G97" s="1116">
        <v>3150000</v>
      </c>
      <c r="H97" s="1117">
        <v>0.1</v>
      </c>
      <c r="I97" s="950">
        <f t="shared" si="9"/>
        <v>3150000</v>
      </c>
      <c r="J97" s="950">
        <f t="shared" si="12"/>
        <v>3465000</v>
      </c>
      <c r="K97" s="950">
        <f t="shared" si="10"/>
        <v>3465000</v>
      </c>
      <c r="L97" s="1118"/>
      <c r="M97" s="1129"/>
      <c r="N97" s="1130"/>
    </row>
    <row r="98" spans="1:14" ht="141" customHeight="1" outlineLevel="1">
      <c r="A98" s="940">
        <f t="shared" ref="A98:A103" si="14">A97+1</f>
        <v>2</v>
      </c>
      <c r="B98" s="944" t="s">
        <v>1128</v>
      </c>
      <c r="C98" s="969" t="s">
        <v>1129</v>
      </c>
      <c r="D98" s="969" t="s">
        <v>1129</v>
      </c>
      <c r="E98" s="940" t="s">
        <v>627</v>
      </c>
      <c r="F98" s="962">
        <v>1</v>
      </c>
      <c r="G98" s="1116">
        <v>7800000</v>
      </c>
      <c r="H98" s="1117">
        <v>0.1</v>
      </c>
      <c r="I98" s="950">
        <f t="shared" si="9"/>
        <v>7800000</v>
      </c>
      <c r="J98" s="950">
        <f t="shared" si="12"/>
        <v>8580000</v>
      </c>
      <c r="K98" s="950">
        <f t="shared" si="10"/>
        <v>8580000</v>
      </c>
      <c r="L98" s="1118"/>
      <c r="M98" s="1129"/>
      <c r="N98" s="1130"/>
    </row>
    <row r="99" spans="1:14" ht="94.5" customHeight="1" outlineLevel="1">
      <c r="A99" s="940">
        <f t="shared" si="14"/>
        <v>3</v>
      </c>
      <c r="B99" s="944" t="s">
        <v>1077</v>
      </c>
      <c r="C99" s="944" t="s">
        <v>1100</v>
      </c>
      <c r="D99" s="944" t="s">
        <v>1100</v>
      </c>
      <c r="E99" s="940" t="s">
        <v>627</v>
      </c>
      <c r="F99" s="962">
        <v>11</v>
      </c>
      <c r="G99" s="1116">
        <v>480000</v>
      </c>
      <c r="H99" s="1117">
        <v>0.1</v>
      </c>
      <c r="I99" s="950">
        <f t="shared" si="9"/>
        <v>5280000</v>
      </c>
      <c r="J99" s="950">
        <f t="shared" si="12"/>
        <v>528000</v>
      </c>
      <c r="K99" s="950">
        <f t="shared" si="10"/>
        <v>5808000</v>
      </c>
      <c r="L99" s="1118"/>
      <c r="M99" s="1129"/>
      <c r="N99" s="1130"/>
    </row>
    <row r="100" spans="1:14" ht="157.5" outlineLevel="1">
      <c r="A100" s="940">
        <f t="shared" si="14"/>
        <v>4</v>
      </c>
      <c r="B100" s="944" t="s">
        <v>1021</v>
      </c>
      <c r="C100" s="953" t="s">
        <v>1085</v>
      </c>
      <c r="D100" s="953" t="s">
        <v>1085</v>
      </c>
      <c r="E100" s="940" t="s">
        <v>627</v>
      </c>
      <c r="F100" s="962">
        <v>2</v>
      </c>
      <c r="G100" s="1116">
        <v>5600000</v>
      </c>
      <c r="H100" s="1117">
        <v>0.1</v>
      </c>
      <c r="I100" s="950">
        <f t="shared" si="9"/>
        <v>11200000</v>
      </c>
      <c r="J100" s="950">
        <f t="shared" si="12"/>
        <v>6160000</v>
      </c>
      <c r="K100" s="950">
        <f t="shared" si="10"/>
        <v>12320000</v>
      </c>
      <c r="L100" s="1118"/>
      <c r="M100" s="1129"/>
      <c r="N100" s="1130"/>
    </row>
    <row r="101" spans="1:14" ht="110.25" outlineLevel="1">
      <c r="A101" s="940">
        <f t="shared" si="14"/>
        <v>5</v>
      </c>
      <c r="B101" s="944" t="s">
        <v>1054</v>
      </c>
      <c r="C101" s="971" t="s">
        <v>1055</v>
      </c>
      <c r="D101" s="971" t="s">
        <v>1055</v>
      </c>
      <c r="E101" s="940" t="s">
        <v>627</v>
      </c>
      <c r="F101" s="962">
        <v>1</v>
      </c>
      <c r="G101" s="1116">
        <v>2400000</v>
      </c>
      <c r="H101" s="1117">
        <v>0.05</v>
      </c>
      <c r="I101" s="950">
        <f t="shared" si="9"/>
        <v>2400000</v>
      </c>
      <c r="J101" s="950">
        <f t="shared" si="12"/>
        <v>2640000</v>
      </c>
      <c r="K101" s="950">
        <f t="shared" si="10"/>
        <v>2640000</v>
      </c>
      <c r="L101" s="1118"/>
      <c r="M101" s="1129"/>
      <c r="N101" s="1130"/>
    </row>
    <row r="102" spans="1:14" ht="47.25" outlineLevel="1">
      <c r="A102" s="940">
        <f t="shared" si="14"/>
        <v>6</v>
      </c>
      <c r="B102" s="944" t="s">
        <v>1034</v>
      </c>
      <c r="C102" s="966" t="s">
        <v>1035</v>
      </c>
      <c r="D102" s="966" t="s">
        <v>1035</v>
      </c>
      <c r="E102" s="940" t="s">
        <v>1068</v>
      </c>
      <c r="F102" s="962">
        <f>F96</f>
        <v>1</v>
      </c>
      <c r="G102" s="1116">
        <v>130000</v>
      </c>
      <c r="H102" s="1117">
        <v>0.1</v>
      </c>
      <c r="I102" s="950">
        <f t="shared" si="9"/>
        <v>130000</v>
      </c>
      <c r="J102" s="950">
        <f t="shared" si="12"/>
        <v>143000</v>
      </c>
      <c r="K102" s="950">
        <f t="shared" si="10"/>
        <v>143000</v>
      </c>
      <c r="L102" s="1118"/>
      <c r="M102" s="1129"/>
      <c r="N102" s="1130"/>
    </row>
    <row r="103" spans="1:14" ht="63" outlineLevel="1">
      <c r="A103" s="940">
        <f t="shared" si="14"/>
        <v>7</v>
      </c>
      <c r="B103" s="944" t="s">
        <v>1066</v>
      </c>
      <c r="C103" s="944" t="s">
        <v>1067</v>
      </c>
      <c r="D103" s="944" t="s">
        <v>1067</v>
      </c>
      <c r="E103" s="940" t="s">
        <v>627</v>
      </c>
      <c r="F103" s="962">
        <v>1</v>
      </c>
      <c r="G103" s="1116">
        <v>300000</v>
      </c>
      <c r="H103" s="1117">
        <v>0.1</v>
      </c>
      <c r="I103" s="950">
        <f t="shared" si="9"/>
        <v>300000</v>
      </c>
      <c r="J103" s="950">
        <f t="shared" si="12"/>
        <v>330000</v>
      </c>
      <c r="K103" s="950">
        <f t="shared" si="10"/>
        <v>330000</v>
      </c>
      <c r="L103" s="1118"/>
      <c r="M103" s="1129"/>
      <c r="N103" s="1130"/>
    </row>
    <row r="104" spans="1:14" ht="15.75">
      <c r="A104" s="940">
        <v>11</v>
      </c>
      <c r="B104" s="941" t="s">
        <v>1130</v>
      </c>
      <c r="C104" s="942"/>
      <c r="D104" s="942"/>
      <c r="E104" s="968" t="s">
        <v>1011</v>
      </c>
      <c r="F104" s="968">
        <v>1</v>
      </c>
      <c r="G104" s="1116"/>
      <c r="H104" s="1117"/>
      <c r="I104" s="950">
        <f t="shared" si="9"/>
        <v>0</v>
      </c>
      <c r="J104" s="950">
        <f t="shared" si="12"/>
        <v>0</v>
      </c>
      <c r="K104" s="950">
        <f t="shared" si="10"/>
        <v>0</v>
      </c>
      <c r="L104" s="1118"/>
      <c r="M104" s="1129"/>
      <c r="N104" s="1130"/>
    </row>
    <row r="105" spans="1:14" ht="94.5" outlineLevel="1">
      <c r="A105" s="940">
        <v>1</v>
      </c>
      <c r="B105" s="944" t="s">
        <v>1082</v>
      </c>
      <c r="C105" s="953" t="s">
        <v>1131</v>
      </c>
      <c r="D105" s="953" t="s">
        <v>1131</v>
      </c>
      <c r="E105" s="940" t="s">
        <v>627</v>
      </c>
      <c r="F105" s="962">
        <v>1</v>
      </c>
      <c r="G105" s="1116">
        <v>3150000</v>
      </c>
      <c r="H105" s="1117">
        <v>0.1</v>
      </c>
      <c r="I105" s="950">
        <f t="shared" si="9"/>
        <v>3150000</v>
      </c>
      <c r="J105" s="950">
        <f t="shared" si="12"/>
        <v>3465000</v>
      </c>
      <c r="K105" s="950">
        <f t="shared" si="10"/>
        <v>3465000</v>
      </c>
      <c r="L105" s="1118"/>
      <c r="M105" s="1129"/>
      <c r="N105" s="1130"/>
    </row>
    <row r="106" spans="1:14" ht="78.75" outlineLevel="1">
      <c r="A106" s="940">
        <f t="shared" ref="A106:A111" si="15">A105+1</f>
        <v>2</v>
      </c>
      <c r="B106" s="944" t="s">
        <v>1128</v>
      </c>
      <c r="C106" s="969" t="s">
        <v>1132</v>
      </c>
      <c r="D106" s="969" t="s">
        <v>1132</v>
      </c>
      <c r="E106" s="940" t="s">
        <v>627</v>
      </c>
      <c r="F106" s="962">
        <v>1</v>
      </c>
      <c r="G106" s="1116">
        <v>7800000</v>
      </c>
      <c r="H106" s="1117">
        <v>0.1</v>
      </c>
      <c r="I106" s="950">
        <f t="shared" si="9"/>
        <v>7800000</v>
      </c>
      <c r="J106" s="950">
        <f t="shared" si="12"/>
        <v>8580000</v>
      </c>
      <c r="K106" s="950">
        <f t="shared" si="10"/>
        <v>8580000</v>
      </c>
      <c r="L106" s="1118"/>
      <c r="M106" s="1129"/>
      <c r="N106" s="1130"/>
    </row>
    <row r="107" spans="1:14" ht="63" outlineLevel="1">
      <c r="A107" s="940">
        <f t="shared" si="15"/>
        <v>3</v>
      </c>
      <c r="B107" s="944" t="s">
        <v>1077</v>
      </c>
      <c r="C107" s="944" t="s">
        <v>1100</v>
      </c>
      <c r="D107" s="944" t="s">
        <v>1100</v>
      </c>
      <c r="E107" s="940" t="s">
        <v>627</v>
      </c>
      <c r="F107" s="962">
        <v>11</v>
      </c>
      <c r="G107" s="1116">
        <v>480000</v>
      </c>
      <c r="H107" s="1117">
        <v>0.1</v>
      </c>
      <c r="I107" s="950">
        <f t="shared" si="9"/>
        <v>5280000</v>
      </c>
      <c r="J107" s="950">
        <f t="shared" si="12"/>
        <v>528000</v>
      </c>
      <c r="K107" s="950">
        <f t="shared" si="10"/>
        <v>5808000</v>
      </c>
      <c r="L107" s="1118"/>
      <c r="M107" s="1129"/>
      <c r="N107" s="1130"/>
    </row>
    <row r="108" spans="1:14" ht="157.5" outlineLevel="1">
      <c r="A108" s="940">
        <f t="shared" si="15"/>
        <v>4</v>
      </c>
      <c r="B108" s="944" t="s">
        <v>1021</v>
      </c>
      <c r="C108" s="953" t="s">
        <v>1022</v>
      </c>
      <c r="D108" s="953" t="s">
        <v>1022</v>
      </c>
      <c r="E108" s="940" t="s">
        <v>627</v>
      </c>
      <c r="F108" s="962">
        <v>1</v>
      </c>
      <c r="G108" s="1116">
        <v>5600000</v>
      </c>
      <c r="H108" s="1117">
        <v>0.1</v>
      </c>
      <c r="I108" s="950">
        <f t="shared" si="9"/>
        <v>5600000</v>
      </c>
      <c r="J108" s="950">
        <f t="shared" si="12"/>
        <v>6160000</v>
      </c>
      <c r="K108" s="950">
        <f t="shared" si="10"/>
        <v>6160000</v>
      </c>
      <c r="L108" s="1118"/>
      <c r="M108" s="1129"/>
      <c r="N108" s="1130"/>
    </row>
    <row r="109" spans="1:14" ht="110.25" outlineLevel="1">
      <c r="A109" s="940">
        <f t="shared" si="15"/>
        <v>5</v>
      </c>
      <c r="B109" s="944" t="s">
        <v>1054</v>
      </c>
      <c r="C109" s="971" t="s">
        <v>1055</v>
      </c>
      <c r="D109" s="971" t="s">
        <v>1055</v>
      </c>
      <c r="E109" s="940" t="s">
        <v>627</v>
      </c>
      <c r="F109" s="962">
        <v>1</v>
      </c>
      <c r="G109" s="1116">
        <v>2400000</v>
      </c>
      <c r="H109" s="1117">
        <v>0.05</v>
      </c>
      <c r="I109" s="950">
        <f t="shared" si="9"/>
        <v>2400000</v>
      </c>
      <c r="J109" s="950">
        <f t="shared" si="12"/>
        <v>2640000</v>
      </c>
      <c r="K109" s="950">
        <f t="shared" si="10"/>
        <v>2640000</v>
      </c>
      <c r="L109" s="1118"/>
      <c r="M109" s="1129"/>
      <c r="N109" s="1130"/>
    </row>
    <row r="110" spans="1:14" ht="47.25" outlineLevel="1">
      <c r="A110" s="940">
        <f t="shared" si="15"/>
        <v>6</v>
      </c>
      <c r="B110" s="944" t="s">
        <v>1034</v>
      </c>
      <c r="C110" s="966" t="s">
        <v>1035</v>
      </c>
      <c r="D110" s="966" t="s">
        <v>1035</v>
      </c>
      <c r="E110" s="940" t="s">
        <v>1068</v>
      </c>
      <c r="F110" s="962">
        <f>F103</f>
        <v>1</v>
      </c>
      <c r="G110" s="1116">
        <v>130000</v>
      </c>
      <c r="H110" s="1117">
        <v>0.1</v>
      </c>
      <c r="I110" s="950">
        <f t="shared" si="9"/>
        <v>130000</v>
      </c>
      <c r="J110" s="950">
        <f t="shared" si="12"/>
        <v>143000</v>
      </c>
      <c r="K110" s="950">
        <f t="shared" si="10"/>
        <v>143000</v>
      </c>
      <c r="L110" s="1118"/>
      <c r="M110" s="1129"/>
      <c r="N110" s="1130"/>
    </row>
    <row r="111" spans="1:14" ht="63" outlineLevel="1">
      <c r="A111" s="940">
        <f t="shared" si="15"/>
        <v>7</v>
      </c>
      <c r="B111" s="944" t="s">
        <v>1066</v>
      </c>
      <c r="C111" s="944" t="s">
        <v>1067</v>
      </c>
      <c r="D111" s="944" t="s">
        <v>1067</v>
      </c>
      <c r="E111" s="940" t="s">
        <v>627</v>
      </c>
      <c r="F111" s="962">
        <v>1</v>
      </c>
      <c r="G111" s="1116">
        <v>300000</v>
      </c>
      <c r="H111" s="1117">
        <v>0.1</v>
      </c>
      <c r="I111" s="950">
        <f t="shared" si="9"/>
        <v>300000</v>
      </c>
      <c r="J111" s="950">
        <f t="shared" si="12"/>
        <v>330000</v>
      </c>
      <c r="K111" s="950">
        <f t="shared" si="10"/>
        <v>330000</v>
      </c>
      <c r="L111" s="1118"/>
      <c r="M111" s="1129"/>
      <c r="N111" s="1130"/>
    </row>
    <row r="112" spans="1:14" ht="15.75">
      <c r="A112" s="940">
        <v>12</v>
      </c>
      <c r="B112" s="1151" t="s">
        <v>1133</v>
      </c>
      <c r="C112" s="944"/>
      <c r="D112" s="944"/>
      <c r="E112" s="940" t="s">
        <v>1134</v>
      </c>
      <c r="F112" s="940">
        <v>2</v>
      </c>
      <c r="G112" s="1116"/>
      <c r="H112" s="1117"/>
      <c r="I112" s="950">
        <f t="shared" si="9"/>
        <v>0</v>
      </c>
      <c r="J112" s="950">
        <f t="shared" si="12"/>
        <v>0</v>
      </c>
      <c r="K112" s="950">
        <f t="shared" si="10"/>
        <v>0</v>
      </c>
      <c r="L112" s="1118"/>
      <c r="M112" s="1129"/>
      <c r="N112" s="1130"/>
    </row>
    <row r="113" spans="1:14" ht="94.5" outlineLevel="1">
      <c r="A113" s="940">
        <v>1</v>
      </c>
      <c r="B113" s="944" t="s">
        <v>1082</v>
      </c>
      <c r="C113" s="953" t="s">
        <v>1083</v>
      </c>
      <c r="D113" s="953" t="s">
        <v>1083</v>
      </c>
      <c r="E113" s="940" t="s">
        <v>627</v>
      </c>
      <c r="F113" s="962">
        <v>1</v>
      </c>
      <c r="G113" s="1116">
        <v>3150000</v>
      </c>
      <c r="H113" s="1117">
        <v>0.1</v>
      </c>
      <c r="I113" s="950">
        <f t="shared" si="9"/>
        <v>3150000</v>
      </c>
      <c r="J113" s="950">
        <f t="shared" si="12"/>
        <v>3465000</v>
      </c>
      <c r="K113" s="950">
        <f t="shared" si="10"/>
        <v>3465000</v>
      </c>
      <c r="L113" s="1118"/>
      <c r="M113" s="1129"/>
      <c r="N113" s="1130"/>
    </row>
    <row r="114" spans="1:14" ht="78.75" outlineLevel="1">
      <c r="A114" s="940">
        <f>A113+1</f>
        <v>2</v>
      </c>
      <c r="B114" s="944" t="s">
        <v>1128</v>
      </c>
      <c r="C114" s="969" t="s">
        <v>1132</v>
      </c>
      <c r="D114" s="969" t="s">
        <v>1132</v>
      </c>
      <c r="E114" s="940" t="s">
        <v>627</v>
      </c>
      <c r="F114" s="962">
        <v>1</v>
      </c>
      <c r="G114" s="1116">
        <v>7800000</v>
      </c>
      <c r="H114" s="1117">
        <v>0.1</v>
      </c>
      <c r="I114" s="950">
        <f t="shared" si="9"/>
        <v>7800000</v>
      </c>
      <c r="J114" s="950">
        <f t="shared" si="12"/>
        <v>8580000</v>
      </c>
      <c r="K114" s="950">
        <f t="shared" si="10"/>
        <v>8580000</v>
      </c>
      <c r="L114" s="1118"/>
      <c r="M114" s="1129"/>
      <c r="N114" s="1130"/>
    </row>
    <row r="115" spans="1:14" ht="63" outlineLevel="1">
      <c r="A115" s="940">
        <f>A114+1</f>
        <v>3</v>
      </c>
      <c r="B115" s="944" t="s">
        <v>1077</v>
      </c>
      <c r="C115" s="944" t="s">
        <v>1100</v>
      </c>
      <c r="D115" s="944" t="s">
        <v>1100</v>
      </c>
      <c r="E115" s="940" t="s">
        <v>627</v>
      </c>
      <c r="F115" s="962">
        <v>11</v>
      </c>
      <c r="G115" s="1116">
        <v>480000</v>
      </c>
      <c r="H115" s="1117">
        <v>0.1</v>
      </c>
      <c r="I115" s="950">
        <f t="shared" si="9"/>
        <v>5280000</v>
      </c>
      <c r="J115" s="950">
        <f t="shared" si="12"/>
        <v>528000</v>
      </c>
      <c r="K115" s="950">
        <f t="shared" si="10"/>
        <v>5808000</v>
      </c>
      <c r="L115" s="1118"/>
      <c r="M115" s="1129"/>
      <c r="N115" s="1130"/>
    </row>
    <row r="116" spans="1:14" ht="47.25" outlineLevel="1">
      <c r="A116" s="940">
        <f>A115+1</f>
        <v>4</v>
      </c>
      <c r="B116" s="944" t="s">
        <v>1034</v>
      </c>
      <c r="C116" s="966" t="s">
        <v>1035</v>
      </c>
      <c r="D116" s="966" t="s">
        <v>1035</v>
      </c>
      <c r="E116" s="940" t="s">
        <v>627</v>
      </c>
      <c r="F116" s="962">
        <v>1</v>
      </c>
      <c r="G116" s="1116">
        <v>130000</v>
      </c>
      <c r="H116" s="1117">
        <v>0.1</v>
      </c>
      <c r="I116" s="950">
        <f t="shared" si="9"/>
        <v>130000</v>
      </c>
      <c r="J116" s="950">
        <f t="shared" si="12"/>
        <v>143000</v>
      </c>
      <c r="K116" s="950">
        <f t="shared" si="10"/>
        <v>143000</v>
      </c>
      <c r="L116" s="1118"/>
      <c r="M116" s="1129"/>
      <c r="N116" s="1130"/>
    </row>
    <row r="117" spans="1:14" ht="63" outlineLevel="1">
      <c r="A117" s="940">
        <f>A116+1</f>
        <v>5</v>
      </c>
      <c r="B117" s="944" t="s">
        <v>1066</v>
      </c>
      <c r="C117" s="944" t="s">
        <v>1067</v>
      </c>
      <c r="D117" s="944" t="s">
        <v>1067</v>
      </c>
      <c r="E117" s="940" t="s">
        <v>627</v>
      </c>
      <c r="F117" s="962">
        <v>1</v>
      </c>
      <c r="G117" s="1116">
        <v>300000</v>
      </c>
      <c r="H117" s="1117">
        <v>0.1</v>
      </c>
      <c r="I117" s="950">
        <f t="shared" si="9"/>
        <v>300000</v>
      </c>
      <c r="J117" s="950">
        <f t="shared" si="12"/>
        <v>330000</v>
      </c>
      <c r="K117" s="950">
        <f t="shared" si="10"/>
        <v>330000</v>
      </c>
      <c r="L117" s="1118"/>
      <c r="M117" s="1129"/>
      <c r="N117" s="1130"/>
    </row>
    <row r="118" spans="1:14" ht="15.75">
      <c r="A118" s="940">
        <v>13</v>
      </c>
      <c r="B118" s="941" t="s">
        <v>1135</v>
      </c>
      <c r="C118" s="942"/>
      <c r="D118" s="942"/>
      <c r="E118" s="968" t="s">
        <v>1011</v>
      </c>
      <c r="F118" s="968">
        <v>1</v>
      </c>
      <c r="G118" s="1116"/>
      <c r="H118" s="1117"/>
      <c r="I118" s="950">
        <f t="shared" si="9"/>
        <v>0</v>
      </c>
      <c r="J118" s="950">
        <f t="shared" si="12"/>
        <v>0</v>
      </c>
      <c r="K118" s="950">
        <f t="shared" si="10"/>
        <v>0</v>
      </c>
      <c r="L118" s="1118"/>
      <c r="M118" s="1129"/>
      <c r="N118" s="1130"/>
    </row>
    <row r="119" spans="1:14" ht="78.75" outlineLevel="1">
      <c r="A119" s="940">
        <v>1</v>
      </c>
      <c r="B119" s="944" t="s">
        <v>1128</v>
      </c>
      <c r="C119" s="969" t="s">
        <v>1132</v>
      </c>
      <c r="D119" s="969" t="s">
        <v>1132</v>
      </c>
      <c r="E119" s="940" t="s">
        <v>627</v>
      </c>
      <c r="F119" s="962">
        <v>1</v>
      </c>
      <c r="G119" s="1116">
        <v>7800000</v>
      </c>
      <c r="H119" s="1117">
        <v>0.1</v>
      </c>
      <c r="I119" s="950">
        <f t="shared" si="9"/>
        <v>7800000</v>
      </c>
      <c r="J119" s="950">
        <f t="shared" si="12"/>
        <v>8580000</v>
      </c>
      <c r="K119" s="950">
        <f t="shared" si="10"/>
        <v>8580000</v>
      </c>
      <c r="L119" s="1118"/>
      <c r="M119" s="1129"/>
      <c r="N119" s="1130"/>
    </row>
    <row r="120" spans="1:14" ht="63" outlineLevel="1">
      <c r="A120" s="940">
        <f>A119+1</f>
        <v>2</v>
      </c>
      <c r="B120" s="944" t="s">
        <v>1077</v>
      </c>
      <c r="C120" s="944" t="s">
        <v>1100</v>
      </c>
      <c r="D120" s="944" t="s">
        <v>1100</v>
      </c>
      <c r="E120" s="940" t="s">
        <v>627</v>
      </c>
      <c r="F120" s="962">
        <v>10</v>
      </c>
      <c r="G120" s="1116">
        <v>480000</v>
      </c>
      <c r="H120" s="1117">
        <v>0.1</v>
      </c>
      <c r="I120" s="950">
        <f t="shared" si="9"/>
        <v>4800000</v>
      </c>
      <c r="J120" s="950">
        <f t="shared" si="12"/>
        <v>528000</v>
      </c>
      <c r="K120" s="950">
        <f t="shared" si="10"/>
        <v>5280000</v>
      </c>
      <c r="L120" s="1118"/>
      <c r="M120" s="1129"/>
      <c r="N120" s="1130"/>
    </row>
    <row r="121" spans="1:14" ht="63" outlineLevel="1">
      <c r="A121" s="940">
        <f>A120+1</f>
        <v>3</v>
      </c>
      <c r="B121" s="944" t="s">
        <v>1136</v>
      </c>
      <c r="C121" s="952" t="s">
        <v>1137</v>
      </c>
      <c r="D121" s="952" t="s">
        <v>1137</v>
      </c>
      <c r="E121" s="940" t="s">
        <v>627</v>
      </c>
      <c r="F121" s="962">
        <v>4</v>
      </c>
      <c r="G121" s="1116">
        <v>3740000</v>
      </c>
      <c r="H121" s="1117">
        <v>0.1</v>
      </c>
      <c r="I121" s="950">
        <f t="shared" si="9"/>
        <v>14960000</v>
      </c>
      <c r="J121" s="950">
        <f t="shared" si="12"/>
        <v>4114000</v>
      </c>
      <c r="K121" s="950">
        <f t="shared" si="10"/>
        <v>16456000</v>
      </c>
      <c r="L121" s="1118"/>
      <c r="M121" s="1129"/>
      <c r="N121" s="1130"/>
    </row>
    <row r="122" spans="1:14" ht="94.5" outlineLevel="1">
      <c r="A122" s="940">
        <f t="shared" ref="A122:A125" si="16">A121+1</f>
        <v>4</v>
      </c>
      <c r="B122" s="944" t="s">
        <v>1138</v>
      </c>
      <c r="C122" s="1138" t="s">
        <v>1124</v>
      </c>
      <c r="D122" s="1138" t="s">
        <v>1124</v>
      </c>
      <c r="E122" s="940" t="s">
        <v>627</v>
      </c>
      <c r="F122" s="962">
        <v>1</v>
      </c>
      <c r="G122" s="1116">
        <v>4900000</v>
      </c>
      <c r="H122" s="1117">
        <v>0.1</v>
      </c>
      <c r="I122" s="950">
        <f t="shared" si="9"/>
        <v>4900000</v>
      </c>
      <c r="J122" s="950">
        <f t="shared" si="12"/>
        <v>5390000</v>
      </c>
      <c r="K122" s="950">
        <f t="shared" si="10"/>
        <v>5390000</v>
      </c>
      <c r="L122" s="1118"/>
      <c r="M122" s="1129"/>
      <c r="N122" s="1130"/>
    </row>
    <row r="123" spans="1:14" ht="53.25" customHeight="1" outlineLevel="1">
      <c r="A123" s="940">
        <f t="shared" si="16"/>
        <v>5</v>
      </c>
      <c r="B123" s="944" t="s">
        <v>1139</v>
      </c>
      <c r="C123" s="952" t="s">
        <v>1140</v>
      </c>
      <c r="D123" s="952" t="s">
        <v>1140</v>
      </c>
      <c r="E123" s="940" t="s">
        <v>627</v>
      </c>
      <c r="F123" s="962">
        <v>1</v>
      </c>
      <c r="G123" s="1116">
        <v>21990000</v>
      </c>
      <c r="H123" s="1117">
        <v>0.1</v>
      </c>
      <c r="I123" s="950">
        <f t="shared" si="9"/>
        <v>21990000</v>
      </c>
      <c r="J123" s="950">
        <f t="shared" si="12"/>
        <v>24189000</v>
      </c>
      <c r="K123" s="950">
        <f t="shared" si="10"/>
        <v>24189000</v>
      </c>
      <c r="L123" s="1118"/>
      <c r="M123" s="1129"/>
      <c r="N123" s="1130"/>
    </row>
    <row r="124" spans="1:14" ht="47.25" outlineLevel="1">
      <c r="A124" s="940">
        <f t="shared" si="16"/>
        <v>6</v>
      </c>
      <c r="B124" s="944" t="s">
        <v>1034</v>
      </c>
      <c r="C124" s="966" t="s">
        <v>1035</v>
      </c>
      <c r="D124" s="966" t="s">
        <v>1035</v>
      </c>
      <c r="E124" s="940" t="s">
        <v>1068</v>
      </c>
      <c r="F124" s="962">
        <v>1</v>
      </c>
      <c r="G124" s="1116">
        <v>130000</v>
      </c>
      <c r="H124" s="1117">
        <v>0.1</v>
      </c>
      <c r="I124" s="950">
        <f t="shared" si="9"/>
        <v>130000</v>
      </c>
      <c r="J124" s="950">
        <f t="shared" si="12"/>
        <v>143000</v>
      </c>
      <c r="K124" s="950">
        <f t="shared" si="10"/>
        <v>143000</v>
      </c>
      <c r="L124" s="1118"/>
      <c r="M124" s="1129"/>
      <c r="N124" s="1130"/>
    </row>
    <row r="125" spans="1:14" ht="63" outlineLevel="1">
      <c r="A125" s="940">
        <f t="shared" si="16"/>
        <v>7</v>
      </c>
      <c r="B125" s="944" t="s">
        <v>1066</v>
      </c>
      <c r="C125" s="944" t="s">
        <v>1067</v>
      </c>
      <c r="D125" s="944" t="s">
        <v>1067</v>
      </c>
      <c r="E125" s="940" t="s">
        <v>627</v>
      </c>
      <c r="F125" s="962">
        <v>1</v>
      </c>
      <c r="G125" s="1116">
        <v>300000</v>
      </c>
      <c r="H125" s="1117">
        <v>0.1</v>
      </c>
      <c r="I125" s="950">
        <f t="shared" si="9"/>
        <v>300000</v>
      </c>
      <c r="J125" s="950">
        <f t="shared" si="12"/>
        <v>330000</v>
      </c>
      <c r="K125" s="950">
        <f t="shared" si="10"/>
        <v>330000</v>
      </c>
      <c r="L125" s="1118"/>
      <c r="M125" s="1129"/>
      <c r="N125" s="1130"/>
    </row>
    <row r="126" spans="1:14" ht="15.75">
      <c r="A126" s="940">
        <v>14</v>
      </c>
      <c r="B126" s="941" t="s">
        <v>1141</v>
      </c>
      <c r="C126" s="942"/>
      <c r="D126" s="942"/>
      <c r="E126" s="968" t="s">
        <v>1011</v>
      </c>
      <c r="F126" s="968">
        <v>2</v>
      </c>
      <c r="G126" s="1116"/>
      <c r="H126" s="1117"/>
      <c r="I126" s="950">
        <f t="shared" si="9"/>
        <v>0</v>
      </c>
      <c r="J126" s="950">
        <f t="shared" si="12"/>
        <v>0</v>
      </c>
      <c r="K126" s="950">
        <f t="shared" si="10"/>
        <v>0</v>
      </c>
      <c r="L126" s="1118"/>
      <c r="M126" s="1129"/>
      <c r="N126" s="1130"/>
    </row>
    <row r="127" spans="1:14" ht="78.75" outlineLevel="1">
      <c r="A127" s="940">
        <v>1</v>
      </c>
      <c r="B127" s="944" t="s">
        <v>1128</v>
      </c>
      <c r="C127" s="969" t="s">
        <v>1132</v>
      </c>
      <c r="D127" s="969" t="s">
        <v>1132</v>
      </c>
      <c r="E127" s="940" t="s">
        <v>627</v>
      </c>
      <c r="F127" s="962">
        <v>1</v>
      </c>
      <c r="G127" s="1116">
        <v>7800000</v>
      </c>
      <c r="H127" s="1117">
        <v>0.1</v>
      </c>
      <c r="I127" s="950">
        <f t="shared" si="9"/>
        <v>7800000</v>
      </c>
      <c r="J127" s="950">
        <f t="shared" si="12"/>
        <v>8580000</v>
      </c>
      <c r="K127" s="950">
        <f t="shared" si="10"/>
        <v>8580000</v>
      </c>
      <c r="L127" s="1118"/>
      <c r="M127" s="1129"/>
      <c r="N127" s="1130"/>
    </row>
    <row r="128" spans="1:14" ht="63" outlineLevel="1">
      <c r="A128" s="940">
        <f>A127+1</f>
        <v>2</v>
      </c>
      <c r="B128" s="944" t="s">
        <v>1077</v>
      </c>
      <c r="C128" s="944" t="s">
        <v>1100</v>
      </c>
      <c r="D128" s="944" t="s">
        <v>1100</v>
      </c>
      <c r="E128" s="940" t="s">
        <v>627</v>
      </c>
      <c r="F128" s="962">
        <v>10</v>
      </c>
      <c r="G128" s="1116">
        <v>480000</v>
      </c>
      <c r="H128" s="1117">
        <v>0.1</v>
      </c>
      <c r="I128" s="950">
        <f t="shared" si="9"/>
        <v>4800000</v>
      </c>
      <c r="J128" s="950">
        <f t="shared" si="12"/>
        <v>528000</v>
      </c>
      <c r="K128" s="950">
        <f t="shared" si="10"/>
        <v>5280000</v>
      </c>
      <c r="L128" s="1118"/>
      <c r="M128" s="1129"/>
      <c r="N128" s="1130"/>
    </row>
    <row r="129" spans="1:14" ht="63" outlineLevel="1">
      <c r="A129" s="940">
        <f t="shared" ref="A129:A133" si="17">A128+1</f>
        <v>3</v>
      </c>
      <c r="B129" s="944" t="s">
        <v>1136</v>
      </c>
      <c r="C129" s="952" t="s">
        <v>1137</v>
      </c>
      <c r="D129" s="952" t="s">
        <v>1137</v>
      </c>
      <c r="E129" s="940" t="s">
        <v>627</v>
      </c>
      <c r="F129" s="962">
        <v>4</v>
      </c>
      <c r="G129" s="1116">
        <v>3740000</v>
      </c>
      <c r="H129" s="1117">
        <v>0.1</v>
      </c>
      <c r="I129" s="950">
        <f t="shared" si="9"/>
        <v>14960000</v>
      </c>
      <c r="J129" s="950">
        <f t="shared" si="12"/>
        <v>4114000</v>
      </c>
      <c r="K129" s="950">
        <f t="shared" si="10"/>
        <v>16456000</v>
      </c>
      <c r="L129" s="1118"/>
      <c r="M129" s="1129"/>
      <c r="N129" s="1130"/>
    </row>
    <row r="130" spans="1:14" ht="162" customHeight="1" outlineLevel="1">
      <c r="A130" s="940">
        <f t="shared" si="17"/>
        <v>4</v>
      </c>
      <c r="B130" s="944" t="s">
        <v>1138</v>
      </c>
      <c r="C130" s="1138" t="s">
        <v>1124</v>
      </c>
      <c r="D130" s="1138" t="s">
        <v>1124</v>
      </c>
      <c r="E130" s="940" t="s">
        <v>627</v>
      </c>
      <c r="F130" s="962">
        <v>1</v>
      </c>
      <c r="G130" s="1116">
        <v>4900000</v>
      </c>
      <c r="H130" s="1117">
        <v>0.1</v>
      </c>
      <c r="I130" s="950">
        <f t="shared" si="9"/>
        <v>4900000</v>
      </c>
      <c r="J130" s="950">
        <f t="shared" si="12"/>
        <v>5390000</v>
      </c>
      <c r="K130" s="950">
        <f t="shared" si="10"/>
        <v>5390000</v>
      </c>
      <c r="L130" s="1118"/>
      <c r="M130" s="1129"/>
      <c r="N130" s="1130"/>
    </row>
    <row r="131" spans="1:14" ht="31.5" outlineLevel="1">
      <c r="A131" s="940">
        <f t="shared" si="17"/>
        <v>5</v>
      </c>
      <c r="B131" s="944" t="s">
        <v>1139</v>
      </c>
      <c r="C131" s="952" t="s">
        <v>1140</v>
      </c>
      <c r="D131" s="952" t="s">
        <v>1140</v>
      </c>
      <c r="E131" s="940" t="s">
        <v>627</v>
      </c>
      <c r="F131" s="962">
        <v>1</v>
      </c>
      <c r="G131" s="1116">
        <v>21990000</v>
      </c>
      <c r="H131" s="1117">
        <v>0.1</v>
      </c>
      <c r="I131" s="950">
        <f t="shared" si="9"/>
        <v>21990000</v>
      </c>
      <c r="J131" s="950">
        <f t="shared" si="12"/>
        <v>24189000</v>
      </c>
      <c r="K131" s="950">
        <f t="shared" si="10"/>
        <v>24189000</v>
      </c>
      <c r="L131" s="1118"/>
      <c r="M131" s="1129"/>
      <c r="N131" s="1130"/>
    </row>
    <row r="132" spans="1:14" ht="47.25" outlineLevel="1">
      <c r="A132" s="940">
        <f t="shared" si="17"/>
        <v>6</v>
      </c>
      <c r="B132" s="944" t="s">
        <v>1034</v>
      </c>
      <c r="C132" s="966" t="s">
        <v>1035</v>
      </c>
      <c r="D132" s="966" t="s">
        <v>1035</v>
      </c>
      <c r="E132" s="940" t="s">
        <v>1068</v>
      </c>
      <c r="F132" s="962">
        <f>F126</f>
        <v>2</v>
      </c>
      <c r="G132" s="1116">
        <v>130000</v>
      </c>
      <c r="H132" s="1117">
        <v>0.1</v>
      </c>
      <c r="I132" s="950">
        <f t="shared" si="9"/>
        <v>260000</v>
      </c>
      <c r="J132" s="950">
        <f t="shared" si="12"/>
        <v>143000</v>
      </c>
      <c r="K132" s="950">
        <f t="shared" si="10"/>
        <v>286000</v>
      </c>
      <c r="L132" s="1118"/>
      <c r="M132" s="1129"/>
      <c r="N132" s="1130"/>
    </row>
    <row r="133" spans="1:14" ht="63" outlineLevel="1">
      <c r="A133" s="940">
        <f t="shared" si="17"/>
        <v>7</v>
      </c>
      <c r="B133" s="944" t="s">
        <v>1066</v>
      </c>
      <c r="C133" s="944" t="s">
        <v>1067</v>
      </c>
      <c r="D133" s="944" t="s">
        <v>1067</v>
      </c>
      <c r="E133" s="940" t="s">
        <v>627</v>
      </c>
      <c r="F133" s="962">
        <v>1</v>
      </c>
      <c r="G133" s="1116">
        <v>300000</v>
      </c>
      <c r="H133" s="1117">
        <v>0.1</v>
      </c>
      <c r="I133" s="950">
        <f t="shared" si="9"/>
        <v>300000</v>
      </c>
      <c r="J133" s="950">
        <f t="shared" si="12"/>
        <v>330000</v>
      </c>
      <c r="K133" s="950">
        <f t="shared" si="10"/>
        <v>330000</v>
      </c>
      <c r="L133" s="1118"/>
      <c r="M133" s="1129"/>
      <c r="N133" s="1130"/>
    </row>
    <row r="134" spans="1:14" ht="15.75">
      <c r="A134" s="940">
        <v>15</v>
      </c>
      <c r="B134" s="987" t="s">
        <v>1142</v>
      </c>
      <c r="C134" s="987"/>
      <c r="D134" s="987"/>
      <c r="E134" s="968" t="s">
        <v>1011</v>
      </c>
      <c r="F134" s="968">
        <v>1</v>
      </c>
      <c r="G134" s="1116"/>
      <c r="H134" s="1117"/>
      <c r="I134" s="950">
        <f t="shared" si="9"/>
        <v>0</v>
      </c>
      <c r="J134" s="950">
        <f t="shared" si="12"/>
        <v>0</v>
      </c>
      <c r="K134" s="950">
        <f t="shared" si="10"/>
        <v>0</v>
      </c>
      <c r="L134" s="1118"/>
      <c r="M134" s="1129"/>
      <c r="N134" s="1130"/>
    </row>
    <row r="135" spans="1:14" ht="141.75" outlineLevel="1">
      <c r="A135" s="940">
        <v>1</v>
      </c>
      <c r="B135" s="944" t="s">
        <v>1143</v>
      </c>
      <c r="C135" s="953" t="s">
        <v>1144</v>
      </c>
      <c r="D135" s="953" t="s">
        <v>1144</v>
      </c>
      <c r="E135" s="940" t="s">
        <v>627</v>
      </c>
      <c r="F135" s="962">
        <v>6</v>
      </c>
      <c r="G135" s="1116">
        <v>5600000</v>
      </c>
      <c r="H135" s="1117">
        <v>0.1</v>
      </c>
      <c r="I135" s="950">
        <f t="shared" si="9"/>
        <v>33600000</v>
      </c>
      <c r="J135" s="950">
        <f t="shared" si="12"/>
        <v>6160000</v>
      </c>
      <c r="K135" s="950">
        <f t="shared" si="10"/>
        <v>36960000</v>
      </c>
      <c r="L135" s="1118" t="s">
        <v>1103</v>
      </c>
      <c r="M135" s="1129"/>
      <c r="N135" s="1130"/>
    </row>
    <row r="136" spans="1:14" ht="47.25" outlineLevel="1">
      <c r="A136" s="940">
        <f>A135+1</f>
        <v>2</v>
      </c>
      <c r="B136" s="944" t="s">
        <v>1034</v>
      </c>
      <c r="C136" s="966" t="s">
        <v>1035</v>
      </c>
      <c r="D136" s="966" t="s">
        <v>1035</v>
      </c>
      <c r="E136" s="940" t="s">
        <v>1068</v>
      </c>
      <c r="F136" s="962">
        <f>F134</f>
        <v>1</v>
      </c>
      <c r="G136" s="1116">
        <v>130000</v>
      </c>
      <c r="H136" s="1117">
        <v>0.1</v>
      </c>
      <c r="I136" s="950">
        <f t="shared" si="9"/>
        <v>130000</v>
      </c>
      <c r="J136" s="950">
        <f t="shared" si="12"/>
        <v>143000</v>
      </c>
      <c r="K136" s="950">
        <f t="shared" si="10"/>
        <v>143000</v>
      </c>
      <c r="L136" s="1118"/>
      <c r="M136" s="1129"/>
      <c r="N136" s="1130"/>
    </row>
    <row r="137" spans="1:14" ht="15.75">
      <c r="A137" s="940">
        <v>16</v>
      </c>
      <c r="B137" s="941" t="s">
        <v>1145</v>
      </c>
      <c r="C137" s="987"/>
      <c r="D137" s="987"/>
      <c r="E137" s="968" t="s">
        <v>1011</v>
      </c>
      <c r="F137" s="968">
        <v>1</v>
      </c>
      <c r="G137" s="1116"/>
      <c r="H137" s="1117"/>
      <c r="I137" s="950">
        <f t="shared" si="9"/>
        <v>0</v>
      </c>
      <c r="J137" s="950">
        <f t="shared" si="12"/>
        <v>0</v>
      </c>
      <c r="K137" s="950">
        <f t="shared" si="10"/>
        <v>0</v>
      </c>
      <c r="L137" s="1118"/>
      <c r="M137" s="1129"/>
      <c r="N137" s="1130"/>
    </row>
    <row r="138" spans="1:14" ht="161.25" customHeight="1" outlineLevel="1">
      <c r="A138" s="940">
        <v>1</v>
      </c>
      <c r="B138" s="944" t="s">
        <v>1146</v>
      </c>
      <c r="C138" s="991" t="s">
        <v>1147</v>
      </c>
      <c r="D138" s="991" t="s">
        <v>1147</v>
      </c>
      <c r="E138" s="940" t="s">
        <v>627</v>
      </c>
      <c r="F138" s="962">
        <v>15</v>
      </c>
      <c r="G138" s="1116">
        <v>2200000</v>
      </c>
      <c r="H138" s="1117">
        <v>0.1</v>
      </c>
      <c r="I138" s="950">
        <f t="shared" si="9"/>
        <v>33000000</v>
      </c>
      <c r="J138" s="950">
        <f t="shared" si="12"/>
        <v>2420000</v>
      </c>
      <c r="K138" s="950">
        <f t="shared" si="10"/>
        <v>36300000</v>
      </c>
      <c r="L138" s="1118"/>
      <c r="M138" s="1129"/>
      <c r="N138" s="1130"/>
    </row>
    <row r="139" spans="1:14" ht="78" customHeight="1" outlineLevel="1">
      <c r="A139" s="940">
        <f>A138+1</f>
        <v>2</v>
      </c>
      <c r="B139" s="944" t="s">
        <v>1077</v>
      </c>
      <c r="C139" s="944" t="s">
        <v>1100</v>
      </c>
      <c r="D139" s="944" t="s">
        <v>1100</v>
      </c>
      <c r="E139" s="940" t="s">
        <v>627</v>
      </c>
      <c r="F139" s="962">
        <v>30</v>
      </c>
      <c r="G139" s="1116">
        <v>480000</v>
      </c>
      <c r="H139" s="1117">
        <v>0.1</v>
      </c>
      <c r="I139" s="950">
        <f t="shared" ref="I139:I142" si="18">F139*G139</f>
        <v>14400000</v>
      </c>
      <c r="J139" s="950">
        <f t="shared" si="12"/>
        <v>528000</v>
      </c>
      <c r="K139" s="950">
        <f t="shared" si="10"/>
        <v>15840000</v>
      </c>
      <c r="L139" s="1118"/>
      <c r="M139" s="1129"/>
      <c r="N139" s="1130"/>
    </row>
    <row r="140" spans="1:14" ht="110.25" outlineLevel="1">
      <c r="A140" s="940">
        <f t="shared" ref="A140:A147" si="19">A139+1</f>
        <v>3</v>
      </c>
      <c r="B140" s="944" t="s">
        <v>1054</v>
      </c>
      <c r="C140" s="971" t="s">
        <v>1055</v>
      </c>
      <c r="D140" s="971" t="s">
        <v>1055</v>
      </c>
      <c r="E140" s="940" t="s">
        <v>627</v>
      </c>
      <c r="F140" s="962">
        <v>3</v>
      </c>
      <c r="G140" s="1116">
        <v>2400000</v>
      </c>
      <c r="H140" s="1117">
        <v>0.05</v>
      </c>
      <c r="I140" s="950">
        <f t="shared" si="18"/>
        <v>7200000</v>
      </c>
      <c r="J140" s="950">
        <f t="shared" si="12"/>
        <v>2640000</v>
      </c>
      <c r="K140" s="950">
        <f t="shared" ref="K140:K203" si="20">+ROUND(J140*F140,0)</f>
        <v>7920000</v>
      </c>
      <c r="L140" s="1118"/>
      <c r="M140" s="1129"/>
      <c r="N140" s="1130"/>
    </row>
    <row r="141" spans="1:14" ht="90" customHeight="1" outlineLevel="1">
      <c r="A141" s="940">
        <f t="shared" si="19"/>
        <v>4</v>
      </c>
      <c r="B141" s="944" t="s">
        <v>1148</v>
      </c>
      <c r="C141" s="974" t="s">
        <v>1149</v>
      </c>
      <c r="D141" s="974" t="s">
        <v>1149</v>
      </c>
      <c r="E141" s="940" t="s">
        <v>627</v>
      </c>
      <c r="F141" s="962">
        <v>1</v>
      </c>
      <c r="G141" s="1116">
        <v>5060000</v>
      </c>
      <c r="H141" s="1117">
        <v>0.1</v>
      </c>
      <c r="I141" s="950">
        <f t="shared" si="18"/>
        <v>5060000</v>
      </c>
      <c r="J141" s="950">
        <f t="shared" si="12"/>
        <v>5566000</v>
      </c>
      <c r="K141" s="950">
        <f t="shared" si="20"/>
        <v>5566000</v>
      </c>
      <c r="L141" s="1118"/>
      <c r="M141" s="1129"/>
      <c r="N141" s="1130"/>
    </row>
    <row r="142" spans="1:14" ht="409.5" outlineLevel="1">
      <c r="A142" s="1006">
        <f t="shared" si="19"/>
        <v>5</v>
      </c>
      <c r="B142" s="1007" t="s">
        <v>1036</v>
      </c>
      <c r="C142" s="1008" t="s">
        <v>1150</v>
      </c>
      <c r="D142" s="1152" t="s">
        <v>1150</v>
      </c>
      <c r="E142" s="1006" t="s">
        <v>627</v>
      </c>
      <c r="F142" s="947">
        <v>1</v>
      </c>
      <c r="G142" s="1116">
        <v>65640000</v>
      </c>
      <c r="H142" s="1117">
        <v>0.1</v>
      </c>
      <c r="I142" s="950">
        <f t="shared" si="18"/>
        <v>65640000</v>
      </c>
      <c r="J142" s="950">
        <f t="shared" si="12"/>
        <v>72204000</v>
      </c>
      <c r="K142" s="950">
        <f t="shared" si="20"/>
        <v>72204000</v>
      </c>
      <c r="L142" s="1118"/>
      <c r="M142" s="1129"/>
      <c r="N142" s="1130"/>
    </row>
    <row r="143" spans="1:14" ht="252" outlineLevel="1">
      <c r="A143" s="1009"/>
      <c r="B143" s="1010"/>
      <c r="C143" s="1008" t="s">
        <v>1151</v>
      </c>
      <c r="D143" s="1153" t="s">
        <v>1151</v>
      </c>
      <c r="E143" s="1009"/>
      <c r="F143" s="958"/>
      <c r="G143" s="1116"/>
      <c r="H143" s="1117"/>
      <c r="I143" s="950"/>
      <c r="J143" s="950">
        <f t="shared" si="12"/>
        <v>0</v>
      </c>
      <c r="K143" s="950">
        <f t="shared" si="20"/>
        <v>0</v>
      </c>
      <c r="L143" s="1118"/>
      <c r="M143" s="1129"/>
      <c r="N143" s="1130"/>
    </row>
    <row r="144" spans="1:14" ht="356.25" customHeight="1" outlineLevel="1">
      <c r="A144" s="940">
        <f>A142+1</f>
        <v>6</v>
      </c>
      <c r="B144" s="944" t="s">
        <v>1152</v>
      </c>
      <c r="C144" s="1011" t="s">
        <v>1153</v>
      </c>
      <c r="D144" s="1154" t="s">
        <v>1154</v>
      </c>
      <c r="E144" s="940" t="s">
        <v>627</v>
      </c>
      <c r="F144" s="962">
        <v>1</v>
      </c>
      <c r="G144" s="1116">
        <v>27500000</v>
      </c>
      <c r="H144" s="1117">
        <v>0.1</v>
      </c>
      <c r="I144" s="950">
        <f t="shared" ref="I144:I180" si="21">F144*G144</f>
        <v>27500000</v>
      </c>
      <c r="J144" s="950">
        <f t="shared" ref="J144:J207" si="22">+ROUND(G144*1.1,0)</f>
        <v>30250000</v>
      </c>
      <c r="K144" s="950">
        <f t="shared" si="20"/>
        <v>30250000</v>
      </c>
      <c r="L144" s="1118" t="s">
        <v>1155</v>
      </c>
      <c r="M144" s="1129"/>
      <c r="N144" s="1005" t="s">
        <v>1156</v>
      </c>
    </row>
    <row r="145" spans="1:14" ht="31.5" outlineLevel="1">
      <c r="A145" s="940">
        <f t="shared" si="19"/>
        <v>7</v>
      </c>
      <c r="B145" s="944" t="s">
        <v>1157</v>
      </c>
      <c r="C145" s="966" t="s">
        <v>1158</v>
      </c>
      <c r="D145" s="966" t="s">
        <v>1158</v>
      </c>
      <c r="E145" s="940" t="s">
        <v>627</v>
      </c>
      <c r="F145" s="962">
        <v>1</v>
      </c>
      <c r="G145" s="1116">
        <v>2200000</v>
      </c>
      <c r="H145" s="1117">
        <v>0.1</v>
      </c>
      <c r="I145" s="950">
        <f t="shared" si="21"/>
        <v>2200000</v>
      </c>
      <c r="J145" s="950">
        <f t="shared" si="22"/>
        <v>2420000</v>
      </c>
      <c r="K145" s="950">
        <f t="shared" si="20"/>
        <v>2420000</v>
      </c>
      <c r="L145" s="1118" t="s">
        <v>1155</v>
      </c>
      <c r="M145" s="1129"/>
      <c r="N145" s="1130"/>
    </row>
    <row r="146" spans="1:14" ht="47.25" outlineLevel="1">
      <c r="A146" s="940">
        <f t="shared" si="19"/>
        <v>8</v>
      </c>
      <c r="B146" s="944" t="s">
        <v>1034</v>
      </c>
      <c r="C146" s="966" t="s">
        <v>1035</v>
      </c>
      <c r="D146" s="966" t="s">
        <v>1035</v>
      </c>
      <c r="E146" s="940" t="s">
        <v>1068</v>
      </c>
      <c r="F146" s="962">
        <f>F137</f>
        <v>1</v>
      </c>
      <c r="G146" s="1116">
        <v>130000</v>
      </c>
      <c r="H146" s="1117">
        <v>0.1</v>
      </c>
      <c r="I146" s="950">
        <f t="shared" si="21"/>
        <v>130000</v>
      </c>
      <c r="J146" s="950">
        <f t="shared" si="22"/>
        <v>143000</v>
      </c>
      <c r="K146" s="950">
        <f t="shared" si="20"/>
        <v>143000</v>
      </c>
      <c r="L146" s="1118"/>
      <c r="M146" s="1129"/>
      <c r="N146" s="1130"/>
    </row>
    <row r="147" spans="1:14" ht="63" outlineLevel="1">
      <c r="A147" s="940">
        <f t="shared" si="19"/>
        <v>9</v>
      </c>
      <c r="B147" s="944" t="s">
        <v>1066</v>
      </c>
      <c r="C147" s="944" t="s">
        <v>1067</v>
      </c>
      <c r="D147" s="944" t="s">
        <v>1067</v>
      </c>
      <c r="E147" s="940" t="s">
        <v>627</v>
      </c>
      <c r="F147" s="962">
        <v>1</v>
      </c>
      <c r="G147" s="1116">
        <v>300000</v>
      </c>
      <c r="H147" s="1117">
        <v>0.1</v>
      </c>
      <c r="I147" s="950">
        <f t="shared" si="21"/>
        <v>300000</v>
      </c>
      <c r="J147" s="950">
        <f t="shared" si="22"/>
        <v>330000</v>
      </c>
      <c r="K147" s="950">
        <f t="shared" si="20"/>
        <v>330000</v>
      </c>
      <c r="L147" s="1118"/>
      <c r="M147" s="1129"/>
      <c r="N147" s="1130"/>
    </row>
    <row r="148" spans="1:14" ht="15.75">
      <c r="A148" s="992">
        <v>17</v>
      </c>
      <c r="B148" s="941" t="s">
        <v>1159</v>
      </c>
      <c r="C148" s="987"/>
      <c r="D148" s="987"/>
      <c r="E148" s="968" t="s">
        <v>1011</v>
      </c>
      <c r="F148" s="968">
        <v>1</v>
      </c>
      <c r="G148" s="1116"/>
      <c r="H148" s="1117"/>
      <c r="I148" s="950">
        <f t="shared" si="21"/>
        <v>0</v>
      </c>
      <c r="J148" s="950">
        <f t="shared" si="22"/>
        <v>0</v>
      </c>
      <c r="K148" s="950">
        <f t="shared" si="20"/>
        <v>0</v>
      </c>
      <c r="L148" s="1118"/>
      <c r="M148" s="1129"/>
      <c r="N148" s="1130"/>
    </row>
    <row r="149" spans="1:14" ht="94.5" outlineLevel="1">
      <c r="A149" s="940">
        <v>1</v>
      </c>
      <c r="B149" s="996" t="s">
        <v>1107</v>
      </c>
      <c r="C149" s="969" t="s">
        <v>1160</v>
      </c>
      <c r="D149" s="969" t="s">
        <v>1160</v>
      </c>
      <c r="E149" s="992" t="s">
        <v>627</v>
      </c>
      <c r="F149" s="993">
        <v>2</v>
      </c>
      <c r="G149" s="1116">
        <v>10800000</v>
      </c>
      <c r="H149" s="1117">
        <v>0.1</v>
      </c>
      <c r="I149" s="950">
        <f t="shared" si="21"/>
        <v>21600000</v>
      </c>
      <c r="J149" s="950">
        <f t="shared" si="22"/>
        <v>11880000</v>
      </c>
      <c r="K149" s="950">
        <f t="shared" si="20"/>
        <v>23760000</v>
      </c>
      <c r="L149" s="1118"/>
      <c r="M149" s="1129"/>
      <c r="N149" s="1130"/>
    </row>
    <row r="150" spans="1:14" ht="63" outlineLevel="1">
      <c r="A150" s="940">
        <f t="shared" ref="A150:A155" si="23">A149+1</f>
        <v>2</v>
      </c>
      <c r="B150" s="944" t="s">
        <v>1077</v>
      </c>
      <c r="C150" s="944" t="s">
        <v>1100</v>
      </c>
      <c r="D150" s="944" t="s">
        <v>1100</v>
      </c>
      <c r="E150" s="1145" t="s">
        <v>627</v>
      </c>
      <c r="F150" s="993">
        <v>20</v>
      </c>
      <c r="G150" s="1116">
        <v>480000</v>
      </c>
      <c r="H150" s="1117">
        <v>0.1</v>
      </c>
      <c r="I150" s="950">
        <f t="shared" si="21"/>
        <v>9600000</v>
      </c>
      <c r="J150" s="950">
        <f t="shared" si="22"/>
        <v>528000</v>
      </c>
      <c r="K150" s="950">
        <f t="shared" si="20"/>
        <v>10560000</v>
      </c>
      <c r="L150" s="1118"/>
      <c r="M150" s="1129"/>
      <c r="N150" s="1130"/>
    </row>
    <row r="151" spans="1:14" ht="184.5" customHeight="1" outlineLevel="1">
      <c r="A151" s="940">
        <f t="shared" si="23"/>
        <v>3</v>
      </c>
      <c r="B151" s="944" t="s">
        <v>1101</v>
      </c>
      <c r="C151" s="953" t="s">
        <v>1161</v>
      </c>
      <c r="D151" s="953" t="s">
        <v>1161</v>
      </c>
      <c r="E151" s="997" t="s">
        <v>655</v>
      </c>
      <c r="F151" s="993">
        <v>2</v>
      </c>
      <c r="G151" s="1116">
        <v>6000000</v>
      </c>
      <c r="H151" s="1117">
        <v>0.1</v>
      </c>
      <c r="I151" s="950">
        <f t="shared" si="21"/>
        <v>12000000</v>
      </c>
      <c r="J151" s="950">
        <f t="shared" si="22"/>
        <v>6600000</v>
      </c>
      <c r="K151" s="950">
        <f t="shared" si="20"/>
        <v>13200000</v>
      </c>
      <c r="L151" s="1118" t="s">
        <v>1103</v>
      </c>
      <c r="M151" s="1129"/>
      <c r="N151" s="1130"/>
    </row>
    <row r="152" spans="1:14" ht="170.25" customHeight="1" outlineLevel="1">
      <c r="A152" s="940">
        <f t="shared" si="23"/>
        <v>4</v>
      </c>
      <c r="B152" s="996" t="s">
        <v>1162</v>
      </c>
      <c r="C152" s="953" t="s">
        <v>1163</v>
      </c>
      <c r="D152" s="953" t="s">
        <v>1163</v>
      </c>
      <c r="E152" s="992" t="s">
        <v>655</v>
      </c>
      <c r="F152" s="993">
        <v>3</v>
      </c>
      <c r="G152" s="1116">
        <v>5760000</v>
      </c>
      <c r="H152" s="1117">
        <v>0.1</v>
      </c>
      <c r="I152" s="950">
        <f t="shared" si="21"/>
        <v>17280000</v>
      </c>
      <c r="J152" s="950">
        <f t="shared" si="22"/>
        <v>6336000</v>
      </c>
      <c r="K152" s="950">
        <f t="shared" si="20"/>
        <v>19008000</v>
      </c>
      <c r="L152" s="1118"/>
      <c r="M152" s="1129"/>
      <c r="N152" s="1130"/>
    </row>
    <row r="153" spans="1:14" ht="47.25" outlineLevel="1">
      <c r="A153" s="940">
        <f t="shared" si="23"/>
        <v>5</v>
      </c>
      <c r="B153" s="944" t="s">
        <v>1164</v>
      </c>
      <c r="C153" s="944" t="s">
        <v>1165</v>
      </c>
      <c r="D153" s="944" t="s">
        <v>1165</v>
      </c>
      <c r="E153" s="940" t="s">
        <v>627</v>
      </c>
      <c r="F153" s="962">
        <v>1</v>
      </c>
      <c r="G153" s="1116">
        <v>825000</v>
      </c>
      <c r="H153" s="1117">
        <v>0.05</v>
      </c>
      <c r="I153" s="950">
        <f t="shared" si="21"/>
        <v>825000</v>
      </c>
      <c r="J153" s="950">
        <f t="shared" si="22"/>
        <v>907500</v>
      </c>
      <c r="K153" s="950">
        <f t="shared" si="20"/>
        <v>907500</v>
      </c>
      <c r="L153" s="1118"/>
      <c r="M153" s="1129"/>
      <c r="N153" s="1130"/>
    </row>
    <row r="154" spans="1:14" ht="47.25" outlineLevel="1">
      <c r="A154" s="940">
        <f t="shared" si="23"/>
        <v>6</v>
      </c>
      <c r="B154" s="1012" t="s">
        <v>1034</v>
      </c>
      <c r="C154" s="966" t="s">
        <v>1035</v>
      </c>
      <c r="D154" s="966" t="s">
        <v>1035</v>
      </c>
      <c r="E154" s="1145" t="s">
        <v>627</v>
      </c>
      <c r="F154" s="1146">
        <v>1</v>
      </c>
      <c r="G154" s="1116">
        <v>130000</v>
      </c>
      <c r="H154" s="1117">
        <v>0.1</v>
      </c>
      <c r="I154" s="950">
        <f t="shared" si="21"/>
        <v>130000</v>
      </c>
      <c r="J154" s="950">
        <f t="shared" si="22"/>
        <v>143000</v>
      </c>
      <c r="K154" s="950">
        <f t="shared" si="20"/>
        <v>143000</v>
      </c>
      <c r="L154" s="1118"/>
      <c r="M154" s="1129"/>
      <c r="N154" s="1130"/>
    </row>
    <row r="155" spans="1:14" ht="63" outlineLevel="1">
      <c r="A155" s="940">
        <f t="shared" si="23"/>
        <v>7</v>
      </c>
      <c r="B155" s="944" t="s">
        <v>1066</v>
      </c>
      <c r="C155" s="944" t="s">
        <v>1067</v>
      </c>
      <c r="D155" s="944" t="s">
        <v>1067</v>
      </c>
      <c r="E155" s="940" t="s">
        <v>627</v>
      </c>
      <c r="F155" s="962">
        <v>1</v>
      </c>
      <c r="G155" s="1116">
        <v>300000</v>
      </c>
      <c r="H155" s="1117">
        <v>0.1</v>
      </c>
      <c r="I155" s="950">
        <f t="shared" si="21"/>
        <v>300000</v>
      </c>
      <c r="J155" s="950">
        <f t="shared" si="22"/>
        <v>330000</v>
      </c>
      <c r="K155" s="950">
        <f t="shared" si="20"/>
        <v>330000</v>
      </c>
      <c r="L155" s="1118"/>
      <c r="M155" s="1129"/>
      <c r="N155" s="1130"/>
    </row>
    <row r="156" spans="1:14" ht="15.75" outlineLevel="1">
      <c r="A156" s="992" t="s">
        <v>1166</v>
      </c>
      <c r="B156" s="941" t="s">
        <v>1167</v>
      </c>
      <c r="C156" s="987"/>
      <c r="D156" s="987"/>
      <c r="E156" s="1145" t="s">
        <v>1134</v>
      </c>
      <c r="F156" s="1145">
        <v>1</v>
      </c>
      <c r="G156" s="1116"/>
      <c r="H156" s="1117">
        <v>0.1</v>
      </c>
      <c r="I156" s="950">
        <f t="shared" si="21"/>
        <v>0</v>
      </c>
      <c r="J156" s="950">
        <f t="shared" si="22"/>
        <v>0</v>
      </c>
      <c r="K156" s="950">
        <f t="shared" si="20"/>
        <v>0</v>
      </c>
      <c r="L156" s="1118"/>
      <c r="M156" s="1129"/>
      <c r="N156" s="1130"/>
    </row>
    <row r="157" spans="1:14" ht="94.5" outlineLevel="1">
      <c r="A157" s="992">
        <v>1</v>
      </c>
      <c r="B157" s="944" t="s">
        <v>1168</v>
      </c>
      <c r="C157" s="953" t="s">
        <v>1169</v>
      </c>
      <c r="D157" s="953" t="s">
        <v>1169</v>
      </c>
      <c r="E157" s="992" t="s">
        <v>627</v>
      </c>
      <c r="F157" s="993">
        <v>8</v>
      </c>
      <c r="G157" s="1116">
        <v>5960000</v>
      </c>
      <c r="H157" s="1117">
        <v>0.1</v>
      </c>
      <c r="I157" s="950">
        <f t="shared" si="21"/>
        <v>47680000</v>
      </c>
      <c r="J157" s="950">
        <f t="shared" si="22"/>
        <v>6556000</v>
      </c>
      <c r="K157" s="950">
        <f t="shared" si="20"/>
        <v>52448000</v>
      </c>
      <c r="L157" s="1118"/>
      <c r="M157" s="1129"/>
      <c r="N157" s="1130"/>
    </row>
    <row r="158" spans="1:14" ht="94.5" outlineLevel="1">
      <c r="A158" s="1145">
        <f>A157+1</f>
        <v>2</v>
      </c>
      <c r="B158" s="944" t="s">
        <v>1170</v>
      </c>
      <c r="C158" s="953" t="s">
        <v>1171</v>
      </c>
      <c r="D158" s="953" t="s">
        <v>1171</v>
      </c>
      <c r="E158" s="992" t="s">
        <v>627</v>
      </c>
      <c r="F158" s="993">
        <v>8</v>
      </c>
      <c r="G158" s="1116">
        <v>6800000</v>
      </c>
      <c r="H158" s="1117">
        <v>0.1</v>
      </c>
      <c r="I158" s="950">
        <f t="shared" si="21"/>
        <v>54400000</v>
      </c>
      <c r="J158" s="950">
        <f t="shared" si="22"/>
        <v>7480000</v>
      </c>
      <c r="K158" s="950">
        <f t="shared" si="20"/>
        <v>59840000</v>
      </c>
      <c r="L158" s="1118"/>
      <c r="M158" s="1129"/>
      <c r="N158" s="1130"/>
    </row>
    <row r="159" spans="1:14" ht="47.25" outlineLevel="1">
      <c r="A159" s="1145">
        <f>A158+1</f>
        <v>3</v>
      </c>
      <c r="B159" s="944" t="s">
        <v>1034</v>
      </c>
      <c r="C159" s="966" t="s">
        <v>1035</v>
      </c>
      <c r="D159" s="966" t="s">
        <v>1035</v>
      </c>
      <c r="E159" s="992" t="s">
        <v>1068</v>
      </c>
      <c r="F159" s="993">
        <f>F156</f>
        <v>1</v>
      </c>
      <c r="G159" s="1116">
        <v>130000</v>
      </c>
      <c r="H159" s="1117">
        <v>0.1</v>
      </c>
      <c r="I159" s="950">
        <f t="shared" si="21"/>
        <v>130000</v>
      </c>
      <c r="J159" s="950">
        <f t="shared" si="22"/>
        <v>143000</v>
      </c>
      <c r="K159" s="950">
        <f t="shared" si="20"/>
        <v>143000</v>
      </c>
      <c r="L159" s="1118"/>
      <c r="M159" s="1129"/>
      <c r="N159" s="1130"/>
    </row>
    <row r="160" spans="1:14" ht="15.75">
      <c r="A160" s="940">
        <v>18</v>
      </c>
      <c r="B160" s="987" t="s">
        <v>1172</v>
      </c>
      <c r="C160" s="987"/>
      <c r="D160" s="987"/>
      <c r="E160" s="1145" t="s">
        <v>1134</v>
      </c>
      <c r="F160" s="1145">
        <v>1</v>
      </c>
      <c r="G160" s="1116"/>
      <c r="H160" s="1117"/>
      <c r="I160" s="950">
        <f t="shared" si="21"/>
        <v>0</v>
      </c>
      <c r="J160" s="950">
        <f t="shared" si="22"/>
        <v>0</v>
      </c>
      <c r="K160" s="950">
        <f t="shared" si="20"/>
        <v>0</v>
      </c>
      <c r="L160" s="1118"/>
      <c r="M160" s="1129"/>
      <c r="N160" s="1130"/>
    </row>
    <row r="161" spans="1:14" ht="94.5" outlineLevel="1">
      <c r="A161" s="940">
        <v>1</v>
      </c>
      <c r="B161" s="996" t="s">
        <v>1082</v>
      </c>
      <c r="C161" s="953" t="s">
        <v>1083</v>
      </c>
      <c r="D161" s="953" t="s">
        <v>1083</v>
      </c>
      <c r="E161" s="992" t="s">
        <v>655</v>
      </c>
      <c r="F161" s="993">
        <v>1</v>
      </c>
      <c r="G161" s="1116">
        <v>3150000</v>
      </c>
      <c r="H161" s="1117">
        <v>0.1</v>
      </c>
      <c r="I161" s="950">
        <f t="shared" si="21"/>
        <v>3150000</v>
      </c>
      <c r="J161" s="950">
        <f t="shared" si="22"/>
        <v>3465000</v>
      </c>
      <c r="K161" s="950">
        <f t="shared" si="20"/>
        <v>3465000</v>
      </c>
      <c r="L161" s="1118"/>
      <c r="M161" s="1129"/>
      <c r="N161" s="1130"/>
    </row>
    <row r="162" spans="1:14" ht="409.5" outlineLevel="1">
      <c r="A162" s="940">
        <f t="shared" ref="A162:A173" si="24">A161+1</f>
        <v>2</v>
      </c>
      <c r="B162" s="1155" t="s">
        <v>1173</v>
      </c>
      <c r="C162" s="974" t="s">
        <v>1059</v>
      </c>
      <c r="D162" s="1131" t="s">
        <v>1078</v>
      </c>
      <c r="E162" s="1145" t="s">
        <v>680</v>
      </c>
      <c r="F162" s="1146">
        <v>1</v>
      </c>
      <c r="G162" s="1116">
        <v>15000000</v>
      </c>
      <c r="H162" s="1117">
        <v>0.1</v>
      </c>
      <c r="I162" s="950">
        <f t="shared" si="21"/>
        <v>15000000</v>
      </c>
      <c r="J162" s="950">
        <f t="shared" si="22"/>
        <v>16500000</v>
      </c>
      <c r="K162" s="950">
        <f t="shared" si="20"/>
        <v>16500000</v>
      </c>
      <c r="L162" s="1118"/>
      <c r="M162" s="1129"/>
      <c r="N162" s="1125" t="s">
        <v>1174</v>
      </c>
    </row>
    <row r="163" spans="1:14" ht="78.75" outlineLevel="1">
      <c r="A163" s="940">
        <f t="shared" si="24"/>
        <v>3</v>
      </c>
      <c r="B163" s="996" t="s">
        <v>1128</v>
      </c>
      <c r="C163" s="969" t="s">
        <v>1129</v>
      </c>
      <c r="D163" s="969" t="s">
        <v>1129</v>
      </c>
      <c r="E163" s="992" t="s">
        <v>655</v>
      </c>
      <c r="F163" s="993">
        <v>5</v>
      </c>
      <c r="G163" s="1116">
        <v>7800000</v>
      </c>
      <c r="H163" s="1117">
        <v>0.1</v>
      </c>
      <c r="I163" s="950">
        <f t="shared" si="21"/>
        <v>39000000</v>
      </c>
      <c r="J163" s="950">
        <f t="shared" si="22"/>
        <v>8580000</v>
      </c>
      <c r="K163" s="950">
        <f t="shared" si="20"/>
        <v>42900000</v>
      </c>
      <c r="L163" s="1118"/>
      <c r="M163" s="1129"/>
      <c r="N163" s="1130"/>
    </row>
    <row r="164" spans="1:14" ht="63" outlineLevel="1">
      <c r="A164" s="940">
        <f t="shared" si="24"/>
        <v>4</v>
      </c>
      <c r="B164" s="996" t="s">
        <v>1077</v>
      </c>
      <c r="C164" s="944" t="s">
        <v>1100</v>
      </c>
      <c r="D164" s="944" t="s">
        <v>1100</v>
      </c>
      <c r="E164" s="992" t="s">
        <v>655</v>
      </c>
      <c r="F164" s="993">
        <v>40</v>
      </c>
      <c r="G164" s="1116">
        <v>480000</v>
      </c>
      <c r="H164" s="1117">
        <v>0.1</v>
      </c>
      <c r="I164" s="950">
        <f t="shared" si="21"/>
        <v>19200000</v>
      </c>
      <c r="J164" s="950">
        <f t="shared" si="22"/>
        <v>528000</v>
      </c>
      <c r="K164" s="950">
        <f t="shared" si="20"/>
        <v>21120000</v>
      </c>
      <c r="L164" s="1118"/>
      <c r="M164" s="1129"/>
      <c r="N164" s="1130"/>
    </row>
    <row r="165" spans="1:14" ht="126" outlineLevel="1">
      <c r="A165" s="940">
        <f t="shared" si="24"/>
        <v>5</v>
      </c>
      <c r="B165" s="944" t="s">
        <v>1101</v>
      </c>
      <c r="C165" s="953" t="s">
        <v>1161</v>
      </c>
      <c r="D165" s="953" t="s">
        <v>1161</v>
      </c>
      <c r="E165" s="997" t="s">
        <v>655</v>
      </c>
      <c r="F165" s="993">
        <v>4</v>
      </c>
      <c r="G165" s="1116">
        <v>6000000</v>
      </c>
      <c r="H165" s="1117">
        <v>0.1</v>
      </c>
      <c r="I165" s="950">
        <f t="shared" si="21"/>
        <v>24000000</v>
      </c>
      <c r="J165" s="950">
        <f t="shared" si="22"/>
        <v>6600000</v>
      </c>
      <c r="K165" s="950">
        <f t="shared" si="20"/>
        <v>26400000</v>
      </c>
      <c r="L165" s="1118" t="s">
        <v>1103</v>
      </c>
      <c r="M165" s="1129"/>
      <c r="N165" s="1130"/>
    </row>
    <row r="166" spans="1:14" ht="126" outlineLevel="1">
      <c r="A166" s="940">
        <f t="shared" si="24"/>
        <v>6</v>
      </c>
      <c r="B166" s="944" t="s">
        <v>1162</v>
      </c>
      <c r="C166" s="1014" t="s">
        <v>1175</v>
      </c>
      <c r="D166" s="1014" t="s">
        <v>1175</v>
      </c>
      <c r="E166" s="992" t="s">
        <v>655</v>
      </c>
      <c r="F166" s="993">
        <v>4</v>
      </c>
      <c r="G166" s="1116">
        <v>5760000</v>
      </c>
      <c r="H166" s="1117">
        <v>0.1</v>
      </c>
      <c r="I166" s="950">
        <f t="shared" si="21"/>
        <v>23040000</v>
      </c>
      <c r="J166" s="950">
        <f t="shared" si="22"/>
        <v>6336000</v>
      </c>
      <c r="K166" s="950">
        <f t="shared" si="20"/>
        <v>25344000</v>
      </c>
      <c r="L166" s="1118"/>
      <c r="M166" s="1129"/>
      <c r="N166" s="1130"/>
    </row>
    <row r="167" spans="1:14" ht="47.25" outlineLevel="1">
      <c r="A167" s="940">
        <f t="shared" si="24"/>
        <v>7</v>
      </c>
      <c r="B167" s="996" t="s">
        <v>1176</v>
      </c>
      <c r="C167" s="953" t="s">
        <v>1177</v>
      </c>
      <c r="D167" s="953" t="s">
        <v>1177</v>
      </c>
      <c r="E167" s="992" t="s">
        <v>655</v>
      </c>
      <c r="F167" s="993">
        <v>1</v>
      </c>
      <c r="G167" s="1116">
        <v>6800000</v>
      </c>
      <c r="H167" s="1117">
        <v>0.1</v>
      </c>
      <c r="I167" s="950">
        <f t="shared" si="21"/>
        <v>6800000</v>
      </c>
      <c r="J167" s="950">
        <f t="shared" si="22"/>
        <v>7480000</v>
      </c>
      <c r="K167" s="950">
        <f t="shared" si="20"/>
        <v>7480000</v>
      </c>
      <c r="L167" s="1118"/>
      <c r="M167" s="1129"/>
      <c r="N167" s="1130"/>
    </row>
    <row r="168" spans="1:14" ht="94.5" outlineLevel="1">
      <c r="A168" s="940">
        <f t="shared" si="24"/>
        <v>8</v>
      </c>
      <c r="B168" s="1149" t="s">
        <v>1178</v>
      </c>
      <c r="C168" s="953" t="s">
        <v>1179</v>
      </c>
      <c r="D168" s="953" t="s">
        <v>1179</v>
      </c>
      <c r="E168" s="1145" t="s">
        <v>1028</v>
      </c>
      <c r="F168" s="1146">
        <v>5</v>
      </c>
      <c r="G168" s="1116">
        <v>4500000</v>
      </c>
      <c r="H168" s="1117">
        <v>0.1</v>
      </c>
      <c r="I168" s="950">
        <f t="shared" si="21"/>
        <v>22500000</v>
      </c>
      <c r="J168" s="950">
        <f t="shared" si="22"/>
        <v>4950000</v>
      </c>
      <c r="K168" s="950">
        <f t="shared" si="20"/>
        <v>24750000</v>
      </c>
      <c r="L168" s="1118"/>
      <c r="M168" s="1129"/>
      <c r="N168" s="1130"/>
    </row>
    <row r="169" spans="1:14" ht="78.75" outlineLevel="1">
      <c r="A169" s="940">
        <f t="shared" si="24"/>
        <v>9</v>
      </c>
      <c r="B169" s="1149" t="s">
        <v>1180</v>
      </c>
      <c r="C169" s="951" t="s">
        <v>1181</v>
      </c>
      <c r="D169" s="951" t="s">
        <v>1181</v>
      </c>
      <c r="E169" s="1145" t="s">
        <v>655</v>
      </c>
      <c r="F169" s="1146">
        <v>30</v>
      </c>
      <c r="G169" s="1116">
        <v>485000</v>
      </c>
      <c r="H169" s="1117">
        <v>0.1</v>
      </c>
      <c r="I169" s="950">
        <f t="shared" si="21"/>
        <v>14550000</v>
      </c>
      <c r="J169" s="950">
        <f t="shared" si="22"/>
        <v>533500</v>
      </c>
      <c r="K169" s="950">
        <f t="shared" si="20"/>
        <v>16005000</v>
      </c>
      <c r="L169" s="1118" t="s">
        <v>1182</v>
      </c>
      <c r="M169" s="1129"/>
      <c r="N169" s="1130"/>
    </row>
    <row r="170" spans="1:14" ht="94.5" outlineLevel="1">
      <c r="A170" s="940">
        <f t="shared" si="24"/>
        <v>10</v>
      </c>
      <c r="B170" s="1149" t="s">
        <v>1183</v>
      </c>
      <c r="C170" s="974" t="s">
        <v>1184</v>
      </c>
      <c r="D170" s="974" t="s">
        <v>1184</v>
      </c>
      <c r="E170" s="1145" t="s">
        <v>655</v>
      </c>
      <c r="F170" s="1146">
        <v>1</v>
      </c>
      <c r="G170" s="1116">
        <v>5720000</v>
      </c>
      <c r="H170" s="1117">
        <v>0.1</v>
      </c>
      <c r="I170" s="950">
        <f t="shared" si="21"/>
        <v>5720000</v>
      </c>
      <c r="J170" s="950">
        <f t="shared" si="22"/>
        <v>6292000</v>
      </c>
      <c r="K170" s="950">
        <f t="shared" si="20"/>
        <v>6292000</v>
      </c>
      <c r="L170" s="1118"/>
      <c r="M170" s="1129"/>
      <c r="N170" s="1130"/>
    </row>
    <row r="171" spans="1:14" ht="141.75" outlineLevel="1">
      <c r="A171" s="940">
        <f t="shared" si="24"/>
        <v>11</v>
      </c>
      <c r="B171" s="944" t="s">
        <v>1185</v>
      </c>
      <c r="C171" s="944" t="s">
        <v>1186</v>
      </c>
      <c r="D171" s="944" t="s">
        <v>1186</v>
      </c>
      <c r="E171" s="940" t="s">
        <v>627</v>
      </c>
      <c r="F171" s="962">
        <v>3</v>
      </c>
      <c r="G171" s="1116">
        <v>1200000</v>
      </c>
      <c r="H171" s="1117">
        <v>0.1</v>
      </c>
      <c r="I171" s="950">
        <f t="shared" si="21"/>
        <v>3600000</v>
      </c>
      <c r="J171" s="950">
        <f t="shared" si="22"/>
        <v>1320000</v>
      </c>
      <c r="K171" s="950">
        <f t="shared" si="20"/>
        <v>3960000</v>
      </c>
      <c r="L171" s="1118"/>
      <c r="M171" s="1129"/>
      <c r="N171" s="1130"/>
    </row>
    <row r="172" spans="1:14" ht="47.25" outlineLevel="1">
      <c r="A172" s="940">
        <f t="shared" si="24"/>
        <v>12</v>
      </c>
      <c r="B172" s="944" t="s">
        <v>1034</v>
      </c>
      <c r="C172" s="966" t="s">
        <v>1035</v>
      </c>
      <c r="D172" s="966" t="s">
        <v>1035</v>
      </c>
      <c r="E172" s="940" t="s">
        <v>1068</v>
      </c>
      <c r="F172" s="962">
        <f>F160</f>
        <v>1</v>
      </c>
      <c r="G172" s="1116">
        <v>130000</v>
      </c>
      <c r="H172" s="1117">
        <v>0.1</v>
      </c>
      <c r="I172" s="950">
        <f t="shared" si="21"/>
        <v>130000</v>
      </c>
      <c r="J172" s="950">
        <f t="shared" si="22"/>
        <v>143000</v>
      </c>
      <c r="K172" s="950">
        <f t="shared" si="20"/>
        <v>143000</v>
      </c>
      <c r="L172" s="1118"/>
      <c r="M172" s="1129"/>
      <c r="N172" s="1130"/>
    </row>
    <row r="173" spans="1:14" ht="63" outlineLevel="1">
      <c r="A173" s="940">
        <f t="shared" si="24"/>
        <v>13</v>
      </c>
      <c r="B173" s="944" t="s">
        <v>1066</v>
      </c>
      <c r="C173" s="944" t="s">
        <v>1067</v>
      </c>
      <c r="D173" s="944" t="s">
        <v>1067</v>
      </c>
      <c r="E173" s="940" t="s">
        <v>627</v>
      </c>
      <c r="F173" s="962">
        <v>1</v>
      </c>
      <c r="G173" s="1116">
        <v>300000</v>
      </c>
      <c r="H173" s="1117">
        <v>0.1</v>
      </c>
      <c r="I173" s="950">
        <f t="shared" si="21"/>
        <v>300000</v>
      </c>
      <c r="J173" s="950">
        <f t="shared" si="22"/>
        <v>330000</v>
      </c>
      <c r="K173" s="950">
        <f t="shared" si="20"/>
        <v>330000</v>
      </c>
      <c r="L173" s="1118"/>
      <c r="M173" s="1129"/>
      <c r="N173" s="1130"/>
    </row>
    <row r="174" spans="1:14" ht="15.75">
      <c r="A174" s="940">
        <v>19</v>
      </c>
      <c r="B174" s="987" t="s">
        <v>1187</v>
      </c>
      <c r="C174" s="942"/>
      <c r="D174" s="942"/>
      <c r="E174" s="968" t="s">
        <v>1011</v>
      </c>
      <c r="F174" s="968">
        <v>1</v>
      </c>
      <c r="G174" s="1116"/>
      <c r="H174" s="1117"/>
      <c r="I174" s="950">
        <f t="shared" si="21"/>
        <v>0</v>
      </c>
      <c r="J174" s="950">
        <f t="shared" si="22"/>
        <v>0</v>
      </c>
      <c r="K174" s="950">
        <f t="shared" si="20"/>
        <v>0</v>
      </c>
      <c r="L174" s="1118"/>
      <c r="M174" s="1129"/>
      <c r="N174" s="1130"/>
    </row>
    <row r="175" spans="1:14" ht="63" outlineLevel="1">
      <c r="A175" s="940">
        <v>1</v>
      </c>
      <c r="B175" s="944" t="s">
        <v>1188</v>
      </c>
      <c r="C175" s="944" t="s">
        <v>1189</v>
      </c>
      <c r="D175" s="944" t="s">
        <v>1190</v>
      </c>
      <c r="E175" s="940" t="s">
        <v>627</v>
      </c>
      <c r="F175" s="962">
        <v>500</v>
      </c>
      <c r="G175" s="1116">
        <v>650000</v>
      </c>
      <c r="H175" s="1117">
        <v>0.1</v>
      </c>
      <c r="I175" s="950">
        <f t="shared" si="21"/>
        <v>325000000</v>
      </c>
      <c r="J175" s="950">
        <f t="shared" si="22"/>
        <v>715000</v>
      </c>
      <c r="K175" s="950">
        <f t="shared" si="20"/>
        <v>357500000</v>
      </c>
      <c r="L175" s="1118"/>
      <c r="M175" s="1129"/>
      <c r="N175" s="1130"/>
    </row>
    <row r="176" spans="1:14" ht="220.5" outlineLevel="1">
      <c r="A176" s="940">
        <f t="shared" ref="A176:A185" si="25">A175+1</f>
        <v>2</v>
      </c>
      <c r="B176" s="944" t="s">
        <v>1191</v>
      </c>
      <c r="C176" s="1015" t="s">
        <v>1192</v>
      </c>
      <c r="D176" s="1015" t="s">
        <v>1192</v>
      </c>
      <c r="E176" s="940" t="s">
        <v>680</v>
      </c>
      <c r="F176" s="962">
        <v>1</v>
      </c>
      <c r="G176" s="1116">
        <v>65400000</v>
      </c>
      <c r="H176" s="1117">
        <v>0.1</v>
      </c>
      <c r="I176" s="950">
        <f t="shared" si="21"/>
        <v>65400000</v>
      </c>
      <c r="J176" s="950">
        <f t="shared" si="22"/>
        <v>71940000</v>
      </c>
      <c r="K176" s="950">
        <f t="shared" si="20"/>
        <v>71940000</v>
      </c>
      <c r="L176" s="1118"/>
      <c r="M176" s="1129"/>
      <c r="N176" s="1130"/>
    </row>
    <row r="177" spans="1:14" ht="78.75" outlineLevel="1">
      <c r="A177" s="940">
        <f t="shared" si="25"/>
        <v>3</v>
      </c>
      <c r="B177" s="944" t="s">
        <v>1193</v>
      </c>
      <c r="C177" s="971" t="s">
        <v>1194</v>
      </c>
      <c r="D177" s="971" t="s">
        <v>1194</v>
      </c>
      <c r="E177" s="940" t="s">
        <v>627</v>
      </c>
      <c r="F177" s="962">
        <v>1</v>
      </c>
      <c r="G177" s="1156">
        <v>5800000</v>
      </c>
      <c r="H177" s="1117">
        <v>0.1</v>
      </c>
      <c r="I177" s="950">
        <f t="shared" si="21"/>
        <v>5800000</v>
      </c>
      <c r="J177" s="950">
        <f t="shared" si="22"/>
        <v>6380000</v>
      </c>
      <c r="K177" s="950">
        <f t="shared" si="20"/>
        <v>6380000</v>
      </c>
      <c r="L177" s="1118"/>
      <c r="M177" s="1129"/>
      <c r="N177" s="1130"/>
    </row>
    <row r="178" spans="1:14" ht="63" outlineLevel="1">
      <c r="A178" s="940">
        <f t="shared" si="25"/>
        <v>4</v>
      </c>
      <c r="B178" s="944" t="s">
        <v>1195</v>
      </c>
      <c r="C178" s="971" t="s">
        <v>1196</v>
      </c>
      <c r="D178" s="971" t="s">
        <v>1196</v>
      </c>
      <c r="E178" s="940" t="s">
        <v>627</v>
      </c>
      <c r="F178" s="962">
        <v>1</v>
      </c>
      <c r="G178" s="1156">
        <v>3800000</v>
      </c>
      <c r="H178" s="1117">
        <v>0.1</v>
      </c>
      <c r="I178" s="950">
        <f t="shared" si="21"/>
        <v>3800000</v>
      </c>
      <c r="J178" s="950">
        <f t="shared" si="22"/>
        <v>4180000</v>
      </c>
      <c r="K178" s="950">
        <f t="shared" si="20"/>
        <v>4180000</v>
      </c>
      <c r="L178" s="1118"/>
      <c r="M178" s="1129"/>
      <c r="N178" s="1130"/>
    </row>
    <row r="179" spans="1:14" ht="150" customHeight="1" outlineLevel="1">
      <c r="A179" s="940">
        <f>A178+1</f>
        <v>5</v>
      </c>
      <c r="B179" s="944" t="s">
        <v>1197</v>
      </c>
      <c r="C179" s="991" t="s">
        <v>1198</v>
      </c>
      <c r="D179" s="991" t="s">
        <v>1198</v>
      </c>
      <c r="E179" s="940" t="s">
        <v>680</v>
      </c>
      <c r="F179" s="962">
        <v>1</v>
      </c>
      <c r="G179" s="1116">
        <v>64000000</v>
      </c>
      <c r="H179" s="1117">
        <v>0.1</v>
      </c>
      <c r="I179" s="950">
        <f t="shared" si="21"/>
        <v>64000000</v>
      </c>
      <c r="J179" s="950">
        <f t="shared" si="22"/>
        <v>70400000</v>
      </c>
      <c r="K179" s="950">
        <f t="shared" si="20"/>
        <v>70400000</v>
      </c>
      <c r="L179" s="1118"/>
      <c r="M179" s="1129"/>
      <c r="N179" s="1130"/>
    </row>
    <row r="180" spans="1:14" ht="409.5" outlineLevel="1">
      <c r="A180" s="1006">
        <f t="shared" si="25"/>
        <v>6</v>
      </c>
      <c r="B180" s="1007" t="s">
        <v>1036</v>
      </c>
      <c r="C180" s="1008" t="s">
        <v>1199</v>
      </c>
      <c r="D180" s="1152" t="s">
        <v>1199</v>
      </c>
      <c r="E180" s="1017"/>
      <c r="F180" s="1018">
        <v>1</v>
      </c>
      <c r="G180" s="1116">
        <v>65640000</v>
      </c>
      <c r="H180" s="1117">
        <v>0.1</v>
      </c>
      <c r="I180" s="950">
        <f t="shared" si="21"/>
        <v>65640000</v>
      </c>
      <c r="J180" s="950">
        <f t="shared" si="22"/>
        <v>72204000</v>
      </c>
      <c r="K180" s="950">
        <f t="shared" si="20"/>
        <v>72204000</v>
      </c>
      <c r="L180" s="1118"/>
      <c r="M180" s="1129"/>
      <c r="N180" s="1130"/>
    </row>
    <row r="181" spans="1:14" ht="252" outlineLevel="1">
      <c r="A181" s="1009"/>
      <c r="B181" s="1010"/>
      <c r="C181" s="1019" t="s">
        <v>1151</v>
      </c>
      <c r="D181" s="1157" t="s">
        <v>1151</v>
      </c>
      <c r="E181" s="1020"/>
      <c r="F181" s="1021"/>
      <c r="G181" s="1116"/>
      <c r="H181" s="1117"/>
      <c r="I181" s="950"/>
      <c r="J181" s="950">
        <f t="shared" si="22"/>
        <v>0</v>
      </c>
      <c r="K181" s="950">
        <f t="shared" si="20"/>
        <v>0</v>
      </c>
      <c r="L181" s="1118"/>
      <c r="M181" s="1129"/>
      <c r="N181" s="1130"/>
    </row>
    <row r="182" spans="1:14" ht="409.5" outlineLevel="1">
      <c r="A182" s="940">
        <f>A180+1</f>
        <v>7</v>
      </c>
      <c r="B182" s="944" t="s">
        <v>1200</v>
      </c>
      <c r="C182" s="1011" t="s">
        <v>1153</v>
      </c>
      <c r="D182" s="1154" t="s">
        <v>1154</v>
      </c>
      <c r="E182" s="940" t="s">
        <v>627</v>
      </c>
      <c r="F182" s="962">
        <v>1</v>
      </c>
      <c r="G182" s="1116">
        <v>27500000</v>
      </c>
      <c r="H182" s="1117">
        <v>0.1</v>
      </c>
      <c r="I182" s="950">
        <f t="shared" ref="I182:I245" si="26">F182*G182</f>
        <v>27500000</v>
      </c>
      <c r="J182" s="950">
        <f t="shared" si="22"/>
        <v>30250000</v>
      </c>
      <c r="K182" s="950">
        <f t="shared" si="20"/>
        <v>30250000</v>
      </c>
      <c r="L182" s="1118" t="s">
        <v>1201</v>
      </c>
      <c r="M182" s="1129"/>
      <c r="N182" s="1005" t="s">
        <v>1156</v>
      </c>
    </row>
    <row r="183" spans="1:14" ht="63" outlineLevel="1">
      <c r="A183" s="940">
        <f t="shared" si="25"/>
        <v>8</v>
      </c>
      <c r="B183" s="944" t="s">
        <v>1066</v>
      </c>
      <c r="C183" s="944" t="s">
        <v>1067</v>
      </c>
      <c r="D183" s="944" t="s">
        <v>1067</v>
      </c>
      <c r="E183" s="940" t="s">
        <v>627</v>
      </c>
      <c r="F183" s="962">
        <v>1</v>
      </c>
      <c r="G183" s="1116">
        <v>300000</v>
      </c>
      <c r="H183" s="1117">
        <v>0.1</v>
      </c>
      <c r="I183" s="950">
        <f t="shared" si="26"/>
        <v>300000</v>
      </c>
      <c r="J183" s="950">
        <f t="shared" si="22"/>
        <v>330000</v>
      </c>
      <c r="K183" s="950">
        <f t="shared" si="20"/>
        <v>330000</v>
      </c>
      <c r="L183" s="1118"/>
      <c r="M183" s="1129"/>
      <c r="N183" s="1130"/>
    </row>
    <row r="184" spans="1:14" ht="47.25" outlineLevel="1">
      <c r="A184" s="940">
        <f t="shared" si="25"/>
        <v>9</v>
      </c>
      <c r="B184" s="944" t="s">
        <v>1034</v>
      </c>
      <c r="C184" s="966" t="s">
        <v>1035</v>
      </c>
      <c r="D184" s="966" t="s">
        <v>1035</v>
      </c>
      <c r="E184" s="940" t="s">
        <v>1068</v>
      </c>
      <c r="F184" s="962">
        <f>F174</f>
        <v>1</v>
      </c>
      <c r="G184" s="1116">
        <v>130000</v>
      </c>
      <c r="H184" s="1117">
        <v>0.1</v>
      </c>
      <c r="I184" s="950">
        <f t="shared" si="26"/>
        <v>130000</v>
      </c>
      <c r="J184" s="950">
        <f t="shared" si="22"/>
        <v>143000</v>
      </c>
      <c r="K184" s="950">
        <f t="shared" si="20"/>
        <v>143000</v>
      </c>
      <c r="L184" s="1118"/>
      <c r="M184" s="1129"/>
      <c r="N184" s="1130"/>
    </row>
    <row r="185" spans="1:14" ht="31.5" outlineLevel="1">
      <c r="A185" s="940">
        <f t="shared" si="25"/>
        <v>10</v>
      </c>
      <c r="B185" s="944" t="s">
        <v>1157</v>
      </c>
      <c r="C185" s="966" t="s">
        <v>1158</v>
      </c>
      <c r="D185" s="966" t="s">
        <v>1158</v>
      </c>
      <c r="E185" s="940" t="s">
        <v>627</v>
      </c>
      <c r="F185" s="962">
        <v>1</v>
      </c>
      <c r="G185" s="1116">
        <v>2200000</v>
      </c>
      <c r="H185" s="1117">
        <v>0.1</v>
      </c>
      <c r="I185" s="950">
        <f t="shared" si="26"/>
        <v>2200000</v>
      </c>
      <c r="J185" s="950">
        <f t="shared" si="22"/>
        <v>2420000</v>
      </c>
      <c r="K185" s="950">
        <f t="shared" si="20"/>
        <v>2420000</v>
      </c>
      <c r="L185" s="1118" t="s">
        <v>1201</v>
      </c>
      <c r="M185" s="1129"/>
      <c r="N185" s="1130"/>
    </row>
    <row r="186" spans="1:14" ht="15.75">
      <c r="A186" s="940">
        <v>20</v>
      </c>
      <c r="B186" s="987" t="s">
        <v>1202</v>
      </c>
      <c r="C186" s="942"/>
      <c r="D186" s="942"/>
      <c r="E186" s="968" t="s">
        <v>1011</v>
      </c>
      <c r="F186" s="968">
        <v>1</v>
      </c>
      <c r="G186" s="1116"/>
      <c r="H186" s="1117"/>
      <c r="I186" s="950">
        <f t="shared" si="26"/>
        <v>0</v>
      </c>
      <c r="J186" s="950">
        <f t="shared" si="22"/>
        <v>0</v>
      </c>
      <c r="K186" s="950">
        <f t="shared" si="20"/>
        <v>0</v>
      </c>
      <c r="L186" s="1118"/>
      <c r="M186" s="1129"/>
      <c r="N186" s="1130"/>
    </row>
    <row r="187" spans="1:14" ht="94.5" outlineLevel="1">
      <c r="A187" s="940">
        <v>1</v>
      </c>
      <c r="B187" s="944" t="s">
        <v>1031</v>
      </c>
      <c r="C187" s="953" t="s">
        <v>1203</v>
      </c>
      <c r="D187" s="953" t="s">
        <v>1203</v>
      </c>
      <c r="E187" s="961" t="s">
        <v>655</v>
      </c>
      <c r="F187" s="962">
        <v>1</v>
      </c>
      <c r="G187" s="1116">
        <v>4800000</v>
      </c>
      <c r="H187" s="1117">
        <v>0.05</v>
      </c>
      <c r="I187" s="950">
        <f t="shared" si="26"/>
        <v>4800000</v>
      </c>
      <c r="J187" s="950">
        <f t="shared" si="22"/>
        <v>5280000</v>
      </c>
      <c r="K187" s="950">
        <f t="shared" si="20"/>
        <v>5280000</v>
      </c>
      <c r="L187" s="1118"/>
      <c r="M187" s="1129"/>
      <c r="N187" s="1130"/>
    </row>
    <row r="188" spans="1:14" ht="139.5" customHeight="1" outlineLevel="1">
      <c r="A188" s="940">
        <f t="shared" ref="A188:A193" si="27">A187+1</f>
        <v>2</v>
      </c>
      <c r="B188" s="944" t="s">
        <v>1204</v>
      </c>
      <c r="C188" s="1115" t="s">
        <v>1205</v>
      </c>
      <c r="D188" s="1115" t="s">
        <v>1206</v>
      </c>
      <c r="E188" s="940" t="s">
        <v>627</v>
      </c>
      <c r="F188" s="962">
        <v>1</v>
      </c>
      <c r="G188" s="1116">
        <v>5200000</v>
      </c>
      <c r="H188" s="1117">
        <v>0.1</v>
      </c>
      <c r="I188" s="950">
        <f t="shared" si="26"/>
        <v>5200000</v>
      </c>
      <c r="J188" s="950">
        <f t="shared" si="22"/>
        <v>5720000</v>
      </c>
      <c r="K188" s="950">
        <f t="shared" si="20"/>
        <v>5720000</v>
      </c>
      <c r="L188" s="1118"/>
      <c r="M188" s="1129"/>
      <c r="N188" s="1005" t="s">
        <v>1207</v>
      </c>
    </row>
    <row r="189" spans="1:14" ht="94.5" outlineLevel="1">
      <c r="A189" s="940">
        <f t="shared" si="27"/>
        <v>3</v>
      </c>
      <c r="B189" s="944" t="s">
        <v>1208</v>
      </c>
      <c r="C189" s="944" t="s">
        <v>1209</v>
      </c>
      <c r="D189" s="944" t="s">
        <v>1209</v>
      </c>
      <c r="E189" s="961" t="s">
        <v>655</v>
      </c>
      <c r="F189" s="962">
        <v>1</v>
      </c>
      <c r="G189" s="1116">
        <v>590000</v>
      </c>
      <c r="H189" s="1117">
        <v>0.1</v>
      </c>
      <c r="I189" s="950">
        <f t="shared" si="26"/>
        <v>590000</v>
      </c>
      <c r="J189" s="950">
        <f t="shared" si="22"/>
        <v>649000</v>
      </c>
      <c r="K189" s="950">
        <f t="shared" si="20"/>
        <v>649000</v>
      </c>
      <c r="L189" s="1118"/>
      <c r="M189" s="1129"/>
      <c r="N189" s="1130"/>
    </row>
    <row r="190" spans="1:14" ht="93" customHeight="1" outlineLevel="1">
      <c r="A190" s="940">
        <f t="shared" si="27"/>
        <v>4</v>
      </c>
      <c r="B190" s="1149" t="s">
        <v>1210</v>
      </c>
      <c r="C190" s="1115" t="s">
        <v>1211</v>
      </c>
      <c r="D190" s="1115" t="s">
        <v>1212</v>
      </c>
      <c r="E190" s="1145" t="s">
        <v>627</v>
      </c>
      <c r="F190" s="1158">
        <v>12</v>
      </c>
      <c r="G190" s="1116">
        <v>8400000</v>
      </c>
      <c r="H190" s="1117">
        <v>0.1</v>
      </c>
      <c r="I190" s="950">
        <f t="shared" si="26"/>
        <v>100800000</v>
      </c>
      <c r="J190" s="950">
        <f t="shared" si="22"/>
        <v>9240000</v>
      </c>
      <c r="K190" s="950">
        <f t="shared" si="20"/>
        <v>110880000</v>
      </c>
      <c r="L190" s="1118" t="s">
        <v>1213</v>
      </c>
      <c r="M190" s="1129"/>
      <c r="N190" s="1159" t="s">
        <v>1214</v>
      </c>
    </row>
    <row r="191" spans="1:14" ht="78.75" outlineLevel="1">
      <c r="A191" s="940">
        <f t="shared" si="27"/>
        <v>5</v>
      </c>
      <c r="B191" s="1149" t="s">
        <v>1215</v>
      </c>
      <c r="C191" s="1138" t="s">
        <v>1216</v>
      </c>
      <c r="D191" s="1138" t="s">
        <v>1216</v>
      </c>
      <c r="E191" s="1145" t="s">
        <v>627</v>
      </c>
      <c r="F191" s="1146">
        <v>45</v>
      </c>
      <c r="G191" s="1116">
        <v>450000</v>
      </c>
      <c r="H191" s="1117">
        <v>0.1</v>
      </c>
      <c r="I191" s="950">
        <f t="shared" si="26"/>
        <v>20250000</v>
      </c>
      <c r="J191" s="950">
        <f t="shared" si="22"/>
        <v>495000</v>
      </c>
      <c r="K191" s="950">
        <f t="shared" si="20"/>
        <v>22275000</v>
      </c>
      <c r="L191" s="1118"/>
      <c r="M191" s="1129"/>
      <c r="N191" s="1130"/>
    </row>
    <row r="192" spans="1:14" ht="141.75" outlineLevel="1">
      <c r="A192" s="940">
        <f t="shared" si="27"/>
        <v>6</v>
      </c>
      <c r="B192" s="1149" t="s">
        <v>1143</v>
      </c>
      <c r="C192" s="953" t="s">
        <v>1144</v>
      </c>
      <c r="D192" s="953" t="s">
        <v>1144</v>
      </c>
      <c r="E192" s="1145" t="s">
        <v>627</v>
      </c>
      <c r="F192" s="1146">
        <v>4</v>
      </c>
      <c r="G192" s="1116">
        <v>5600000</v>
      </c>
      <c r="H192" s="1117">
        <v>0.1</v>
      </c>
      <c r="I192" s="950">
        <f t="shared" si="26"/>
        <v>22400000</v>
      </c>
      <c r="J192" s="950">
        <f t="shared" si="22"/>
        <v>6160000</v>
      </c>
      <c r="K192" s="950">
        <f t="shared" si="20"/>
        <v>24640000</v>
      </c>
      <c r="L192" s="1118"/>
      <c r="M192" s="1129"/>
      <c r="N192" s="1130"/>
    </row>
    <row r="193" spans="1:14" ht="47.25" outlineLevel="1">
      <c r="A193" s="940">
        <f t="shared" si="27"/>
        <v>7</v>
      </c>
      <c r="B193" s="944" t="s">
        <v>1034</v>
      </c>
      <c r="C193" s="966" t="s">
        <v>1035</v>
      </c>
      <c r="D193" s="966" t="s">
        <v>1035</v>
      </c>
      <c r="E193" s="1145" t="s">
        <v>627</v>
      </c>
      <c r="F193" s="1146">
        <v>1</v>
      </c>
      <c r="G193" s="1116">
        <v>130000</v>
      </c>
      <c r="H193" s="1117">
        <v>0.1</v>
      </c>
      <c r="I193" s="950">
        <f t="shared" si="26"/>
        <v>130000</v>
      </c>
      <c r="J193" s="950">
        <f t="shared" si="22"/>
        <v>143000</v>
      </c>
      <c r="K193" s="950">
        <f t="shared" si="20"/>
        <v>143000</v>
      </c>
      <c r="L193" s="1118"/>
      <c r="M193" s="1129"/>
      <c r="N193" s="1130"/>
    </row>
    <row r="194" spans="1:14" ht="15.75">
      <c r="A194" s="940">
        <v>21</v>
      </c>
      <c r="B194" s="987" t="s">
        <v>1217</v>
      </c>
      <c r="C194" s="1138"/>
      <c r="D194" s="1138"/>
      <c r="E194" s="968" t="s">
        <v>1011</v>
      </c>
      <c r="F194" s="968">
        <v>1</v>
      </c>
      <c r="G194" s="1116"/>
      <c r="H194" s="1117"/>
      <c r="I194" s="950">
        <f t="shared" si="26"/>
        <v>0</v>
      </c>
      <c r="J194" s="950">
        <f t="shared" si="22"/>
        <v>0</v>
      </c>
      <c r="K194" s="950">
        <f t="shared" si="20"/>
        <v>0</v>
      </c>
      <c r="L194" s="1118"/>
      <c r="M194" s="1129"/>
      <c r="N194" s="1130"/>
    </row>
    <row r="195" spans="1:14" ht="126" outlineLevel="1">
      <c r="A195" s="940">
        <v>1</v>
      </c>
      <c r="B195" s="944" t="s">
        <v>1101</v>
      </c>
      <c r="C195" s="1138" t="s">
        <v>1161</v>
      </c>
      <c r="D195" s="1138" t="s">
        <v>1161</v>
      </c>
      <c r="E195" s="1145" t="s">
        <v>627</v>
      </c>
      <c r="F195" s="1146">
        <v>2</v>
      </c>
      <c r="G195" s="1116">
        <v>6000000</v>
      </c>
      <c r="H195" s="1117">
        <v>0.1</v>
      </c>
      <c r="I195" s="950">
        <f t="shared" si="26"/>
        <v>12000000</v>
      </c>
      <c r="J195" s="950">
        <f t="shared" si="22"/>
        <v>6600000</v>
      </c>
      <c r="K195" s="950">
        <f t="shared" si="20"/>
        <v>13200000</v>
      </c>
      <c r="L195" s="1118" t="s">
        <v>1218</v>
      </c>
      <c r="M195" s="1129"/>
      <c r="N195" s="1130"/>
    </row>
    <row r="196" spans="1:14" ht="78.75" outlineLevel="1">
      <c r="A196" s="940">
        <f>A195+1</f>
        <v>2</v>
      </c>
      <c r="B196" s="944" t="s">
        <v>1219</v>
      </c>
      <c r="C196" s="969" t="s">
        <v>1220</v>
      </c>
      <c r="D196" s="969" t="s">
        <v>1220</v>
      </c>
      <c r="E196" s="1145" t="s">
        <v>627</v>
      </c>
      <c r="F196" s="1146">
        <v>1</v>
      </c>
      <c r="G196" s="1116">
        <v>6800000</v>
      </c>
      <c r="H196" s="1117">
        <v>0.1</v>
      </c>
      <c r="I196" s="950">
        <f t="shared" si="26"/>
        <v>6800000</v>
      </c>
      <c r="J196" s="950">
        <f t="shared" si="22"/>
        <v>7480000</v>
      </c>
      <c r="K196" s="950">
        <f t="shared" si="20"/>
        <v>7480000</v>
      </c>
      <c r="L196" s="1118"/>
      <c r="M196" s="1129"/>
      <c r="N196" s="1130"/>
    </row>
    <row r="197" spans="1:14" ht="94.5" outlineLevel="1">
      <c r="A197" s="940">
        <f>A196+1</f>
        <v>3</v>
      </c>
      <c r="B197" s="944" t="s">
        <v>1208</v>
      </c>
      <c r="C197" s="944" t="s">
        <v>1221</v>
      </c>
      <c r="D197" s="944" t="s">
        <v>1221</v>
      </c>
      <c r="E197" s="1145" t="s">
        <v>627</v>
      </c>
      <c r="F197" s="1146">
        <v>4</v>
      </c>
      <c r="G197" s="1116">
        <v>590000</v>
      </c>
      <c r="H197" s="1117">
        <v>0.1</v>
      </c>
      <c r="I197" s="950">
        <f t="shared" si="26"/>
        <v>2360000</v>
      </c>
      <c r="J197" s="950">
        <f t="shared" si="22"/>
        <v>649000</v>
      </c>
      <c r="K197" s="950">
        <f t="shared" si="20"/>
        <v>2596000</v>
      </c>
      <c r="L197" s="1118"/>
      <c r="M197" s="1129"/>
      <c r="N197" s="1130"/>
    </row>
    <row r="198" spans="1:14" ht="47.25" outlineLevel="1">
      <c r="A198" s="940">
        <f>A197+1</f>
        <v>4</v>
      </c>
      <c r="B198" s="944" t="s">
        <v>1034</v>
      </c>
      <c r="C198" s="966" t="s">
        <v>1035</v>
      </c>
      <c r="D198" s="966" t="s">
        <v>1035</v>
      </c>
      <c r="E198" s="1145" t="s">
        <v>627</v>
      </c>
      <c r="F198" s="1146">
        <v>1</v>
      </c>
      <c r="G198" s="1116">
        <v>130000</v>
      </c>
      <c r="H198" s="1117">
        <v>0.1</v>
      </c>
      <c r="I198" s="950">
        <f t="shared" si="26"/>
        <v>130000</v>
      </c>
      <c r="J198" s="950">
        <f t="shared" si="22"/>
        <v>143000</v>
      </c>
      <c r="K198" s="950">
        <f t="shared" si="20"/>
        <v>143000</v>
      </c>
      <c r="L198" s="1118"/>
      <c r="M198" s="1129"/>
      <c r="N198" s="1130"/>
    </row>
    <row r="199" spans="1:14" ht="15.75">
      <c r="A199" s="940">
        <v>22</v>
      </c>
      <c r="B199" s="987" t="s">
        <v>1222</v>
      </c>
      <c r="C199" s="942"/>
      <c r="D199" s="942"/>
      <c r="E199" s="968" t="s">
        <v>1011</v>
      </c>
      <c r="F199" s="968">
        <v>1</v>
      </c>
      <c r="G199" s="1116"/>
      <c r="H199" s="1117"/>
      <c r="I199" s="950">
        <f t="shared" si="26"/>
        <v>0</v>
      </c>
      <c r="J199" s="950">
        <f t="shared" si="22"/>
        <v>0</v>
      </c>
      <c r="K199" s="950">
        <f t="shared" si="20"/>
        <v>0</v>
      </c>
      <c r="L199" s="1118"/>
      <c r="M199" s="1129"/>
      <c r="N199" s="1130"/>
    </row>
    <row r="200" spans="1:14" ht="94.5" outlineLevel="1">
      <c r="A200" s="940">
        <v>1</v>
      </c>
      <c r="B200" s="944" t="s">
        <v>1031</v>
      </c>
      <c r="C200" s="953" t="s">
        <v>1203</v>
      </c>
      <c r="D200" s="953" t="s">
        <v>1203</v>
      </c>
      <c r="E200" s="961" t="s">
        <v>655</v>
      </c>
      <c r="F200" s="962">
        <v>1</v>
      </c>
      <c r="G200" s="1116">
        <v>4800000</v>
      </c>
      <c r="H200" s="1117">
        <v>0.05</v>
      </c>
      <c r="I200" s="950">
        <f t="shared" si="26"/>
        <v>4800000</v>
      </c>
      <c r="J200" s="950">
        <f t="shared" si="22"/>
        <v>5280000</v>
      </c>
      <c r="K200" s="950">
        <f t="shared" si="20"/>
        <v>5280000</v>
      </c>
      <c r="L200" s="1118"/>
      <c r="M200" s="1129"/>
      <c r="N200" s="1130"/>
    </row>
    <row r="201" spans="1:14" ht="110.25" outlineLevel="1">
      <c r="A201" s="940">
        <f t="shared" ref="A201:A206" si="28">A200+1</f>
        <v>2</v>
      </c>
      <c r="B201" s="944" t="s">
        <v>1204</v>
      </c>
      <c r="C201" s="1115" t="s">
        <v>1223</v>
      </c>
      <c r="D201" s="1115" t="s">
        <v>1206</v>
      </c>
      <c r="E201" s="940" t="s">
        <v>627</v>
      </c>
      <c r="F201" s="962">
        <v>1</v>
      </c>
      <c r="G201" s="1116">
        <v>5200000</v>
      </c>
      <c r="H201" s="1117">
        <v>0.1</v>
      </c>
      <c r="I201" s="950">
        <f t="shared" si="26"/>
        <v>5200000</v>
      </c>
      <c r="J201" s="950">
        <f t="shared" si="22"/>
        <v>5720000</v>
      </c>
      <c r="K201" s="950">
        <f t="shared" si="20"/>
        <v>5720000</v>
      </c>
      <c r="L201" s="1118"/>
      <c r="M201" s="1129"/>
      <c r="N201" s="1005" t="s">
        <v>1224</v>
      </c>
    </row>
    <row r="202" spans="1:14" ht="94.5" outlineLevel="1">
      <c r="A202" s="940">
        <f t="shared" si="28"/>
        <v>3</v>
      </c>
      <c r="B202" s="944" t="s">
        <v>1208</v>
      </c>
      <c r="C202" s="944" t="s">
        <v>1221</v>
      </c>
      <c r="D202" s="944" t="s">
        <v>1209</v>
      </c>
      <c r="E202" s="961" t="s">
        <v>655</v>
      </c>
      <c r="F202" s="962">
        <v>1</v>
      </c>
      <c r="G202" s="1116">
        <v>590000</v>
      </c>
      <c r="H202" s="1117">
        <v>0.1</v>
      </c>
      <c r="I202" s="950">
        <f t="shared" si="26"/>
        <v>590000</v>
      </c>
      <c r="J202" s="950">
        <f t="shared" si="22"/>
        <v>649000</v>
      </c>
      <c r="K202" s="950">
        <f t="shared" si="20"/>
        <v>649000</v>
      </c>
      <c r="L202" s="1118"/>
      <c r="M202" s="1129"/>
      <c r="N202" s="1130"/>
    </row>
    <row r="203" spans="1:14" ht="78.75" outlineLevel="1">
      <c r="A203" s="940">
        <f t="shared" si="28"/>
        <v>4</v>
      </c>
      <c r="B203" s="1149" t="s">
        <v>1210</v>
      </c>
      <c r="C203" s="1115" t="s">
        <v>1211</v>
      </c>
      <c r="D203" s="1115" t="s">
        <v>1212</v>
      </c>
      <c r="E203" s="1145" t="s">
        <v>627</v>
      </c>
      <c r="F203" s="1158">
        <v>12</v>
      </c>
      <c r="G203" s="1116">
        <v>8400000</v>
      </c>
      <c r="H203" s="1117">
        <v>0.1</v>
      </c>
      <c r="I203" s="950">
        <f t="shared" si="26"/>
        <v>100800000</v>
      </c>
      <c r="J203" s="950">
        <f t="shared" si="22"/>
        <v>9240000</v>
      </c>
      <c r="K203" s="950">
        <f t="shared" si="20"/>
        <v>110880000</v>
      </c>
      <c r="L203" s="1118" t="s">
        <v>1213</v>
      </c>
      <c r="M203" s="1129"/>
      <c r="N203" s="1159" t="s">
        <v>1214</v>
      </c>
    </row>
    <row r="204" spans="1:14" ht="78.75" outlineLevel="1">
      <c r="A204" s="940">
        <f t="shared" si="28"/>
        <v>5</v>
      </c>
      <c r="B204" s="1149" t="s">
        <v>1215</v>
      </c>
      <c r="C204" s="1138" t="s">
        <v>1216</v>
      </c>
      <c r="D204" s="1138" t="s">
        <v>1216</v>
      </c>
      <c r="E204" s="1145" t="s">
        <v>627</v>
      </c>
      <c r="F204" s="1146">
        <v>45</v>
      </c>
      <c r="G204" s="1116">
        <v>450000</v>
      </c>
      <c r="H204" s="1117">
        <v>0.1</v>
      </c>
      <c r="I204" s="950">
        <f t="shared" si="26"/>
        <v>20250000</v>
      </c>
      <c r="J204" s="950">
        <f t="shared" si="22"/>
        <v>495000</v>
      </c>
      <c r="K204" s="950">
        <f t="shared" ref="K204:K270" si="29">+ROUND(J204*F204,0)</f>
        <v>22275000</v>
      </c>
      <c r="L204" s="1118"/>
      <c r="M204" s="1129"/>
      <c r="N204" s="1130"/>
    </row>
    <row r="205" spans="1:14" ht="141.75" outlineLevel="1">
      <c r="A205" s="940">
        <f t="shared" si="28"/>
        <v>6</v>
      </c>
      <c r="B205" s="1149" t="s">
        <v>1143</v>
      </c>
      <c r="C205" s="953" t="s">
        <v>1144</v>
      </c>
      <c r="D205" s="953" t="s">
        <v>1144</v>
      </c>
      <c r="E205" s="1145" t="s">
        <v>627</v>
      </c>
      <c r="F205" s="1146">
        <v>4</v>
      </c>
      <c r="G205" s="1116">
        <v>5600000</v>
      </c>
      <c r="H205" s="1117">
        <v>0.1</v>
      </c>
      <c r="I205" s="950">
        <f t="shared" si="26"/>
        <v>22400000</v>
      </c>
      <c r="J205" s="950">
        <f t="shared" si="22"/>
        <v>6160000</v>
      </c>
      <c r="K205" s="950">
        <f t="shared" si="29"/>
        <v>24640000</v>
      </c>
      <c r="L205" s="1118"/>
      <c r="M205" s="1129"/>
      <c r="N205" s="1130"/>
    </row>
    <row r="206" spans="1:14" ht="47.25" outlineLevel="1">
      <c r="A206" s="940">
        <f t="shared" si="28"/>
        <v>7</v>
      </c>
      <c r="B206" s="944" t="s">
        <v>1034</v>
      </c>
      <c r="C206" s="966" t="s">
        <v>1035</v>
      </c>
      <c r="D206" s="966" t="s">
        <v>1035</v>
      </c>
      <c r="E206" s="1145" t="s">
        <v>627</v>
      </c>
      <c r="F206" s="1146">
        <v>1</v>
      </c>
      <c r="G206" s="1116">
        <v>130000</v>
      </c>
      <c r="H206" s="1117">
        <v>0.1</v>
      </c>
      <c r="I206" s="950">
        <f t="shared" si="26"/>
        <v>130000</v>
      </c>
      <c r="J206" s="950">
        <f t="shared" si="22"/>
        <v>143000</v>
      </c>
      <c r="K206" s="950">
        <f t="shared" si="29"/>
        <v>143000</v>
      </c>
      <c r="L206" s="1118"/>
      <c r="M206" s="1129"/>
      <c r="N206" s="1130"/>
    </row>
    <row r="207" spans="1:14" ht="15.75">
      <c r="A207" s="940">
        <v>23</v>
      </c>
      <c r="B207" s="987" t="s">
        <v>1225</v>
      </c>
      <c r="C207" s="1138"/>
      <c r="D207" s="1138"/>
      <c r="E207" s="968" t="s">
        <v>1011</v>
      </c>
      <c r="F207" s="968">
        <v>1</v>
      </c>
      <c r="G207" s="1116"/>
      <c r="H207" s="1117"/>
      <c r="I207" s="950">
        <f t="shared" si="26"/>
        <v>0</v>
      </c>
      <c r="J207" s="950">
        <f t="shared" si="22"/>
        <v>0</v>
      </c>
      <c r="K207" s="950">
        <f t="shared" si="29"/>
        <v>0</v>
      </c>
      <c r="L207" s="1118"/>
      <c r="M207" s="1129"/>
      <c r="N207" s="1130"/>
    </row>
    <row r="208" spans="1:14" ht="126" outlineLevel="1">
      <c r="A208" s="940">
        <v>1</v>
      </c>
      <c r="B208" s="944" t="s">
        <v>1101</v>
      </c>
      <c r="C208" s="1138" t="s">
        <v>1161</v>
      </c>
      <c r="D208" s="1138" t="s">
        <v>1161</v>
      </c>
      <c r="E208" s="1145" t="s">
        <v>627</v>
      </c>
      <c r="F208" s="1146">
        <v>2</v>
      </c>
      <c r="G208" s="1116">
        <v>6000000</v>
      </c>
      <c r="H208" s="1117">
        <v>0.1</v>
      </c>
      <c r="I208" s="950">
        <f t="shared" si="26"/>
        <v>12000000</v>
      </c>
      <c r="J208" s="950">
        <f t="shared" ref="J208:J273" si="30">+ROUND(G208*1.1,0)</f>
        <v>6600000</v>
      </c>
      <c r="K208" s="950">
        <f t="shared" si="29"/>
        <v>13200000</v>
      </c>
      <c r="L208" s="1118" t="s">
        <v>1218</v>
      </c>
      <c r="M208" s="1129"/>
      <c r="N208" s="1130"/>
    </row>
    <row r="209" spans="1:14" ht="78.75" outlineLevel="1">
      <c r="A209" s="940">
        <f>A208+1</f>
        <v>2</v>
      </c>
      <c r="B209" s="944" t="s">
        <v>1219</v>
      </c>
      <c r="C209" s="969" t="s">
        <v>1220</v>
      </c>
      <c r="D209" s="969" t="s">
        <v>1220</v>
      </c>
      <c r="E209" s="1145" t="s">
        <v>627</v>
      </c>
      <c r="F209" s="1146">
        <v>1</v>
      </c>
      <c r="G209" s="1116">
        <v>6800000</v>
      </c>
      <c r="H209" s="1117">
        <v>0.1</v>
      </c>
      <c r="I209" s="950">
        <f t="shared" si="26"/>
        <v>6800000</v>
      </c>
      <c r="J209" s="950">
        <f t="shared" si="30"/>
        <v>7480000</v>
      </c>
      <c r="K209" s="950">
        <f t="shared" si="29"/>
        <v>7480000</v>
      </c>
      <c r="L209" s="1118"/>
      <c r="M209" s="1129"/>
      <c r="N209" s="1130"/>
    </row>
    <row r="210" spans="1:14" ht="94.5" outlineLevel="1">
      <c r="A210" s="940">
        <f>A209+1</f>
        <v>3</v>
      </c>
      <c r="B210" s="944" t="s">
        <v>1208</v>
      </c>
      <c r="C210" s="944" t="s">
        <v>1221</v>
      </c>
      <c r="D210" s="944" t="s">
        <v>1221</v>
      </c>
      <c r="E210" s="1145" t="s">
        <v>627</v>
      </c>
      <c r="F210" s="1146">
        <v>4</v>
      </c>
      <c r="G210" s="1116">
        <v>590000</v>
      </c>
      <c r="H210" s="1117">
        <v>0.1</v>
      </c>
      <c r="I210" s="950">
        <f t="shared" si="26"/>
        <v>2360000</v>
      </c>
      <c r="J210" s="950">
        <f t="shared" si="30"/>
        <v>649000</v>
      </c>
      <c r="K210" s="950">
        <f t="shared" si="29"/>
        <v>2596000</v>
      </c>
      <c r="L210" s="1118"/>
      <c r="M210" s="1129"/>
      <c r="N210" s="1130"/>
    </row>
    <row r="211" spans="1:14" ht="47.25" outlineLevel="1">
      <c r="A211" s="940">
        <f>A210+1</f>
        <v>4</v>
      </c>
      <c r="B211" s="944" t="s">
        <v>1034</v>
      </c>
      <c r="C211" s="966" t="s">
        <v>1035</v>
      </c>
      <c r="D211" s="966" t="s">
        <v>1035</v>
      </c>
      <c r="E211" s="1145" t="s">
        <v>627</v>
      </c>
      <c r="F211" s="1146">
        <v>1</v>
      </c>
      <c r="G211" s="1116">
        <v>130000</v>
      </c>
      <c r="H211" s="1117">
        <v>0.1</v>
      </c>
      <c r="I211" s="950">
        <f t="shared" si="26"/>
        <v>130000</v>
      </c>
      <c r="J211" s="950">
        <f t="shared" si="30"/>
        <v>143000</v>
      </c>
      <c r="K211" s="950">
        <f t="shared" si="29"/>
        <v>143000</v>
      </c>
      <c r="L211" s="1118"/>
      <c r="M211" s="1129"/>
      <c r="N211" s="1130"/>
    </row>
    <row r="212" spans="1:14" ht="15.75">
      <c r="A212" s="940">
        <v>24</v>
      </c>
      <c r="B212" s="987" t="s">
        <v>1226</v>
      </c>
      <c r="C212" s="942"/>
      <c r="D212" s="942"/>
      <c r="E212" s="968" t="s">
        <v>1011</v>
      </c>
      <c r="F212" s="968">
        <v>1</v>
      </c>
      <c r="G212" s="1116"/>
      <c r="H212" s="1117"/>
      <c r="I212" s="950">
        <f t="shared" si="26"/>
        <v>0</v>
      </c>
      <c r="J212" s="950">
        <f t="shared" si="30"/>
        <v>0</v>
      </c>
      <c r="K212" s="950">
        <f t="shared" si="29"/>
        <v>0</v>
      </c>
      <c r="L212" s="1118"/>
      <c r="M212" s="1129"/>
      <c r="N212" s="1130"/>
    </row>
    <row r="213" spans="1:14" ht="94.5" outlineLevel="1">
      <c r="A213" s="940">
        <v>1</v>
      </c>
      <c r="B213" s="944" t="s">
        <v>1031</v>
      </c>
      <c r="C213" s="953" t="s">
        <v>1203</v>
      </c>
      <c r="D213" s="953" t="s">
        <v>1203</v>
      </c>
      <c r="E213" s="961" t="s">
        <v>655</v>
      </c>
      <c r="F213" s="962">
        <v>1</v>
      </c>
      <c r="G213" s="1116">
        <v>4800000</v>
      </c>
      <c r="H213" s="1117">
        <v>0.05</v>
      </c>
      <c r="I213" s="950">
        <f t="shared" si="26"/>
        <v>4800000</v>
      </c>
      <c r="J213" s="950">
        <f t="shared" si="30"/>
        <v>5280000</v>
      </c>
      <c r="K213" s="950">
        <f t="shared" si="29"/>
        <v>5280000</v>
      </c>
      <c r="L213" s="1118"/>
      <c r="M213" s="1129"/>
      <c r="N213" s="1130"/>
    </row>
    <row r="214" spans="1:14" ht="63" outlineLevel="1">
      <c r="A214" s="940">
        <f t="shared" ref="A214:A219" si="31">A213+1</f>
        <v>2</v>
      </c>
      <c r="B214" s="944" t="s">
        <v>1227</v>
      </c>
      <c r="C214" s="953" t="s">
        <v>1228</v>
      </c>
      <c r="D214" s="1115" t="s">
        <v>1229</v>
      </c>
      <c r="E214" s="940" t="s">
        <v>627</v>
      </c>
      <c r="F214" s="962">
        <v>1</v>
      </c>
      <c r="G214" s="1116">
        <v>3750000</v>
      </c>
      <c r="H214" s="1117">
        <v>0.1</v>
      </c>
      <c r="I214" s="950">
        <f t="shared" si="26"/>
        <v>3750000</v>
      </c>
      <c r="J214" s="950">
        <f t="shared" si="30"/>
        <v>4125000</v>
      </c>
      <c r="K214" s="950">
        <f t="shared" si="29"/>
        <v>4125000</v>
      </c>
      <c r="L214" s="1118"/>
      <c r="M214" s="1129"/>
      <c r="N214" s="1005" t="s">
        <v>1230</v>
      </c>
    </row>
    <row r="215" spans="1:14" ht="94.5" outlineLevel="1">
      <c r="A215" s="940">
        <f t="shared" si="31"/>
        <v>3</v>
      </c>
      <c r="B215" s="944" t="s">
        <v>1208</v>
      </c>
      <c r="C215" s="944" t="s">
        <v>1221</v>
      </c>
      <c r="D215" s="944" t="s">
        <v>1221</v>
      </c>
      <c r="E215" s="961" t="s">
        <v>655</v>
      </c>
      <c r="F215" s="962">
        <v>1</v>
      </c>
      <c r="G215" s="1116">
        <v>590000</v>
      </c>
      <c r="H215" s="1117">
        <v>0.1</v>
      </c>
      <c r="I215" s="950">
        <f t="shared" si="26"/>
        <v>590000</v>
      </c>
      <c r="J215" s="950">
        <f t="shared" si="30"/>
        <v>649000</v>
      </c>
      <c r="K215" s="950">
        <f t="shared" si="29"/>
        <v>649000</v>
      </c>
      <c r="L215" s="1118"/>
      <c r="M215" s="1129"/>
      <c r="N215" s="1130"/>
    </row>
    <row r="216" spans="1:14" ht="98.25" customHeight="1" outlineLevel="1">
      <c r="A216" s="940">
        <f t="shared" si="31"/>
        <v>4</v>
      </c>
      <c r="B216" s="1149" t="s">
        <v>1231</v>
      </c>
      <c r="C216" s="1115" t="s">
        <v>1232</v>
      </c>
      <c r="D216" s="1115" t="s">
        <v>1229</v>
      </c>
      <c r="E216" s="1145" t="s">
        <v>627</v>
      </c>
      <c r="F216" s="1146">
        <v>23</v>
      </c>
      <c r="G216" s="1116">
        <v>2700000</v>
      </c>
      <c r="H216" s="1117">
        <v>0.1</v>
      </c>
      <c r="I216" s="950">
        <f t="shared" si="26"/>
        <v>62100000</v>
      </c>
      <c r="J216" s="950">
        <f t="shared" si="30"/>
        <v>2970000</v>
      </c>
      <c r="K216" s="950">
        <f t="shared" si="29"/>
        <v>68310000</v>
      </c>
      <c r="L216" s="1118" t="s">
        <v>1213</v>
      </c>
      <c r="M216" s="1129"/>
      <c r="N216" s="1005" t="s">
        <v>1230</v>
      </c>
    </row>
    <row r="217" spans="1:14" ht="78.75" outlineLevel="1">
      <c r="A217" s="940">
        <f t="shared" si="31"/>
        <v>5</v>
      </c>
      <c r="B217" s="1149" t="s">
        <v>1215</v>
      </c>
      <c r="C217" s="1138" t="s">
        <v>1216</v>
      </c>
      <c r="D217" s="1138" t="s">
        <v>1216</v>
      </c>
      <c r="E217" s="1145" t="s">
        <v>627</v>
      </c>
      <c r="F217" s="1146">
        <v>45</v>
      </c>
      <c r="G217" s="1116">
        <v>450000</v>
      </c>
      <c r="H217" s="1117">
        <v>0.1</v>
      </c>
      <c r="I217" s="950">
        <f t="shared" si="26"/>
        <v>20250000</v>
      </c>
      <c r="J217" s="950">
        <f t="shared" si="30"/>
        <v>495000</v>
      </c>
      <c r="K217" s="950">
        <f t="shared" si="29"/>
        <v>22275000</v>
      </c>
      <c r="L217" s="1118"/>
      <c r="M217" s="1129"/>
      <c r="N217" s="1130"/>
    </row>
    <row r="218" spans="1:14" ht="141.75" outlineLevel="1">
      <c r="A218" s="940">
        <f t="shared" si="31"/>
        <v>6</v>
      </c>
      <c r="B218" s="1149" t="s">
        <v>1143</v>
      </c>
      <c r="C218" s="953" t="s">
        <v>1144</v>
      </c>
      <c r="D218" s="953" t="s">
        <v>1144</v>
      </c>
      <c r="E218" s="1145" t="s">
        <v>627</v>
      </c>
      <c r="F218" s="1146">
        <v>4</v>
      </c>
      <c r="G218" s="1116">
        <v>5600000</v>
      </c>
      <c r="H218" s="1117">
        <v>0.1</v>
      </c>
      <c r="I218" s="950">
        <f t="shared" si="26"/>
        <v>22400000</v>
      </c>
      <c r="J218" s="950">
        <f t="shared" si="30"/>
        <v>6160000</v>
      </c>
      <c r="K218" s="950">
        <f t="shared" si="29"/>
        <v>24640000</v>
      </c>
      <c r="L218" s="1118"/>
      <c r="M218" s="1129"/>
      <c r="N218" s="1130"/>
    </row>
    <row r="219" spans="1:14" ht="47.25" outlineLevel="1">
      <c r="A219" s="940">
        <f t="shared" si="31"/>
        <v>7</v>
      </c>
      <c r="B219" s="944" t="s">
        <v>1034</v>
      </c>
      <c r="C219" s="966" t="s">
        <v>1035</v>
      </c>
      <c r="D219" s="966" t="s">
        <v>1035</v>
      </c>
      <c r="E219" s="1145" t="s">
        <v>627</v>
      </c>
      <c r="F219" s="1146">
        <v>1</v>
      </c>
      <c r="G219" s="1116">
        <v>130000</v>
      </c>
      <c r="H219" s="1117">
        <v>0.1</v>
      </c>
      <c r="I219" s="950">
        <f t="shared" si="26"/>
        <v>130000</v>
      </c>
      <c r="J219" s="950">
        <f t="shared" si="30"/>
        <v>143000</v>
      </c>
      <c r="K219" s="950">
        <f t="shared" si="29"/>
        <v>143000</v>
      </c>
      <c r="L219" s="1118"/>
      <c r="M219" s="1129"/>
      <c r="N219" s="1130"/>
    </row>
    <row r="220" spans="1:14" ht="15.75">
      <c r="A220" s="940">
        <v>25</v>
      </c>
      <c r="B220" s="987" t="s">
        <v>1233</v>
      </c>
      <c r="C220" s="1138"/>
      <c r="D220" s="1138"/>
      <c r="E220" s="968" t="s">
        <v>1011</v>
      </c>
      <c r="F220" s="968">
        <v>1</v>
      </c>
      <c r="G220" s="1116"/>
      <c r="H220" s="1117"/>
      <c r="I220" s="950">
        <f t="shared" si="26"/>
        <v>0</v>
      </c>
      <c r="J220" s="950">
        <f t="shared" si="30"/>
        <v>0</v>
      </c>
      <c r="K220" s="950">
        <f t="shared" si="29"/>
        <v>0</v>
      </c>
      <c r="L220" s="1118"/>
      <c r="M220" s="1129"/>
      <c r="N220" s="1130"/>
    </row>
    <row r="221" spans="1:14" ht="126" outlineLevel="1">
      <c r="A221" s="940">
        <v>1</v>
      </c>
      <c r="B221" s="944" t="s">
        <v>1101</v>
      </c>
      <c r="C221" s="1138" t="s">
        <v>1161</v>
      </c>
      <c r="D221" s="1138" t="s">
        <v>1161</v>
      </c>
      <c r="E221" s="1145" t="s">
        <v>627</v>
      </c>
      <c r="F221" s="1146">
        <v>2</v>
      </c>
      <c r="G221" s="1116">
        <v>6000000</v>
      </c>
      <c r="H221" s="1117">
        <v>0.1</v>
      </c>
      <c r="I221" s="950">
        <f t="shared" si="26"/>
        <v>12000000</v>
      </c>
      <c r="J221" s="950">
        <f t="shared" si="30"/>
        <v>6600000</v>
      </c>
      <c r="K221" s="950">
        <f t="shared" si="29"/>
        <v>13200000</v>
      </c>
      <c r="L221" s="1118" t="s">
        <v>1234</v>
      </c>
      <c r="M221" s="1129"/>
      <c r="N221" s="1130"/>
    </row>
    <row r="222" spans="1:14" ht="78.75" outlineLevel="1">
      <c r="A222" s="940">
        <f>A221+1</f>
        <v>2</v>
      </c>
      <c r="B222" s="944" t="s">
        <v>1219</v>
      </c>
      <c r="C222" s="969" t="s">
        <v>1220</v>
      </c>
      <c r="D222" s="969" t="s">
        <v>1220</v>
      </c>
      <c r="E222" s="1145" t="s">
        <v>627</v>
      </c>
      <c r="F222" s="1146">
        <v>1</v>
      </c>
      <c r="G222" s="1116">
        <v>6800000</v>
      </c>
      <c r="H222" s="1117">
        <v>0.1</v>
      </c>
      <c r="I222" s="950">
        <f t="shared" si="26"/>
        <v>6800000</v>
      </c>
      <c r="J222" s="950">
        <f t="shared" si="30"/>
        <v>7480000</v>
      </c>
      <c r="K222" s="950">
        <f t="shared" si="29"/>
        <v>7480000</v>
      </c>
      <c r="L222" s="1118"/>
      <c r="M222" s="1129"/>
      <c r="N222" s="1130"/>
    </row>
    <row r="223" spans="1:14" ht="94.5" outlineLevel="1">
      <c r="A223" s="940">
        <f>A222+1</f>
        <v>3</v>
      </c>
      <c r="B223" s="944" t="s">
        <v>1208</v>
      </c>
      <c r="C223" s="944" t="s">
        <v>1209</v>
      </c>
      <c r="D223" s="944" t="s">
        <v>1209</v>
      </c>
      <c r="E223" s="1145" t="s">
        <v>627</v>
      </c>
      <c r="F223" s="1146">
        <v>4</v>
      </c>
      <c r="G223" s="1116">
        <v>590000</v>
      </c>
      <c r="H223" s="1117">
        <v>0.1</v>
      </c>
      <c r="I223" s="950">
        <f t="shared" si="26"/>
        <v>2360000</v>
      </c>
      <c r="J223" s="950">
        <f t="shared" si="30"/>
        <v>649000</v>
      </c>
      <c r="K223" s="950">
        <f t="shared" si="29"/>
        <v>2596000</v>
      </c>
      <c r="L223" s="1118"/>
      <c r="M223" s="1129"/>
      <c r="N223" s="1130"/>
    </row>
    <row r="224" spans="1:14" ht="47.25" outlineLevel="1">
      <c r="A224" s="940">
        <f>A223+1</f>
        <v>4</v>
      </c>
      <c r="B224" s="944" t="s">
        <v>1034</v>
      </c>
      <c r="C224" s="966" t="s">
        <v>1035</v>
      </c>
      <c r="D224" s="966" t="s">
        <v>1035</v>
      </c>
      <c r="E224" s="1145" t="s">
        <v>627</v>
      </c>
      <c r="F224" s="1146">
        <v>1</v>
      </c>
      <c r="G224" s="1116">
        <v>130000</v>
      </c>
      <c r="H224" s="1117">
        <v>0.1</v>
      </c>
      <c r="I224" s="950">
        <f t="shared" si="26"/>
        <v>130000</v>
      </c>
      <c r="J224" s="950">
        <f t="shared" si="30"/>
        <v>143000</v>
      </c>
      <c r="K224" s="950">
        <f t="shared" si="29"/>
        <v>143000</v>
      </c>
      <c r="L224" s="1118"/>
      <c r="M224" s="1129"/>
      <c r="N224" s="1130"/>
    </row>
    <row r="225" spans="1:14" ht="15.75">
      <c r="A225" s="940">
        <v>26</v>
      </c>
      <c r="B225" s="987" t="s">
        <v>1235</v>
      </c>
      <c r="C225" s="942"/>
      <c r="D225" s="942"/>
      <c r="E225" s="968" t="s">
        <v>1011</v>
      </c>
      <c r="F225" s="968">
        <v>1</v>
      </c>
      <c r="G225" s="1116"/>
      <c r="H225" s="1117"/>
      <c r="I225" s="950">
        <f t="shared" si="26"/>
        <v>0</v>
      </c>
      <c r="J225" s="950">
        <f t="shared" si="30"/>
        <v>0</v>
      </c>
      <c r="K225" s="950">
        <f t="shared" si="29"/>
        <v>0</v>
      </c>
      <c r="L225" s="1118"/>
      <c r="M225" s="1129"/>
      <c r="N225" s="1130"/>
    </row>
    <row r="226" spans="1:14" ht="94.5" outlineLevel="1">
      <c r="A226" s="940">
        <v>1</v>
      </c>
      <c r="B226" s="944" t="s">
        <v>1031</v>
      </c>
      <c r="C226" s="953" t="s">
        <v>1203</v>
      </c>
      <c r="D226" s="953" t="s">
        <v>1203</v>
      </c>
      <c r="E226" s="961" t="s">
        <v>655</v>
      </c>
      <c r="F226" s="962">
        <v>1</v>
      </c>
      <c r="G226" s="1116">
        <v>4800000</v>
      </c>
      <c r="H226" s="1117">
        <v>0.05</v>
      </c>
      <c r="I226" s="950">
        <f t="shared" si="26"/>
        <v>4800000</v>
      </c>
      <c r="J226" s="950">
        <f t="shared" si="30"/>
        <v>5280000</v>
      </c>
      <c r="K226" s="950">
        <f t="shared" si="29"/>
        <v>5280000</v>
      </c>
      <c r="L226" s="1118"/>
      <c r="M226" s="1129"/>
      <c r="N226" s="1130"/>
    </row>
    <row r="227" spans="1:14" ht="63" outlineLevel="1">
      <c r="A227" s="940">
        <f t="shared" ref="A227:A232" si="32">A226+1</f>
        <v>2</v>
      </c>
      <c r="B227" s="944" t="s">
        <v>1227</v>
      </c>
      <c r="C227" s="953" t="s">
        <v>1228</v>
      </c>
      <c r="D227" s="1115" t="s">
        <v>1229</v>
      </c>
      <c r="E227" s="940" t="s">
        <v>627</v>
      </c>
      <c r="F227" s="962">
        <v>1</v>
      </c>
      <c r="G227" s="1116">
        <v>3750000</v>
      </c>
      <c r="H227" s="1117">
        <v>0.1</v>
      </c>
      <c r="I227" s="950">
        <f t="shared" si="26"/>
        <v>3750000</v>
      </c>
      <c r="J227" s="950">
        <f t="shared" si="30"/>
        <v>4125000</v>
      </c>
      <c r="K227" s="950">
        <f t="shared" si="29"/>
        <v>4125000</v>
      </c>
      <c r="L227" s="1118"/>
      <c r="M227" s="1129"/>
      <c r="N227" s="1005" t="s">
        <v>1236</v>
      </c>
    </row>
    <row r="228" spans="1:14" ht="94.5" outlineLevel="1">
      <c r="A228" s="940">
        <f t="shared" si="32"/>
        <v>3</v>
      </c>
      <c r="B228" s="944" t="s">
        <v>1208</v>
      </c>
      <c r="C228" s="944" t="s">
        <v>1221</v>
      </c>
      <c r="D228" s="944" t="s">
        <v>1221</v>
      </c>
      <c r="E228" s="961" t="s">
        <v>655</v>
      </c>
      <c r="F228" s="962">
        <v>1</v>
      </c>
      <c r="G228" s="1116">
        <v>590000</v>
      </c>
      <c r="H228" s="1117">
        <v>0.1</v>
      </c>
      <c r="I228" s="950">
        <f t="shared" si="26"/>
        <v>590000</v>
      </c>
      <c r="J228" s="950">
        <f t="shared" si="30"/>
        <v>649000</v>
      </c>
      <c r="K228" s="950">
        <f t="shared" si="29"/>
        <v>649000</v>
      </c>
      <c r="L228" s="1118"/>
      <c r="M228" s="1129"/>
      <c r="N228" s="1130"/>
    </row>
    <row r="229" spans="1:14" ht="78.75" outlineLevel="1">
      <c r="A229" s="940">
        <f t="shared" si="32"/>
        <v>4</v>
      </c>
      <c r="B229" s="1149" t="s">
        <v>1231</v>
      </c>
      <c r="C229" s="1115" t="s">
        <v>1237</v>
      </c>
      <c r="D229" s="1115" t="s">
        <v>1229</v>
      </c>
      <c r="E229" s="1145" t="s">
        <v>627</v>
      </c>
      <c r="F229" s="1146">
        <v>23</v>
      </c>
      <c r="G229" s="1116">
        <v>2700000</v>
      </c>
      <c r="H229" s="1117">
        <v>0.1</v>
      </c>
      <c r="I229" s="950">
        <f t="shared" si="26"/>
        <v>62100000</v>
      </c>
      <c r="J229" s="950">
        <f t="shared" si="30"/>
        <v>2970000</v>
      </c>
      <c r="K229" s="950">
        <f t="shared" si="29"/>
        <v>68310000</v>
      </c>
      <c r="L229" s="1118" t="s">
        <v>1213</v>
      </c>
      <c r="M229" s="1129"/>
      <c r="N229" s="1005" t="s">
        <v>1236</v>
      </c>
    </row>
    <row r="230" spans="1:14" ht="78.75" outlineLevel="1">
      <c r="A230" s="940">
        <f t="shared" si="32"/>
        <v>5</v>
      </c>
      <c r="B230" s="1149" t="s">
        <v>1215</v>
      </c>
      <c r="C230" s="1138" t="s">
        <v>1216</v>
      </c>
      <c r="D230" s="1138" t="s">
        <v>1216</v>
      </c>
      <c r="E230" s="1145" t="s">
        <v>627</v>
      </c>
      <c r="F230" s="1146">
        <v>45</v>
      </c>
      <c r="G230" s="1116">
        <v>450000</v>
      </c>
      <c r="H230" s="1117">
        <v>0.1</v>
      </c>
      <c r="I230" s="950">
        <f t="shared" si="26"/>
        <v>20250000</v>
      </c>
      <c r="J230" s="950">
        <f t="shared" si="30"/>
        <v>495000</v>
      </c>
      <c r="K230" s="950">
        <f t="shared" si="29"/>
        <v>22275000</v>
      </c>
      <c r="L230" s="1118"/>
      <c r="M230" s="1129"/>
      <c r="N230" s="1130"/>
    </row>
    <row r="231" spans="1:14" ht="141.75" outlineLevel="1">
      <c r="A231" s="940">
        <f t="shared" si="32"/>
        <v>6</v>
      </c>
      <c r="B231" s="1149" t="s">
        <v>1143</v>
      </c>
      <c r="C231" s="953" t="s">
        <v>1144</v>
      </c>
      <c r="D231" s="953" t="s">
        <v>1144</v>
      </c>
      <c r="E231" s="1145" t="s">
        <v>627</v>
      </c>
      <c r="F231" s="1146">
        <v>4</v>
      </c>
      <c r="G231" s="1116">
        <v>5600000</v>
      </c>
      <c r="H231" s="1117">
        <v>0.1</v>
      </c>
      <c r="I231" s="950">
        <f t="shared" si="26"/>
        <v>22400000</v>
      </c>
      <c r="J231" s="950">
        <f t="shared" si="30"/>
        <v>6160000</v>
      </c>
      <c r="K231" s="950">
        <f t="shared" si="29"/>
        <v>24640000</v>
      </c>
      <c r="L231" s="1118"/>
      <c r="M231" s="1129"/>
      <c r="N231" s="1130"/>
    </row>
    <row r="232" spans="1:14" ht="47.25" outlineLevel="1">
      <c r="A232" s="940">
        <f t="shared" si="32"/>
        <v>7</v>
      </c>
      <c r="B232" s="944" t="s">
        <v>1034</v>
      </c>
      <c r="C232" s="966" t="s">
        <v>1035</v>
      </c>
      <c r="D232" s="966" t="s">
        <v>1035</v>
      </c>
      <c r="E232" s="1145" t="s">
        <v>627</v>
      </c>
      <c r="F232" s="1146">
        <v>1</v>
      </c>
      <c r="G232" s="1116">
        <v>130000</v>
      </c>
      <c r="H232" s="1117">
        <v>0.1</v>
      </c>
      <c r="I232" s="950">
        <f t="shared" si="26"/>
        <v>130000</v>
      </c>
      <c r="J232" s="950">
        <f t="shared" si="30"/>
        <v>143000</v>
      </c>
      <c r="K232" s="950">
        <f t="shared" si="29"/>
        <v>143000</v>
      </c>
      <c r="L232" s="1118"/>
      <c r="M232" s="1129"/>
      <c r="N232" s="1130"/>
    </row>
    <row r="233" spans="1:14" ht="15.75">
      <c r="A233" s="940">
        <v>27</v>
      </c>
      <c r="B233" s="987" t="s">
        <v>1238</v>
      </c>
      <c r="C233" s="1138"/>
      <c r="D233" s="1138"/>
      <c r="E233" s="968" t="s">
        <v>1011</v>
      </c>
      <c r="F233" s="968">
        <v>1</v>
      </c>
      <c r="G233" s="1116"/>
      <c r="H233" s="1117"/>
      <c r="I233" s="950">
        <f t="shared" si="26"/>
        <v>0</v>
      </c>
      <c r="J233" s="950">
        <f t="shared" si="30"/>
        <v>0</v>
      </c>
      <c r="K233" s="950">
        <f t="shared" si="29"/>
        <v>0</v>
      </c>
      <c r="L233" s="1118"/>
      <c r="M233" s="1129"/>
      <c r="N233" s="1130"/>
    </row>
    <row r="234" spans="1:14" ht="126" outlineLevel="1">
      <c r="A234" s="940">
        <v>1</v>
      </c>
      <c r="B234" s="944" t="s">
        <v>1101</v>
      </c>
      <c r="C234" s="1138" t="s">
        <v>1161</v>
      </c>
      <c r="D234" s="1138" t="s">
        <v>1161</v>
      </c>
      <c r="E234" s="1145" t="s">
        <v>627</v>
      </c>
      <c r="F234" s="1146">
        <v>2</v>
      </c>
      <c r="G234" s="1116">
        <v>6000000</v>
      </c>
      <c r="H234" s="1117">
        <v>0.1</v>
      </c>
      <c r="I234" s="950">
        <f t="shared" si="26"/>
        <v>12000000</v>
      </c>
      <c r="J234" s="950">
        <f t="shared" si="30"/>
        <v>6600000</v>
      </c>
      <c r="K234" s="950">
        <f t="shared" si="29"/>
        <v>13200000</v>
      </c>
      <c r="L234" s="1118" t="s">
        <v>1234</v>
      </c>
      <c r="M234" s="1129"/>
      <c r="N234" s="1130"/>
    </row>
    <row r="235" spans="1:14" ht="78.75" outlineLevel="1">
      <c r="A235" s="940">
        <f>A234+1</f>
        <v>2</v>
      </c>
      <c r="B235" s="944" t="s">
        <v>1219</v>
      </c>
      <c r="C235" s="969" t="s">
        <v>1220</v>
      </c>
      <c r="D235" s="969" t="s">
        <v>1220</v>
      </c>
      <c r="E235" s="1145" t="s">
        <v>627</v>
      </c>
      <c r="F235" s="1146">
        <v>1</v>
      </c>
      <c r="G235" s="1116">
        <v>6800000</v>
      </c>
      <c r="H235" s="1117">
        <v>0.1</v>
      </c>
      <c r="I235" s="950">
        <f t="shared" si="26"/>
        <v>6800000</v>
      </c>
      <c r="J235" s="950">
        <f t="shared" si="30"/>
        <v>7480000</v>
      </c>
      <c r="K235" s="950">
        <f t="shared" si="29"/>
        <v>7480000</v>
      </c>
      <c r="L235" s="1118"/>
      <c r="M235" s="1129"/>
      <c r="N235" s="1130"/>
    </row>
    <row r="236" spans="1:14" ht="94.5" outlineLevel="1">
      <c r="A236" s="940">
        <f>A235+1</f>
        <v>3</v>
      </c>
      <c r="B236" s="944" t="s">
        <v>1208</v>
      </c>
      <c r="C236" s="944" t="s">
        <v>1209</v>
      </c>
      <c r="D236" s="944" t="s">
        <v>1209</v>
      </c>
      <c r="E236" s="1145" t="s">
        <v>627</v>
      </c>
      <c r="F236" s="1146">
        <v>4</v>
      </c>
      <c r="G236" s="1116">
        <v>590000</v>
      </c>
      <c r="H236" s="1117">
        <v>0.1</v>
      </c>
      <c r="I236" s="950">
        <f t="shared" si="26"/>
        <v>2360000</v>
      </c>
      <c r="J236" s="950">
        <f t="shared" si="30"/>
        <v>649000</v>
      </c>
      <c r="K236" s="950">
        <f t="shared" si="29"/>
        <v>2596000</v>
      </c>
      <c r="L236" s="1118"/>
      <c r="M236" s="1129"/>
      <c r="N236" s="1130"/>
    </row>
    <row r="237" spans="1:14" ht="47.25" outlineLevel="1">
      <c r="A237" s="940">
        <f>A236+1</f>
        <v>4</v>
      </c>
      <c r="B237" s="944" t="s">
        <v>1034</v>
      </c>
      <c r="C237" s="966" t="s">
        <v>1035</v>
      </c>
      <c r="D237" s="966" t="s">
        <v>1035</v>
      </c>
      <c r="E237" s="1145" t="s">
        <v>627</v>
      </c>
      <c r="F237" s="1146">
        <v>1</v>
      </c>
      <c r="G237" s="1116">
        <v>130000</v>
      </c>
      <c r="H237" s="1117">
        <v>0.1</v>
      </c>
      <c r="I237" s="950">
        <f t="shared" si="26"/>
        <v>130000</v>
      </c>
      <c r="J237" s="950">
        <f t="shared" si="30"/>
        <v>143000</v>
      </c>
      <c r="K237" s="950">
        <f t="shared" si="29"/>
        <v>143000</v>
      </c>
      <c r="L237" s="1118"/>
      <c r="M237" s="1129"/>
      <c r="N237" s="1130"/>
    </row>
    <row r="238" spans="1:14" ht="15.75">
      <c r="A238" s="940">
        <v>28</v>
      </c>
      <c r="B238" s="941" t="s">
        <v>1239</v>
      </c>
      <c r="C238" s="1160"/>
      <c r="D238" s="1160"/>
      <c r="E238" s="1145" t="s">
        <v>1240</v>
      </c>
      <c r="F238" s="1145">
        <v>1</v>
      </c>
      <c r="G238" s="1116"/>
      <c r="H238" s="1117"/>
      <c r="I238" s="950">
        <f t="shared" si="26"/>
        <v>0</v>
      </c>
      <c r="J238" s="950">
        <f t="shared" si="30"/>
        <v>0</v>
      </c>
      <c r="K238" s="950">
        <f t="shared" si="29"/>
        <v>0</v>
      </c>
      <c r="L238" s="1118"/>
      <c r="M238" s="1129"/>
      <c r="N238" s="1130"/>
    </row>
    <row r="239" spans="1:14" ht="94.5" outlineLevel="1">
      <c r="A239" s="940">
        <v>1</v>
      </c>
      <c r="B239" s="944" t="s">
        <v>1031</v>
      </c>
      <c r="C239" s="953" t="s">
        <v>1203</v>
      </c>
      <c r="D239" s="953" t="s">
        <v>1203</v>
      </c>
      <c r="E239" s="961" t="s">
        <v>655</v>
      </c>
      <c r="F239" s="962">
        <v>1</v>
      </c>
      <c r="G239" s="1116">
        <v>4800000</v>
      </c>
      <c r="H239" s="1117">
        <v>0.05</v>
      </c>
      <c r="I239" s="950">
        <f t="shared" si="26"/>
        <v>4800000</v>
      </c>
      <c r="J239" s="950">
        <f t="shared" si="30"/>
        <v>5280000</v>
      </c>
      <c r="K239" s="950">
        <f t="shared" si="29"/>
        <v>5280000</v>
      </c>
      <c r="L239" s="1118"/>
      <c r="M239" s="1129"/>
      <c r="N239" s="1130"/>
    </row>
    <row r="240" spans="1:14" ht="63" outlineLevel="1">
      <c r="A240" s="940">
        <f>A239+1</f>
        <v>2</v>
      </c>
      <c r="B240" s="944" t="s">
        <v>1077</v>
      </c>
      <c r="C240" s="944" t="s">
        <v>1100</v>
      </c>
      <c r="D240" s="944" t="s">
        <v>1100</v>
      </c>
      <c r="E240" s="940" t="s">
        <v>627</v>
      </c>
      <c r="F240" s="962">
        <v>1</v>
      </c>
      <c r="G240" s="1116">
        <v>480000</v>
      </c>
      <c r="H240" s="1117">
        <v>0.1</v>
      </c>
      <c r="I240" s="950">
        <f t="shared" si="26"/>
        <v>480000</v>
      </c>
      <c r="J240" s="950">
        <f t="shared" si="30"/>
        <v>528000</v>
      </c>
      <c r="K240" s="950">
        <f t="shared" si="29"/>
        <v>528000</v>
      </c>
      <c r="L240" s="1118"/>
      <c r="M240" s="1129"/>
      <c r="N240" s="1130"/>
    </row>
    <row r="241" spans="1:14" ht="78.75" outlineLevel="1">
      <c r="A241" s="940">
        <f t="shared" ref="A241:A246" si="33">A240+1</f>
        <v>3</v>
      </c>
      <c r="B241" s="944" t="s">
        <v>1241</v>
      </c>
      <c r="C241" s="944" t="s">
        <v>1242</v>
      </c>
      <c r="D241" s="944" t="s">
        <v>1242</v>
      </c>
      <c r="E241" s="961" t="s">
        <v>655</v>
      </c>
      <c r="F241" s="962">
        <v>45</v>
      </c>
      <c r="G241" s="1116">
        <v>435000</v>
      </c>
      <c r="H241" s="1117">
        <v>0.1</v>
      </c>
      <c r="I241" s="950">
        <f t="shared" si="26"/>
        <v>19575000</v>
      </c>
      <c r="J241" s="950">
        <f t="shared" si="30"/>
        <v>478500</v>
      </c>
      <c r="K241" s="950">
        <f t="shared" si="29"/>
        <v>21532500</v>
      </c>
      <c r="L241" s="1118"/>
      <c r="M241" s="1129"/>
      <c r="N241" s="1130"/>
    </row>
    <row r="242" spans="1:14" ht="216.75" outlineLevel="1">
      <c r="A242" s="940">
        <f t="shared" si="33"/>
        <v>4</v>
      </c>
      <c r="B242" s="1149" t="s">
        <v>1243</v>
      </c>
      <c r="C242" s="1023" t="s">
        <v>1244</v>
      </c>
      <c r="D242" s="1023" t="s">
        <v>1244</v>
      </c>
      <c r="E242" s="1145" t="s">
        <v>627</v>
      </c>
      <c r="F242" s="1146">
        <v>1</v>
      </c>
      <c r="G242" s="1116">
        <v>9600000</v>
      </c>
      <c r="H242" s="1117">
        <v>0.1</v>
      </c>
      <c r="I242" s="950">
        <f t="shared" si="26"/>
        <v>9600000</v>
      </c>
      <c r="J242" s="950">
        <f t="shared" si="30"/>
        <v>10560000</v>
      </c>
      <c r="K242" s="950">
        <f t="shared" si="29"/>
        <v>10560000</v>
      </c>
      <c r="L242" s="1118"/>
      <c r="M242" s="1129"/>
      <c r="N242" s="1130"/>
    </row>
    <row r="243" spans="1:14" ht="315" outlineLevel="1">
      <c r="A243" s="940">
        <f t="shared" si="33"/>
        <v>5</v>
      </c>
      <c r="B243" s="1149" t="s">
        <v>1245</v>
      </c>
      <c r="C243" s="1161" t="s">
        <v>1246</v>
      </c>
      <c r="D243" s="1161" t="s">
        <v>1246</v>
      </c>
      <c r="E243" s="1145" t="s">
        <v>627</v>
      </c>
      <c r="F243" s="1146">
        <v>23</v>
      </c>
      <c r="G243" s="1116">
        <v>6000000</v>
      </c>
      <c r="H243" s="1117">
        <v>0.1</v>
      </c>
      <c r="I243" s="950">
        <f t="shared" si="26"/>
        <v>138000000</v>
      </c>
      <c r="J243" s="950">
        <f t="shared" si="30"/>
        <v>6600000</v>
      </c>
      <c r="K243" s="950">
        <f t="shared" si="29"/>
        <v>151800000</v>
      </c>
      <c r="L243" s="1118" t="s">
        <v>1234</v>
      </c>
      <c r="M243" s="1129"/>
      <c r="N243" s="1130"/>
    </row>
    <row r="244" spans="1:14" ht="63" outlineLevel="1">
      <c r="A244" s="940">
        <f t="shared" si="33"/>
        <v>6</v>
      </c>
      <c r="B244" s="944" t="s">
        <v>1247</v>
      </c>
      <c r="C244" s="1138" t="s">
        <v>1248</v>
      </c>
      <c r="D244" s="1138" t="s">
        <v>1248</v>
      </c>
      <c r="E244" s="1145" t="s">
        <v>624</v>
      </c>
      <c r="F244" s="1146">
        <v>1</v>
      </c>
      <c r="G244" s="1116">
        <v>13500000</v>
      </c>
      <c r="H244" s="1117">
        <v>0.1</v>
      </c>
      <c r="I244" s="950">
        <f t="shared" si="26"/>
        <v>13500000</v>
      </c>
      <c r="J244" s="950">
        <f t="shared" si="30"/>
        <v>14850000</v>
      </c>
      <c r="K244" s="950">
        <f t="shared" si="29"/>
        <v>14850000</v>
      </c>
      <c r="L244" s="1118"/>
      <c r="M244" s="1129"/>
      <c r="N244" s="1130"/>
    </row>
    <row r="245" spans="1:14" ht="63" outlineLevel="1">
      <c r="A245" s="940">
        <f t="shared" si="33"/>
        <v>7</v>
      </c>
      <c r="B245" s="944" t="s">
        <v>1069</v>
      </c>
      <c r="C245" s="1138" t="s">
        <v>1249</v>
      </c>
      <c r="D245" s="1138" t="s">
        <v>1249</v>
      </c>
      <c r="E245" s="968" t="s">
        <v>1071</v>
      </c>
      <c r="F245" s="1026">
        <v>4</v>
      </c>
      <c r="G245" s="1116">
        <v>21990000</v>
      </c>
      <c r="H245" s="1117">
        <v>0.1</v>
      </c>
      <c r="I245" s="950">
        <f t="shared" si="26"/>
        <v>87960000</v>
      </c>
      <c r="J245" s="950">
        <f t="shared" si="30"/>
        <v>24189000</v>
      </c>
      <c r="K245" s="950">
        <f t="shared" si="29"/>
        <v>96756000</v>
      </c>
      <c r="L245" s="1118"/>
      <c r="M245" s="1129"/>
      <c r="N245" s="1130"/>
    </row>
    <row r="246" spans="1:14" ht="47.25" outlineLevel="1">
      <c r="A246" s="940">
        <f t="shared" si="33"/>
        <v>8</v>
      </c>
      <c r="B246" s="944" t="s">
        <v>1034</v>
      </c>
      <c r="C246" s="966" t="s">
        <v>1035</v>
      </c>
      <c r="D246" s="966" t="s">
        <v>1035</v>
      </c>
      <c r="E246" s="968" t="s">
        <v>1068</v>
      </c>
      <c r="F246" s="1026">
        <v>1</v>
      </c>
      <c r="G246" s="1116">
        <v>130000</v>
      </c>
      <c r="H246" s="1117">
        <v>0.1</v>
      </c>
      <c r="I246" s="950">
        <f t="shared" ref="I246:I414" si="34">F246*G246</f>
        <v>130000</v>
      </c>
      <c r="J246" s="950">
        <f t="shared" si="30"/>
        <v>143000</v>
      </c>
      <c r="K246" s="950">
        <f t="shared" si="29"/>
        <v>143000</v>
      </c>
      <c r="L246" s="1118"/>
      <c r="M246" s="1129"/>
      <c r="N246" s="1130"/>
    </row>
    <row r="247" spans="1:14" ht="15.75">
      <c r="A247" s="940">
        <v>29</v>
      </c>
      <c r="B247" s="987" t="s">
        <v>1250</v>
      </c>
      <c r="C247" s="942"/>
      <c r="D247" s="942"/>
      <c r="E247" s="968" t="s">
        <v>1011</v>
      </c>
      <c r="F247" s="968">
        <v>1</v>
      </c>
      <c r="G247" s="1116"/>
      <c r="H247" s="1117"/>
      <c r="I247" s="950">
        <f t="shared" si="34"/>
        <v>0</v>
      </c>
      <c r="J247" s="950">
        <f t="shared" si="30"/>
        <v>0</v>
      </c>
      <c r="K247" s="950">
        <f t="shared" si="29"/>
        <v>0</v>
      </c>
      <c r="L247" s="1118"/>
      <c r="M247" s="1129"/>
      <c r="N247" s="1130"/>
    </row>
    <row r="248" spans="1:14" ht="94.5" outlineLevel="1">
      <c r="A248" s="968">
        <v>1</v>
      </c>
      <c r="B248" s="944" t="s">
        <v>1031</v>
      </c>
      <c r="C248" s="953" t="s">
        <v>1203</v>
      </c>
      <c r="D248" s="953" t="s">
        <v>1203</v>
      </c>
      <c r="E248" s="968" t="s">
        <v>655</v>
      </c>
      <c r="F248" s="1026">
        <v>1</v>
      </c>
      <c r="G248" s="1116">
        <v>4800000</v>
      </c>
      <c r="H248" s="1117">
        <v>0.05</v>
      </c>
      <c r="I248" s="950">
        <f t="shared" si="34"/>
        <v>4800000</v>
      </c>
      <c r="J248" s="950">
        <f t="shared" si="30"/>
        <v>5280000</v>
      </c>
      <c r="K248" s="950">
        <f t="shared" si="29"/>
        <v>5280000</v>
      </c>
      <c r="L248" s="1118"/>
      <c r="M248" s="1129"/>
      <c r="N248" s="1130"/>
    </row>
    <row r="249" spans="1:14" ht="78.75" outlineLevel="1">
      <c r="A249" s="940">
        <f t="shared" ref="A249:A254" si="35">A248+1</f>
        <v>2</v>
      </c>
      <c r="B249" s="1027" t="s">
        <v>1251</v>
      </c>
      <c r="C249" s="974" t="s">
        <v>1252</v>
      </c>
      <c r="D249" s="974" t="s">
        <v>1252</v>
      </c>
      <c r="E249" s="940" t="str">
        <f>E248</f>
        <v>cái</v>
      </c>
      <c r="F249" s="962">
        <v>46</v>
      </c>
      <c r="G249" s="1116">
        <v>650000</v>
      </c>
      <c r="H249" s="1117">
        <v>0.1</v>
      </c>
      <c r="I249" s="950">
        <f t="shared" si="34"/>
        <v>29900000</v>
      </c>
      <c r="J249" s="950">
        <f t="shared" si="30"/>
        <v>715000</v>
      </c>
      <c r="K249" s="950">
        <f t="shared" si="29"/>
        <v>32890000</v>
      </c>
      <c r="L249" s="1118"/>
      <c r="M249" s="1129"/>
      <c r="N249" s="1130"/>
    </row>
    <row r="250" spans="1:14" ht="78.75" outlineLevel="1">
      <c r="A250" s="940">
        <f t="shared" si="35"/>
        <v>3</v>
      </c>
      <c r="B250" s="944" t="s">
        <v>1253</v>
      </c>
      <c r="C250" s="1138" t="s">
        <v>1216</v>
      </c>
      <c r="D250" s="1138" t="s">
        <v>1216</v>
      </c>
      <c r="E250" s="961" t="s">
        <v>627</v>
      </c>
      <c r="F250" s="962">
        <v>46</v>
      </c>
      <c r="G250" s="1116">
        <v>450000</v>
      </c>
      <c r="H250" s="1117">
        <v>0.1</v>
      </c>
      <c r="I250" s="950">
        <f t="shared" si="34"/>
        <v>20700000</v>
      </c>
      <c r="J250" s="950">
        <f t="shared" si="30"/>
        <v>495000</v>
      </c>
      <c r="K250" s="950">
        <f t="shared" si="29"/>
        <v>22770000</v>
      </c>
      <c r="L250" s="1118"/>
      <c r="M250" s="1129"/>
      <c r="N250" s="1130"/>
    </row>
    <row r="251" spans="1:14" ht="157.5" outlineLevel="1">
      <c r="A251" s="940">
        <f t="shared" si="35"/>
        <v>4</v>
      </c>
      <c r="B251" s="996" t="s">
        <v>1021</v>
      </c>
      <c r="C251" s="953" t="s">
        <v>1022</v>
      </c>
      <c r="D251" s="953" t="s">
        <v>1022</v>
      </c>
      <c r="E251" s="1145" t="s">
        <v>627</v>
      </c>
      <c r="F251" s="1146">
        <v>1</v>
      </c>
      <c r="G251" s="1116">
        <v>5600000</v>
      </c>
      <c r="H251" s="1117">
        <v>0.1</v>
      </c>
      <c r="I251" s="950">
        <f t="shared" si="34"/>
        <v>5600000</v>
      </c>
      <c r="J251" s="950">
        <f t="shared" si="30"/>
        <v>6160000</v>
      </c>
      <c r="K251" s="950">
        <f t="shared" si="29"/>
        <v>6160000</v>
      </c>
      <c r="L251" s="1118"/>
      <c r="M251" s="1129"/>
      <c r="N251" s="1130"/>
    </row>
    <row r="252" spans="1:14" ht="47.25" outlineLevel="1">
      <c r="A252" s="940">
        <f t="shared" si="35"/>
        <v>5</v>
      </c>
      <c r="B252" s="1149" t="s">
        <v>1254</v>
      </c>
      <c r="C252" s="1012" t="s">
        <v>1255</v>
      </c>
      <c r="D252" s="1012" t="s">
        <v>1255</v>
      </c>
      <c r="E252" s="1145" t="s">
        <v>627</v>
      </c>
      <c r="F252" s="1146">
        <v>1</v>
      </c>
      <c r="G252" s="1116">
        <v>825000</v>
      </c>
      <c r="H252" s="1117">
        <v>0.1</v>
      </c>
      <c r="I252" s="950">
        <f t="shared" si="34"/>
        <v>825000</v>
      </c>
      <c r="J252" s="950">
        <f t="shared" si="30"/>
        <v>907500</v>
      </c>
      <c r="K252" s="950">
        <f t="shared" si="29"/>
        <v>907500</v>
      </c>
      <c r="L252" s="1118"/>
      <c r="M252" s="1129"/>
      <c r="N252" s="1130"/>
    </row>
    <row r="253" spans="1:14" ht="31.5" outlineLevel="1">
      <c r="A253" s="940">
        <f t="shared" si="35"/>
        <v>6</v>
      </c>
      <c r="B253" s="1149" t="s">
        <v>1256</v>
      </c>
      <c r="C253" s="1012" t="s">
        <v>1257</v>
      </c>
      <c r="D253" s="1012" t="s">
        <v>1257</v>
      </c>
      <c r="E253" s="1145" t="s">
        <v>627</v>
      </c>
      <c r="F253" s="1146">
        <v>1</v>
      </c>
      <c r="G253" s="1116">
        <v>5760000</v>
      </c>
      <c r="H253" s="1117">
        <v>0.1</v>
      </c>
      <c r="I253" s="950">
        <f t="shared" si="34"/>
        <v>5760000</v>
      </c>
      <c r="J253" s="950">
        <f t="shared" si="30"/>
        <v>6336000</v>
      </c>
      <c r="K253" s="950">
        <f t="shared" si="29"/>
        <v>6336000</v>
      </c>
      <c r="L253" s="1118"/>
      <c r="M253" s="1129"/>
      <c r="N253" s="1130"/>
    </row>
    <row r="254" spans="1:14" ht="47.25" outlineLevel="1">
      <c r="A254" s="940">
        <f t="shared" si="35"/>
        <v>7</v>
      </c>
      <c r="B254" s="1149" t="s">
        <v>1034</v>
      </c>
      <c r="C254" s="966" t="s">
        <v>1035</v>
      </c>
      <c r="D254" s="966" t="s">
        <v>1035</v>
      </c>
      <c r="E254" s="1145" t="s">
        <v>1068</v>
      </c>
      <c r="F254" s="1146">
        <f>F193</f>
        <v>1</v>
      </c>
      <c r="G254" s="1116">
        <v>130000</v>
      </c>
      <c r="H254" s="1117">
        <v>0.1</v>
      </c>
      <c r="I254" s="950">
        <f t="shared" si="34"/>
        <v>130000</v>
      </c>
      <c r="J254" s="950">
        <f t="shared" si="30"/>
        <v>143000</v>
      </c>
      <c r="K254" s="950">
        <f t="shared" si="29"/>
        <v>143000</v>
      </c>
      <c r="L254" s="1118"/>
      <c r="M254" s="1129"/>
      <c r="N254" s="1130"/>
    </row>
    <row r="255" spans="1:14" ht="15.75">
      <c r="A255" s="940">
        <v>30</v>
      </c>
      <c r="B255" s="987" t="s">
        <v>1258</v>
      </c>
      <c r="C255" s="942"/>
      <c r="D255" s="942"/>
      <c r="E255" s="968" t="s">
        <v>1011</v>
      </c>
      <c r="F255" s="968">
        <v>2</v>
      </c>
      <c r="G255" s="1116"/>
      <c r="H255" s="1117"/>
      <c r="I255" s="950">
        <f t="shared" si="34"/>
        <v>0</v>
      </c>
      <c r="J255" s="950">
        <f t="shared" si="30"/>
        <v>0</v>
      </c>
      <c r="K255" s="950">
        <f t="shared" si="29"/>
        <v>0</v>
      </c>
      <c r="L255" s="1118"/>
      <c r="M255" s="1129"/>
      <c r="N255" s="1130"/>
    </row>
    <row r="256" spans="1:14" ht="94.5" outlineLevel="1">
      <c r="A256" s="968">
        <v>1</v>
      </c>
      <c r="B256" s="944" t="s">
        <v>1082</v>
      </c>
      <c r="C256" s="953" t="s">
        <v>1083</v>
      </c>
      <c r="D256" s="953" t="s">
        <v>1083</v>
      </c>
      <c r="E256" s="940" t="s">
        <v>627</v>
      </c>
      <c r="F256" s="962">
        <v>2</v>
      </c>
      <c r="G256" s="1116">
        <v>3150000</v>
      </c>
      <c r="H256" s="1117">
        <v>0.1</v>
      </c>
      <c r="I256" s="950">
        <f t="shared" si="34"/>
        <v>6300000</v>
      </c>
      <c r="J256" s="950">
        <f t="shared" si="30"/>
        <v>3465000</v>
      </c>
      <c r="K256" s="950">
        <f t="shared" si="29"/>
        <v>6930000</v>
      </c>
      <c r="L256" s="1118"/>
      <c r="M256" s="1129"/>
      <c r="N256" s="1130"/>
    </row>
    <row r="257" spans="1:14" ht="94.5" outlineLevel="1">
      <c r="A257" s="968">
        <f>A256+1</f>
        <v>2</v>
      </c>
      <c r="B257" s="944" t="s">
        <v>1077</v>
      </c>
      <c r="C257" s="991" t="s">
        <v>1259</v>
      </c>
      <c r="D257" s="991" t="s">
        <v>1259</v>
      </c>
      <c r="E257" s="940" t="s">
        <v>627</v>
      </c>
      <c r="F257" s="962">
        <v>2</v>
      </c>
      <c r="G257" s="1116">
        <v>590000</v>
      </c>
      <c r="H257" s="1117">
        <v>0.1</v>
      </c>
      <c r="I257" s="950">
        <f t="shared" si="34"/>
        <v>1180000</v>
      </c>
      <c r="J257" s="950">
        <f t="shared" si="30"/>
        <v>649000</v>
      </c>
      <c r="K257" s="950">
        <f t="shared" si="29"/>
        <v>1298000</v>
      </c>
      <c r="L257" s="1118"/>
      <c r="M257" s="1129"/>
      <c r="N257" s="1130"/>
    </row>
    <row r="258" spans="1:14" ht="110.25" outlineLevel="1">
      <c r="A258" s="968">
        <f t="shared" ref="A258:A273" si="36">A257+1</f>
        <v>3</v>
      </c>
      <c r="B258" s="944" t="s">
        <v>1260</v>
      </c>
      <c r="C258" s="974" t="s">
        <v>1261</v>
      </c>
      <c r="D258" s="974" t="s">
        <v>1261</v>
      </c>
      <c r="E258" s="940" t="s">
        <v>627</v>
      </c>
      <c r="F258" s="962">
        <f>23*2</f>
        <v>46</v>
      </c>
      <c r="G258" s="1156">
        <v>2963000</v>
      </c>
      <c r="H258" s="1117">
        <v>0.1</v>
      </c>
      <c r="I258" s="950">
        <f t="shared" si="34"/>
        <v>136298000</v>
      </c>
      <c r="J258" s="950">
        <f t="shared" si="30"/>
        <v>3259300</v>
      </c>
      <c r="K258" s="950">
        <f t="shared" si="29"/>
        <v>149927800</v>
      </c>
      <c r="L258" s="1118"/>
      <c r="M258" s="1129"/>
      <c r="N258" s="1130"/>
    </row>
    <row r="259" spans="1:14" ht="78.75" outlineLevel="1">
      <c r="A259" s="968">
        <f t="shared" si="36"/>
        <v>4</v>
      </c>
      <c r="B259" s="1162" t="s">
        <v>1015</v>
      </c>
      <c r="C259" s="1115" t="s">
        <v>1262</v>
      </c>
      <c r="D259" s="1115" t="s">
        <v>1262</v>
      </c>
      <c r="E259" s="940" t="s">
        <v>627</v>
      </c>
      <c r="F259" s="962">
        <f>45*2</f>
        <v>90</v>
      </c>
      <c r="G259" s="1116">
        <v>485000</v>
      </c>
      <c r="H259" s="1117">
        <v>0.1</v>
      </c>
      <c r="I259" s="950">
        <f t="shared" si="34"/>
        <v>43650000</v>
      </c>
      <c r="J259" s="950">
        <f t="shared" si="30"/>
        <v>533500</v>
      </c>
      <c r="K259" s="950">
        <f t="shared" si="29"/>
        <v>48015000</v>
      </c>
      <c r="L259" s="1118"/>
      <c r="M259" s="1129"/>
      <c r="N259" s="1130"/>
    </row>
    <row r="260" spans="1:14" ht="94.5" outlineLevel="1">
      <c r="A260" s="968">
        <f t="shared" si="36"/>
        <v>5</v>
      </c>
      <c r="B260" s="944" t="s">
        <v>1263</v>
      </c>
      <c r="C260" s="953" t="s">
        <v>1203</v>
      </c>
      <c r="D260" s="953" t="s">
        <v>1203</v>
      </c>
      <c r="E260" s="940" t="s">
        <v>1033</v>
      </c>
      <c r="F260" s="962">
        <v>2</v>
      </c>
      <c r="G260" s="1116">
        <v>4800000</v>
      </c>
      <c r="H260" s="1117">
        <v>0.05</v>
      </c>
      <c r="I260" s="950">
        <f t="shared" si="34"/>
        <v>9600000</v>
      </c>
      <c r="J260" s="950">
        <f t="shared" si="30"/>
        <v>5280000</v>
      </c>
      <c r="K260" s="950">
        <f t="shared" si="29"/>
        <v>10560000</v>
      </c>
      <c r="L260" s="1118"/>
      <c r="M260" s="1129"/>
      <c r="N260" s="1130"/>
    </row>
    <row r="261" spans="1:14" ht="393.75" outlineLevel="1">
      <c r="A261" s="968">
        <f t="shared" si="36"/>
        <v>6</v>
      </c>
      <c r="B261" s="944" t="s">
        <v>1264</v>
      </c>
      <c r="C261" s="974" t="s">
        <v>1265</v>
      </c>
      <c r="D261" s="1163" t="s">
        <v>1266</v>
      </c>
      <c r="E261" s="940" t="s">
        <v>680</v>
      </c>
      <c r="F261" s="962">
        <v>2</v>
      </c>
      <c r="G261" s="1116">
        <v>16300000</v>
      </c>
      <c r="H261" s="1117">
        <v>0.1</v>
      </c>
      <c r="I261" s="950">
        <f t="shared" si="34"/>
        <v>32600000</v>
      </c>
      <c r="J261" s="950">
        <f t="shared" si="30"/>
        <v>17930000</v>
      </c>
      <c r="K261" s="950">
        <f t="shared" si="29"/>
        <v>35860000</v>
      </c>
      <c r="L261" s="1118"/>
      <c r="M261" s="1129"/>
      <c r="N261" s="1125" t="s">
        <v>1174</v>
      </c>
    </row>
    <row r="262" spans="1:14" ht="309.75" customHeight="1" outlineLevel="1">
      <c r="A262" s="968"/>
      <c r="B262" s="944"/>
      <c r="C262" s="974" t="s">
        <v>1267</v>
      </c>
      <c r="D262" s="1163" t="s">
        <v>1268</v>
      </c>
      <c r="E262" s="940"/>
      <c r="F262" s="962"/>
      <c r="G262" s="1116"/>
      <c r="H262" s="1117"/>
      <c r="I262" s="950">
        <f t="shared" si="34"/>
        <v>0</v>
      </c>
      <c r="J262" s="950">
        <f t="shared" si="30"/>
        <v>0</v>
      </c>
      <c r="K262" s="950">
        <f t="shared" si="29"/>
        <v>0</v>
      </c>
      <c r="L262" s="1118"/>
      <c r="M262" s="1129"/>
      <c r="N262" s="1130"/>
    </row>
    <row r="263" spans="1:14" ht="299.25" outlineLevel="1">
      <c r="A263" s="968"/>
      <c r="B263" s="944"/>
      <c r="C263" s="974" t="s">
        <v>1269</v>
      </c>
      <c r="D263" s="1160" t="s">
        <v>1270</v>
      </c>
      <c r="E263" s="940"/>
      <c r="F263" s="962"/>
      <c r="G263" s="1116"/>
      <c r="H263" s="1117"/>
      <c r="I263" s="950"/>
      <c r="J263" s="950"/>
      <c r="K263" s="950"/>
      <c r="L263" s="1118"/>
      <c r="M263" s="1129"/>
      <c r="N263" s="1125" t="s">
        <v>1174</v>
      </c>
    </row>
    <row r="264" spans="1:14" ht="409.5" outlineLevel="1">
      <c r="A264" s="968"/>
      <c r="B264" s="944"/>
      <c r="C264" s="974" t="s">
        <v>1271</v>
      </c>
      <c r="D264" s="1115" t="s">
        <v>1272</v>
      </c>
      <c r="E264" s="940"/>
      <c r="F264" s="962"/>
      <c r="G264" s="1116"/>
      <c r="H264" s="1117"/>
      <c r="I264" s="950"/>
      <c r="J264" s="950"/>
      <c r="K264" s="950"/>
      <c r="L264" s="1118"/>
      <c r="M264" s="1129"/>
      <c r="N264" s="1130"/>
    </row>
    <row r="265" spans="1:14" ht="409.5" outlineLevel="1">
      <c r="A265" s="968">
        <f>A261+1</f>
        <v>7</v>
      </c>
      <c r="B265" s="1029" t="s">
        <v>1058</v>
      </c>
      <c r="C265" s="1030" t="s">
        <v>1273</v>
      </c>
      <c r="D265" s="1163" t="s">
        <v>1274</v>
      </c>
      <c r="E265" s="1031" t="s">
        <v>680</v>
      </c>
      <c r="F265" s="1032">
        <f>45*2</f>
        <v>90</v>
      </c>
      <c r="G265" s="1116">
        <v>12970000</v>
      </c>
      <c r="H265" s="1117">
        <v>0.1</v>
      </c>
      <c r="I265" s="950">
        <f t="shared" si="34"/>
        <v>1167300000</v>
      </c>
      <c r="J265" s="950">
        <f t="shared" si="30"/>
        <v>14267000</v>
      </c>
      <c r="K265" s="950">
        <f t="shared" si="29"/>
        <v>1284030000</v>
      </c>
      <c r="L265" s="1118"/>
      <c r="M265" s="1129"/>
      <c r="N265" s="1125" t="s">
        <v>1061</v>
      </c>
    </row>
    <row r="266" spans="1:14" ht="317.25" customHeight="1" outlineLevel="1">
      <c r="A266" s="968"/>
      <c r="B266" s="1029"/>
      <c r="C266" s="1030"/>
      <c r="D266" s="1160" t="s">
        <v>1275</v>
      </c>
      <c r="E266" s="1031"/>
      <c r="F266" s="1032"/>
      <c r="G266" s="1116"/>
      <c r="H266" s="1117"/>
      <c r="I266" s="950"/>
      <c r="J266" s="950"/>
      <c r="K266" s="950"/>
      <c r="L266" s="1118"/>
      <c r="M266" s="1129"/>
      <c r="N266" s="1130"/>
    </row>
    <row r="267" spans="1:14" ht="177.75" customHeight="1" outlineLevel="1">
      <c r="A267" s="968">
        <f>A265+1</f>
        <v>8</v>
      </c>
      <c r="B267" s="1162" t="s">
        <v>1276</v>
      </c>
      <c r="C267" s="974" t="s">
        <v>1277</v>
      </c>
      <c r="D267" s="974" t="s">
        <v>1277</v>
      </c>
      <c r="E267" s="1147" t="s">
        <v>624</v>
      </c>
      <c r="F267" s="986">
        <v>2</v>
      </c>
      <c r="G267" s="1116">
        <v>5000000</v>
      </c>
      <c r="H267" s="1117">
        <v>0.1</v>
      </c>
      <c r="I267" s="950">
        <f t="shared" si="34"/>
        <v>10000000</v>
      </c>
      <c r="J267" s="950">
        <f t="shared" si="30"/>
        <v>5500000</v>
      </c>
      <c r="K267" s="950">
        <f t="shared" si="29"/>
        <v>11000000</v>
      </c>
      <c r="L267" s="1118"/>
      <c r="M267" s="1129"/>
      <c r="N267" s="1130"/>
    </row>
    <row r="268" spans="1:14" ht="94.5" outlineLevel="1">
      <c r="A268" s="968">
        <f t="shared" si="36"/>
        <v>9</v>
      </c>
      <c r="B268" s="944" t="s">
        <v>1278</v>
      </c>
      <c r="C268" s="1164" t="s">
        <v>1279</v>
      </c>
      <c r="D268" s="1164" t="s">
        <v>1279</v>
      </c>
      <c r="E268" s="940" t="s">
        <v>695</v>
      </c>
      <c r="F268" s="962">
        <v>2</v>
      </c>
      <c r="G268" s="1116">
        <v>3200000</v>
      </c>
      <c r="H268" s="1117">
        <v>0.1</v>
      </c>
      <c r="I268" s="950">
        <f t="shared" si="34"/>
        <v>6400000</v>
      </c>
      <c r="J268" s="950">
        <f t="shared" si="30"/>
        <v>3520000</v>
      </c>
      <c r="K268" s="950">
        <f t="shared" si="29"/>
        <v>7040000</v>
      </c>
      <c r="L268" s="1118"/>
      <c r="M268" s="1129"/>
      <c r="N268" s="1130"/>
    </row>
    <row r="269" spans="1:14" ht="126" outlineLevel="1">
      <c r="A269" s="968">
        <f t="shared" si="36"/>
        <v>10</v>
      </c>
      <c r="B269" s="966" t="s">
        <v>1280</v>
      </c>
      <c r="C269" s="974" t="s">
        <v>1281</v>
      </c>
      <c r="D269" s="974" t="s">
        <v>1281</v>
      </c>
      <c r="E269" s="1034" t="s">
        <v>1282</v>
      </c>
      <c r="F269" s="1035">
        <v>2</v>
      </c>
      <c r="G269" s="1116">
        <v>20000000</v>
      </c>
      <c r="H269" s="1117">
        <v>0.1</v>
      </c>
      <c r="I269" s="950">
        <f t="shared" si="34"/>
        <v>40000000</v>
      </c>
      <c r="J269" s="950">
        <f t="shared" si="30"/>
        <v>22000000</v>
      </c>
      <c r="K269" s="950">
        <f t="shared" si="29"/>
        <v>44000000</v>
      </c>
      <c r="L269" s="1118"/>
      <c r="M269" s="1129"/>
      <c r="N269" s="1130"/>
    </row>
    <row r="270" spans="1:14" ht="78.75" outlineLevel="1">
      <c r="A270" s="968">
        <f t="shared" si="36"/>
        <v>11</v>
      </c>
      <c r="B270" s="1162" t="s">
        <v>1283</v>
      </c>
      <c r="C270" s="1138" t="s">
        <v>1284</v>
      </c>
      <c r="D270" s="1138" t="s">
        <v>1284</v>
      </c>
      <c r="E270" s="1145" t="s">
        <v>655</v>
      </c>
      <c r="F270" s="1146">
        <v>2</v>
      </c>
      <c r="G270" s="1116">
        <v>15000000</v>
      </c>
      <c r="H270" s="1117">
        <v>0.1</v>
      </c>
      <c r="I270" s="950">
        <f t="shared" si="34"/>
        <v>30000000</v>
      </c>
      <c r="J270" s="950">
        <f t="shared" si="30"/>
        <v>16500000</v>
      </c>
      <c r="K270" s="950">
        <f t="shared" si="29"/>
        <v>33000000</v>
      </c>
      <c r="L270" s="1118"/>
      <c r="M270" s="1129"/>
      <c r="N270" s="1130"/>
    </row>
    <row r="271" spans="1:14" ht="173.25" outlineLevel="1">
      <c r="A271" s="968">
        <f t="shared" si="36"/>
        <v>12</v>
      </c>
      <c r="B271" s="1138" t="s">
        <v>1285</v>
      </c>
      <c r="C271" s="963" t="s">
        <v>1024</v>
      </c>
      <c r="D271" s="963" t="s">
        <v>1024</v>
      </c>
      <c r="E271" s="961" t="s">
        <v>680</v>
      </c>
      <c r="F271" s="962">
        <v>2</v>
      </c>
      <c r="G271" s="1116">
        <v>8880000</v>
      </c>
      <c r="H271" s="1117">
        <v>0.1</v>
      </c>
      <c r="I271" s="950">
        <f t="shared" si="34"/>
        <v>17760000</v>
      </c>
      <c r="J271" s="950">
        <f t="shared" si="30"/>
        <v>9768000</v>
      </c>
      <c r="K271" s="950">
        <f t="shared" ref="K271:K415" si="37">+ROUND(J271*F271,0)</f>
        <v>19536000</v>
      </c>
      <c r="L271" s="1118"/>
      <c r="M271" s="1129"/>
      <c r="N271" s="1130"/>
    </row>
    <row r="272" spans="1:14" ht="78.75" outlineLevel="1">
      <c r="A272" s="968">
        <f t="shared" si="36"/>
        <v>13</v>
      </c>
      <c r="B272" s="944" t="s">
        <v>1069</v>
      </c>
      <c r="C272" s="1138" t="s">
        <v>1286</v>
      </c>
      <c r="D272" s="1138" t="s">
        <v>1286</v>
      </c>
      <c r="E272" s="940" t="s">
        <v>680</v>
      </c>
      <c r="F272" s="962">
        <f>4*2</f>
        <v>8</v>
      </c>
      <c r="G272" s="1116">
        <v>16500000</v>
      </c>
      <c r="H272" s="1117">
        <v>0.1</v>
      </c>
      <c r="I272" s="950">
        <f t="shared" si="34"/>
        <v>132000000</v>
      </c>
      <c r="J272" s="950">
        <f t="shared" si="30"/>
        <v>18150000</v>
      </c>
      <c r="K272" s="950">
        <f t="shared" si="37"/>
        <v>145200000</v>
      </c>
      <c r="L272" s="1118"/>
      <c r="M272" s="1129"/>
      <c r="N272" s="1130"/>
    </row>
    <row r="273" spans="1:14" ht="47.25" outlineLevel="1">
      <c r="A273" s="968">
        <f t="shared" si="36"/>
        <v>14</v>
      </c>
      <c r="B273" s="944" t="s">
        <v>1034</v>
      </c>
      <c r="C273" s="966" t="s">
        <v>1035</v>
      </c>
      <c r="D273" s="966" t="s">
        <v>1035</v>
      </c>
      <c r="E273" s="1145" t="s">
        <v>655</v>
      </c>
      <c r="F273" s="1026">
        <v>2</v>
      </c>
      <c r="G273" s="1116">
        <v>130000</v>
      </c>
      <c r="H273" s="1117">
        <v>0.1</v>
      </c>
      <c r="I273" s="950">
        <f t="shared" si="34"/>
        <v>260000</v>
      </c>
      <c r="J273" s="950">
        <f t="shared" si="30"/>
        <v>143000</v>
      </c>
      <c r="K273" s="950">
        <f t="shared" si="37"/>
        <v>286000</v>
      </c>
      <c r="L273" s="1118"/>
      <c r="M273" s="1129"/>
      <c r="N273" s="1130"/>
    </row>
    <row r="274" spans="1:14" ht="15.75">
      <c r="A274" s="940">
        <v>31</v>
      </c>
      <c r="B274" s="987" t="s">
        <v>1287</v>
      </c>
      <c r="C274" s="942"/>
      <c r="D274" s="942"/>
      <c r="E274" s="968" t="s">
        <v>1011</v>
      </c>
      <c r="F274" s="968">
        <v>2</v>
      </c>
      <c r="G274" s="1116"/>
      <c r="H274" s="1117"/>
      <c r="I274" s="950">
        <f t="shared" si="34"/>
        <v>0</v>
      </c>
      <c r="J274" s="950">
        <f t="shared" ref="J274:J415" si="38">+ROUND(G274*1.1,0)</f>
        <v>0</v>
      </c>
      <c r="K274" s="950">
        <f t="shared" si="37"/>
        <v>0</v>
      </c>
      <c r="L274" s="1118"/>
      <c r="M274" s="1129"/>
      <c r="N274" s="1130"/>
    </row>
    <row r="275" spans="1:14" ht="15.75">
      <c r="A275" s="940">
        <v>32</v>
      </c>
      <c r="B275" s="1036" t="s">
        <v>1288</v>
      </c>
      <c r="C275" s="989"/>
      <c r="D275" s="989"/>
      <c r="E275" s="940"/>
      <c r="F275" s="962"/>
      <c r="G275" s="1116"/>
      <c r="H275" s="1117"/>
      <c r="I275" s="950">
        <f t="shared" si="34"/>
        <v>0</v>
      </c>
      <c r="J275" s="950">
        <f t="shared" si="38"/>
        <v>0</v>
      </c>
      <c r="K275" s="950">
        <f t="shared" si="37"/>
        <v>0</v>
      </c>
      <c r="L275" s="1118"/>
      <c r="M275" s="1129"/>
      <c r="N275" s="1130"/>
    </row>
    <row r="276" spans="1:14" ht="151.5" customHeight="1" outlineLevel="1">
      <c r="A276" s="940">
        <v>1</v>
      </c>
      <c r="B276" s="1138" t="s">
        <v>1082</v>
      </c>
      <c r="C276" s="953" t="s">
        <v>1083</v>
      </c>
      <c r="D276" s="953" t="s">
        <v>1083</v>
      </c>
      <c r="E276" s="940" t="s">
        <v>627</v>
      </c>
      <c r="F276" s="962">
        <v>2</v>
      </c>
      <c r="G276" s="1116">
        <v>3150000</v>
      </c>
      <c r="H276" s="1117">
        <v>0.1</v>
      </c>
      <c r="I276" s="950">
        <f t="shared" si="34"/>
        <v>6300000</v>
      </c>
      <c r="J276" s="950">
        <f t="shared" si="38"/>
        <v>3465000</v>
      </c>
      <c r="K276" s="950">
        <f t="shared" si="37"/>
        <v>6930000</v>
      </c>
      <c r="L276" s="1118"/>
      <c r="M276" s="1129"/>
      <c r="N276" s="1130"/>
    </row>
    <row r="277" spans="1:14" ht="105.75" customHeight="1" outlineLevel="1">
      <c r="A277" s="940">
        <f>A276+1</f>
        <v>2</v>
      </c>
      <c r="B277" s="1138" t="s">
        <v>1019</v>
      </c>
      <c r="C277" s="991" t="s">
        <v>1259</v>
      </c>
      <c r="D277" s="991" t="s">
        <v>1259</v>
      </c>
      <c r="E277" s="940" t="s">
        <v>627</v>
      </c>
      <c r="F277" s="962">
        <v>2</v>
      </c>
      <c r="G277" s="1116">
        <v>590000</v>
      </c>
      <c r="H277" s="1117">
        <v>0.1</v>
      </c>
      <c r="I277" s="950">
        <f t="shared" si="34"/>
        <v>1180000</v>
      </c>
      <c r="J277" s="950">
        <f t="shared" si="38"/>
        <v>649000</v>
      </c>
      <c r="K277" s="950">
        <f t="shared" si="37"/>
        <v>1298000</v>
      </c>
      <c r="L277" s="1118"/>
      <c r="M277" s="1129"/>
      <c r="N277" s="1130"/>
    </row>
    <row r="278" spans="1:14" ht="131.25" customHeight="1" outlineLevel="1">
      <c r="A278" s="940">
        <f>A277+1</f>
        <v>3</v>
      </c>
      <c r="B278" s="1138" t="s">
        <v>1289</v>
      </c>
      <c r="C278" s="1115" t="s">
        <v>1290</v>
      </c>
      <c r="D278" s="1115" t="s">
        <v>1290</v>
      </c>
      <c r="E278" s="940" t="s">
        <v>627</v>
      </c>
      <c r="F278" s="962">
        <f>23*2</f>
        <v>46</v>
      </c>
      <c r="G278" s="1116">
        <v>2400000</v>
      </c>
      <c r="H278" s="1117">
        <v>0.1</v>
      </c>
      <c r="I278" s="950">
        <f t="shared" si="34"/>
        <v>110400000</v>
      </c>
      <c r="J278" s="950">
        <f t="shared" si="38"/>
        <v>2640000</v>
      </c>
      <c r="K278" s="950">
        <f t="shared" si="37"/>
        <v>121440000</v>
      </c>
      <c r="L278" s="1118"/>
      <c r="M278" s="1129"/>
      <c r="N278" s="1130"/>
    </row>
    <row r="279" spans="1:14" ht="93.75" customHeight="1" outlineLevel="1">
      <c r="A279" s="940">
        <f>A278+1</f>
        <v>4</v>
      </c>
      <c r="B279" s="1162" t="s">
        <v>1015</v>
      </c>
      <c r="C279" s="1115" t="s">
        <v>1262</v>
      </c>
      <c r="D279" s="1115" t="s">
        <v>1262</v>
      </c>
      <c r="E279" s="940" t="s">
        <v>1068</v>
      </c>
      <c r="F279" s="962">
        <f>45*2</f>
        <v>90</v>
      </c>
      <c r="G279" s="1116">
        <v>485000</v>
      </c>
      <c r="H279" s="1117">
        <v>0.1</v>
      </c>
      <c r="I279" s="950">
        <f t="shared" si="34"/>
        <v>43650000</v>
      </c>
      <c r="J279" s="950">
        <f t="shared" si="38"/>
        <v>533500</v>
      </c>
      <c r="K279" s="950">
        <f t="shared" si="37"/>
        <v>48015000</v>
      </c>
      <c r="L279" s="1118"/>
      <c r="M279" s="1129"/>
      <c r="N279" s="1130"/>
    </row>
    <row r="280" spans="1:14" ht="157.5" outlineLevel="1">
      <c r="A280" s="940">
        <f>A279+1</f>
        <v>5</v>
      </c>
      <c r="B280" s="1162" t="s">
        <v>1031</v>
      </c>
      <c r="C280" s="953" t="s">
        <v>1032</v>
      </c>
      <c r="D280" s="953" t="s">
        <v>1032</v>
      </c>
      <c r="E280" s="940" t="s">
        <v>1068</v>
      </c>
      <c r="F280" s="962">
        <v>2</v>
      </c>
      <c r="G280" s="1116">
        <v>6800000</v>
      </c>
      <c r="H280" s="1117">
        <v>0.05</v>
      </c>
      <c r="I280" s="950">
        <f t="shared" si="34"/>
        <v>13600000</v>
      </c>
      <c r="J280" s="950">
        <f t="shared" si="38"/>
        <v>7480000</v>
      </c>
      <c r="K280" s="950">
        <f t="shared" si="37"/>
        <v>14960000</v>
      </c>
      <c r="L280" s="1118" t="s">
        <v>1291</v>
      </c>
      <c r="M280" s="1129"/>
      <c r="N280" s="1130"/>
    </row>
    <row r="281" spans="1:14" ht="47.25" outlineLevel="1">
      <c r="A281" s="940">
        <f>A280+1</f>
        <v>6</v>
      </c>
      <c r="B281" s="1162" t="s">
        <v>1034</v>
      </c>
      <c r="C281" s="966" t="s">
        <v>1035</v>
      </c>
      <c r="D281" s="966" t="s">
        <v>1035</v>
      </c>
      <c r="E281" s="940" t="s">
        <v>1068</v>
      </c>
      <c r="F281" s="962">
        <v>2</v>
      </c>
      <c r="G281" s="1116">
        <v>130000</v>
      </c>
      <c r="H281" s="1117">
        <v>0.1</v>
      </c>
      <c r="I281" s="950">
        <f t="shared" si="34"/>
        <v>260000</v>
      </c>
      <c r="J281" s="950">
        <f t="shared" si="38"/>
        <v>143000</v>
      </c>
      <c r="K281" s="950">
        <f t="shared" si="37"/>
        <v>286000</v>
      </c>
      <c r="L281" s="1118" t="s">
        <v>1291</v>
      </c>
      <c r="M281" s="1129"/>
      <c r="N281" s="1130"/>
    </row>
    <row r="282" spans="1:14" ht="47.25">
      <c r="A282" s="940">
        <v>33</v>
      </c>
      <c r="B282" s="1165" t="s">
        <v>1292</v>
      </c>
      <c r="C282" s="1038"/>
      <c r="D282" s="1038"/>
      <c r="E282" s="1145" t="s">
        <v>680</v>
      </c>
      <c r="F282" s="1146">
        <v>2</v>
      </c>
      <c r="G282" s="1116"/>
      <c r="H282" s="1117"/>
      <c r="I282" s="950">
        <f t="shared" si="34"/>
        <v>0</v>
      </c>
      <c r="J282" s="950">
        <f t="shared" si="38"/>
        <v>0</v>
      </c>
      <c r="K282" s="950">
        <f t="shared" si="37"/>
        <v>0</v>
      </c>
      <c r="L282" s="1118" t="s">
        <v>1291</v>
      </c>
      <c r="M282" s="1129"/>
      <c r="N282" s="1130"/>
    </row>
    <row r="283" spans="1:14" ht="409.5" outlineLevel="1">
      <c r="A283" s="940">
        <v>1</v>
      </c>
      <c r="B283" s="967" t="s">
        <v>1293</v>
      </c>
      <c r="C283" s="974" t="s">
        <v>1059</v>
      </c>
      <c r="D283" s="1163" t="s">
        <v>1266</v>
      </c>
      <c r="E283" s="946" t="s">
        <v>1028</v>
      </c>
      <c r="F283" s="951">
        <v>2</v>
      </c>
      <c r="G283" s="1116">
        <v>15000000</v>
      </c>
      <c r="H283" s="1117">
        <v>0.1</v>
      </c>
      <c r="I283" s="950">
        <f t="shared" si="34"/>
        <v>30000000</v>
      </c>
      <c r="J283" s="950">
        <f t="shared" si="38"/>
        <v>16500000</v>
      </c>
      <c r="K283" s="950">
        <f t="shared" si="37"/>
        <v>33000000</v>
      </c>
      <c r="L283" s="1118" t="s">
        <v>1291</v>
      </c>
      <c r="M283" s="1129"/>
      <c r="N283" s="1125" t="s">
        <v>1061</v>
      </c>
    </row>
    <row r="284" spans="1:14" ht="321.75" customHeight="1" outlineLevel="1">
      <c r="A284" s="933"/>
      <c r="B284" s="1166"/>
      <c r="C284" s="974"/>
      <c r="D284" s="1163" t="s">
        <v>1268</v>
      </c>
      <c r="E284" s="946"/>
      <c r="F284" s="951"/>
      <c r="G284" s="1116"/>
      <c r="H284" s="1117"/>
      <c r="I284" s="950"/>
      <c r="J284" s="950"/>
      <c r="K284" s="950"/>
      <c r="L284" s="1118"/>
      <c r="M284" s="1129"/>
      <c r="N284" s="1130"/>
    </row>
    <row r="285" spans="1:14" ht="94.5" outlineLevel="1">
      <c r="A285" s="1167">
        <f>A283+1</f>
        <v>2</v>
      </c>
      <c r="B285" s="1040" t="s">
        <v>1294</v>
      </c>
      <c r="C285" s="1041" t="s">
        <v>1295</v>
      </c>
      <c r="D285" s="1168" t="s">
        <v>1295</v>
      </c>
      <c r="E285" s="1145" t="s">
        <v>680</v>
      </c>
      <c r="F285" s="951">
        <v>2</v>
      </c>
      <c r="G285" s="1042">
        <v>38000000</v>
      </c>
      <c r="H285" s="1117">
        <v>0.1</v>
      </c>
      <c r="I285" s="950">
        <f t="shared" si="34"/>
        <v>76000000</v>
      </c>
      <c r="J285" s="950">
        <f t="shared" si="38"/>
        <v>41800000</v>
      </c>
      <c r="K285" s="950">
        <f t="shared" si="37"/>
        <v>83600000</v>
      </c>
      <c r="L285" s="1118" t="s">
        <v>1291</v>
      </c>
      <c r="M285" s="1129"/>
      <c r="N285" s="1130"/>
    </row>
    <row r="286" spans="1:14" ht="94.5" outlineLevel="1">
      <c r="A286" s="940">
        <v>3</v>
      </c>
      <c r="B286" s="1041" t="s">
        <v>1296</v>
      </c>
      <c r="C286" s="1043" t="s">
        <v>1297</v>
      </c>
      <c r="D286" s="1169" t="s">
        <v>1297</v>
      </c>
      <c r="E286" s="961" t="s">
        <v>655</v>
      </c>
      <c r="F286" s="986">
        <v>2</v>
      </c>
      <c r="G286" s="1042">
        <v>3500000</v>
      </c>
      <c r="H286" s="1117">
        <v>0.1</v>
      </c>
      <c r="I286" s="950">
        <f t="shared" si="34"/>
        <v>7000000</v>
      </c>
      <c r="J286" s="950">
        <f t="shared" si="38"/>
        <v>3850000</v>
      </c>
      <c r="K286" s="950">
        <f t="shared" si="37"/>
        <v>7700000</v>
      </c>
      <c r="L286" s="1118" t="s">
        <v>1291</v>
      </c>
      <c r="M286" s="1129"/>
      <c r="N286" s="1130"/>
    </row>
    <row r="287" spans="1:14" ht="157.5" outlineLevel="1">
      <c r="A287" s="940">
        <f t="shared" ref="A287" si="39">A286+1</f>
        <v>4</v>
      </c>
      <c r="B287" s="1149" t="s">
        <v>1298</v>
      </c>
      <c r="C287" s="1044" t="s">
        <v>1299</v>
      </c>
      <c r="D287" s="1170" t="s">
        <v>1299</v>
      </c>
      <c r="E287" s="961" t="s">
        <v>1300</v>
      </c>
      <c r="F287" s="986">
        <v>2</v>
      </c>
      <c r="G287" s="1042">
        <v>2500000</v>
      </c>
      <c r="H287" s="1117">
        <v>0.1</v>
      </c>
      <c r="I287" s="950">
        <f t="shared" si="34"/>
        <v>5000000</v>
      </c>
      <c r="J287" s="950">
        <f t="shared" si="38"/>
        <v>2750000</v>
      </c>
      <c r="K287" s="950">
        <f t="shared" si="37"/>
        <v>5500000</v>
      </c>
      <c r="L287" s="1118" t="s">
        <v>1291</v>
      </c>
      <c r="M287" s="1129"/>
      <c r="N287" s="1130"/>
    </row>
    <row r="288" spans="1:14" ht="104.25" customHeight="1" outlineLevel="1">
      <c r="A288" s="940">
        <f>A287+1</f>
        <v>5</v>
      </c>
      <c r="B288" s="967" t="s">
        <v>1301</v>
      </c>
      <c r="C288" s="1044" t="s">
        <v>1302</v>
      </c>
      <c r="D288" s="1169" t="s">
        <v>1303</v>
      </c>
      <c r="E288" s="961" t="s">
        <v>627</v>
      </c>
      <c r="F288" s="986">
        <v>2</v>
      </c>
      <c r="G288" s="1042">
        <v>5000000</v>
      </c>
      <c r="H288" s="1117"/>
      <c r="I288" s="950">
        <f>F288*G288</f>
        <v>10000000</v>
      </c>
      <c r="J288" s="950">
        <f>+ROUND(G288*1.1,0)</f>
        <v>5500000</v>
      </c>
      <c r="K288" s="950">
        <f>+ROUND(J288*F288,0)</f>
        <v>11000000</v>
      </c>
      <c r="L288" s="1118" t="s">
        <v>1291</v>
      </c>
      <c r="M288" s="1129"/>
      <c r="N288" s="1130"/>
    </row>
    <row r="289" spans="1:14" s="1175" customFormat="1" ht="28.5" outlineLevel="1">
      <c r="A289" s="1145"/>
      <c r="B289" s="1145"/>
      <c r="C289" s="1145"/>
      <c r="D289" s="1171" t="s">
        <v>1304</v>
      </c>
      <c r="E289" s="1147"/>
      <c r="F289" s="1147"/>
      <c r="G289" s="1172"/>
      <c r="H289" s="1173"/>
      <c r="I289" s="1117"/>
      <c r="J289" s="950"/>
      <c r="K289" s="950"/>
      <c r="L289" s="1174"/>
      <c r="M289" s="1116"/>
      <c r="N289" s="1125"/>
    </row>
    <row r="290" spans="1:14" s="1175" customFormat="1" ht="15.75" outlineLevel="1">
      <c r="A290" s="1176"/>
      <c r="B290" s="1176"/>
      <c r="C290" s="1176"/>
      <c r="D290" s="1177" t="s">
        <v>1305</v>
      </c>
      <c r="E290" s="1176"/>
      <c r="F290" s="1176"/>
      <c r="G290" s="1178"/>
      <c r="H290" s="1179"/>
      <c r="I290" s="1180"/>
      <c r="J290" s="1180"/>
      <c r="K290" s="1180"/>
      <c r="M290" s="1180"/>
      <c r="N290" s="1181"/>
    </row>
    <row r="291" spans="1:14" s="1175" customFormat="1" ht="15.75" outlineLevel="1">
      <c r="A291" s="1176"/>
      <c r="B291" s="1176"/>
      <c r="C291" s="1176"/>
      <c r="D291" s="1182" t="s">
        <v>1306</v>
      </c>
      <c r="E291" s="1176"/>
      <c r="F291" s="1176"/>
      <c r="G291" s="1178"/>
      <c r="H291" s="1179"/>
      <c r="I291" s="1180"/>
      <c r="J291" s="1180"/>
      <c r="K291" s="1180"/>
      <c r="M291" s="1180"/>
      <c r="N291" s="1181"/>
    </row>
    <row r="292" spans="1:14" s="1175" customFormat="1" ht="31.5" outlineLevel="1">
      <c r="A292" s="1176"/>
      <c r="B292" s="1176"/>
      <c r="C292" s="1176"/>
      <c r="D292" s="1183" t="s">
        <v>1307</v>
      </c>
      <c r="E292" s="1176"/>
      <c r="F292" s="1176"/>
      <c r="G292" s="1178"/>
      <c r="H292" s="1179"/>
      <c r="I292" s="1180"/>
      <c r="J292" s="1180"/>
      <c r="K292" s="1180"/>
      <c r="M292" s="1180"/>
      <c r="N292" s="1181"/>
    </row>
    <row r="293" spans="1:14" s="1175" customFormat="1" ht="31.5" outlineLevel="1">
      <c r="A293" s="1176"/>
      <c r="B293" s="1176"/>
      <c r="C293" s="1176"/>
      <c r="D293" s="1182" t="s">
        <v>1308</v>
      </c>
      <c r="E293" s="1176"/>
      <c r="F293" s="1176"/>
      <c r="G293" s="1178"/>
      <c r="H293" s="1179"/>
      <c r="I293" s="1180"/>
      <c r="J293" s="1180"/>
      <c r="K293" s="1180"/>
      <c r="M293" s="1180"/>
      <c r="N293" s="1181"/>
    </row>
    <row r="294" spans="1:14" s="1175" customFormat="1" ht="31.5" outlineLevel="1">
      <c r="A294" s="1176"/>
      <c r="B294" s="1176"/>
      <c r="C294" s="1176"/>
      <c r="D294" s="1182" t="s">
        <v>1309</v>
      </c>
      <c r="E294" s="1176"/>
      <c r="F294" s="1176"/>
      <c r="G294" s="1178"/>
      <c r="H294" s="1179" t="s">
        <v>1310</v>
      </c>
      <c r="I294" s="1180"/>
      <c r="J294" s="1180"/>
      <c r="K294" s="1180"/>
      <c r="M294" s="1180"/>
      <c r="N294" s="1181"/>
    </row>
    <row r="295" spans="1:14" s="1175" customFormat="1" ht="31.5" outlineLevel="1">
      <c r="A295" s="1176"/>
      <c r="B295" s="1176"/>
      <c r="C295" s="1176"/>
      <c r="D295" s="1184" t="s">
        <v>1311</v>
      </c>
      <c r="E295" s="1176"/>
      <c r="F295" s="1176"/>
      <c r="G295" s="1178"/>
      <c r="H295" s="1179"/>
      <c r="I295" s="1180"/>
      <c r="J295" s="1180"/>
      <c r="K295" s="1180"/>
      <c r="M295" s="1180"/>
      <c r="N295" s="1181"/>
    </row>
    <row r="296" spans="1:14" s="1175" customFormat="1" ht="47.25" outlineLevel="1">
      <c r="A296" s="1176"/>
      <c r="B296" s="1176"/>
      <c r="C296" s="1176"/>
      <c r="D296" s="1182" t="s">
        <v>1312</v>
      </c>
      <c r="E296" s="1176"/>
      <c r="F296" s="1176"/>
      <c r="G296" s="1178"/>
      <c r="H296" s="1179"/>
      <c r="I296" s="1180"/>
      <c r="J296" s="1180"/>
      <c r="K296" s="1180"/>
      <c r="M296" s="1180"/>
      <c r="N296" s="1181"/>
    </row>
    <row r="297" spans="1:14" s="1175" customFormat="1" ht="47.25" outlineLevel="1">
      <c r="A297" s="1176"/>
      <c r="B297" s="1176"/>
      <c r="C297" s="1176"/>
      <c r="D297" s="1182" t="s">
        <v>1313</v>
      </c>
      <c r="E297" s="1176"/>
      <c r="F297" s="1176"/>
      <c r="G297" s="1178"/>
      <c r="H297" s="1179"/>
      <c r="I297" s="1180"/>
      <c r="J297" s="1180"/>
      <c r="K297" s="1180"/>
      <c r="M297" s="1180"/>
      <c r="N297" s="1181"/>
    </row>
    <row r="298" spans="1:14" s="1175" customFormat="1" ht="15.75" outlineLevel="1">
      <c r="A298" s="1176"/>
      <c r="B298" s="1176"/>
      <c r="C298" s="1176"/>
      <c r="D298" s="1162" t="s">
        <v>1314</v>
      </c>
      <c r="E298" s="1176"/>
      <c r="F298" s="1176"/>
      <c r="G298" s="1178"/>
      <c r="H298" s="1179"/>
      <c r="I298" s="1180"/>
      <c r="J298" s="1180"/>
      <c r="K298" s="1180"/>
      <c r="M298" s="1180"/>
      <c r="N298" s="1181"/>
    </row>
    <row r="299" spans="1:14" s="1175" customFormat="1" ht="15.75" outlineLevel="1">
      <c r="A299" s="1176"/>
      <c r="B299" s="1176"/>
      <c r="C299" s="1176"/>
      <c r="D299" s="1162" t="s">
        <v>1315</v>
      </c>
      <c r="E299" s="1176"/>
      <c r="F299" s="1176"/>
      <c r="G299" s="1178"/>
      <c r="H299" s="1179"/>
      <c r="I299" s="1180"/>
      <c r="J299" s="1180"/>
      <c r="K299" s="1180"/>
      <c r="M299" s="1180"/>
      <c r="N299" s="1181"/>
    </row>
    <row r="300" spans="1:14" s="1175" customFormat="1" ht="15.75" outlineLevel="1">
      <c r="A300" s="1176"/>
      <c r="B300" s="1176"/>
      <c r="C300" s="1176"/>
      <c r="D300" s="1138" t="s">
        <v>1316</v>
      </c>
      <c r="E300" s="1176"/>
      <c r="F300" s="1176"/>
      <c r="G300" s="1178"/>
      <c r="H300" s="1179"/>
      <c r="I300" s="1180"/>
      <c r="J300" s="1180"/>
      <c r="K300" s="1180"/>
      <c r="M300" s="1180"/>
      <c r="N300" s="1181"/>
    </row>
    <row r="301" spans="1:14" s="1175" customFormat="1" ht="15.75" outlineLevel="1">
      <c r="A301" s="1176"/>
      <c r="B301" s="1176"/>
      <c r="C301" s="1176"/>
      <c r="D301" s="1162" t="s">
        <v>1317</v>
      </c>
      <c r="E301" s="1176"/>
      <c r="F301" s="1176"/>
      <c r="G301" s="1178"/>
      <c r="H301" s="1179"/>
      <c r="I301" s="1180"/>
      <c r="J301" s="1180"/>
      <c r="K301" s="1180"/>
      <c r="M301" s="1180"/>
      <c r="N301" s="1181"/>
    </row>
    <row r="302" spans="1:14" s="1175" customFormat="1" ht="15.75" outlineLevel="1">
      <c r="A302" s="1176"/>
      <c r="B302" s="1176"/>
      <c r="C302" s="1176"/>
      <c r="D302" s="1162" t="s">
        <v>1318</v>
      </c>
      <c r="E302" s="1176"/>
      <c r="F302" s="1176"/>
      <c r="G302" s="1178"/>
      <c r="H302" s="1179"/>
      <c r="I302" s="1180"/>
      <c r="J302" s="1180"/>
      <c r="K302" s="1180"/>
      <c r="M302" s="1180"/>
      <c r="N302" s="1181"/>
    </row>
    <row r="303" spans="1:14" s="1175" customFormat="1" ht="31.5" outlineLevel="1">
      <c r="A303" s="1176"/>
      <c r="B303" s="1176"/>
      <c r="C303" s="1176"/>
      <c r="D303" s="1182" t="s">
        <v>1319</v>
      </c>
      <c r="E303" s="1176"/>
      <c r="F303" s="1176"/>
      <c r="G303" s="1178"/>
      <c r="H303" s="1179"/>
      <c r="I303" s="1180"/>
      <c r="J303" s="1180"/>
      <c r="K303" s="1180"/>
      <c r="M303" s="1180"/>
      <c r="N303" s="1181"/>
    </row>
    <row r="304" spans="1:14" s="1175" customFormat="1" ht="15.75" outlineLevel="1">
      <c r="A304" s="1176"/>
      <c r="B304" s="1176"/>
      <c r="C304" s="1176"/>
      <c r="D304" s="1149" t="s">
        <v>1320</v>
      </c>
      <c r="E304" s="1176"/>
      <c r="F304" s="1176"/>
      <c r="G304" s="1178"/>
      <c r="H304" s="1179"/>
      <c r="I304" s="1180"/>
      <c r="J304" s="1180"/>
      <c r="K304" s="1180"/>
      <c r="M304" s="1180"/>
      <c r="N304" s="1181"/>
    </row>
    <row r="305" spans="1:14" s="1175" customFormat="1" ht="15.75" outlineLevel="1">
      <c r="A305" s="1176"/>
      <c r="B305" s="1176"/>
      <c r="C305" s="1176"/>
      <c r="D305" s="1149" t="s">
        <v>1321</v>
      </c>
      <c r="E305" s="1176"/>
      <c r="F305" s="1176"/>
      <c r="G305" s="1178"/>
      <c r="H305" s="1179"/>
      <c r="I305" s="1180"/>
      <c r="J305" s="1180"/>
      <c r="K305" s="1180"/>
      <c r="M305" s="1180"/>
      <c r="N305" s="1181"/>
    </row>
    <row r="306" spans="1:14" s="1175" customFormat="1" ht="15.75" outlineLevel="1">
      <c r="A306" s="1176"/>
      <c r="B306" s="1176"/>
      <c r="C306" s="1176"/>
      <c r="D306" s="1149" t="s">
        <v>1322</v>
      </c>
      <c r="E306" s="1176"/>
      <c r="F306" s="1176"/>
      <c r="G306" s="1178"/>
      <c r="H306" s="1179"/>
      <c r="I306" s="1180"/>
      <c r="J306" s="1180"/>
      <c r="K306" s="1180"/>
      <c r="M306" s="1180"/>
      <c r="N306" s="1181"/>
    </row>
    <row r="307" spans="1:14" s="1175" customFormat="1" ht="15.75" outlineLevel="1">
      <c r="A307" s="1176"/>
      <c r="B307" s="1176"/>
      <c r="C307" s="1176"/>
      <c r="D307" s="1149" t="s">
        <v>1323</v>
      </c>
      <c r="E307" s="1176"/>
      <c r="F307" s="1176"/>
      <c r="G307" s="1178"/>
      <c r="H307" s="1179"/>
      <c r="I307" s="1180"/>
      <c r="J307" s="1180"/>
      <c r="K307" s="1180"/>
      <c r="M307" s="1180"/>
      <c r="N307" s="1181"/>
    </row>
    <row r="308" spans="1:14" s="1175" customFormat="1" ht="15.75" outlineLevel="1">
      <c r="A308" s="1176"/>
      <c r="B308" s="1176"/>
      <c r="C308" s="1176"/>
      <c r="D308" s="1149" t="s">
        <v>1324</v>
      </c>
      <c r="E308" s="1176"/>
      <c r="F308" s="1176"/>
      <c r="G308" s="1178"/>
      <c r="H308" s="1179"/>
      <c r="I308" s="1180"/>
      <c r="J308" s="1180"/>
      <c r="K308" s="1180"/>
      <c r="M308" s="1180"/>
      <c r="N308" s="1181"/>
    </row>
    <row r="309" spans="1:14" s="1175" customFormat="1" ht="47.25" outlineLevel="1">
      <c r="A309" s="1176"/>
      <c r="B309" s="1176"/>
      <c r="C309" s="1176"/>
      <c r="D309" s="1185" t="s">
        <v>1325</v>
      </c>
      <c r="E309" s="1176"/>
      <c r="F309" s="1176"/>
      <c r="G309" s="1178"/>
      <c r="H309" s="1179"/>
      <c r="I309" s="1180"/>
      <c r="J309" s="1180"/>
      <c r="K309" s="1180"/>
      <c r="M309" s="1180"/>
      <c r="N309" s="1181"/>
    </row>
    <row r="310" spans="1:14" s="1175" customFormat="1" ht="15.75" outlineLevel="1">
      <c r="A310" s="1176"/>
      <c r="B310" s="1176"/>
      <c r="C310" s="1176"/>
      <c r="D310" s="1149" t="s">
        <v>1326</v>
      </c>
      <c r="E310" s="1176"/>
      <c r="F310" s="1176"/>
      <c r="G310" s="1178"/>
      <c r="H310" s="1179"/>
      <c r="I310" s="1180"/>
      <c r="J310" s="1180"/>
      <c r="K310" s="1180"/>
      <c r="M310" s="1180"/>
      <c r="N310" s="1181"/>
    </row>
    <row r="311" spans="1:14" s="1175" customFormat="1" ht="31.5" outlineLevel="1">
      <c r="A311" s="1176"/>
      <c r="B311" s="1176"/>
      <c r="C311" s="1176"/>
      <c r="D311" s="1149" t="s">
        <v>1327</v>
      </c>
      <c r="E311" s="1176"/>
      <c r="F311" s="1176"/>
      <c r="G311" s="1178"/>
      <c r="H311" s="1179"/>
      <c r="I311" s="1180"/>
      <c r="J311" s="1180"/>
      <c r="K311" s="1180"/>
      <c r="M311" s="1180"/>
      <c r="N311" s="1181"/>
    </row>
    <row r="312" spans="1:14" s="1175" customFormat="1" ht="15.75" outlineLevel="1">
      <c r="A312" s="1176"/>
      <c r="B312" s="1176"/>
      <c r="C312" s="1176"/>
      <c r="D312" s="1149" t="s">
        <v>1328</v>
      </c>
      <c r="E312" s="1176"/>
      <c r="F312" s="1176"/>
      <c r="G312" s="1178"/>
      <c r="H312" s="1179"/>
      <c r="I312" s="1180"/>
      <c r="J312" s="1180"/>
      <c r="K312" s="1180"/>
      <c r="M312" s="1180"/>
      <c r="N312" s="1181"/>
    </row>
    <row r="313" spans="1:14" s="1175" customFormat="1" ht="31.5" outlineLevel="1">
      <c r="A313" s="1176"/>
      <c r="B313" s="1176"/>
      <c r="C313" s="1176"/>
      <c r="D313" s="1186" t="s">
        <v>1329</v>
      </c>
      <c r="E313" s="1176"/>
      <c r="F313" s="1176"/>
      <c r="G313" s="1178"/>
      <c r="H313" s="1179"/>
      <c r="I313" s="1180"/>
      <c r="J313" s="1180"/>
      <c r="K313" s="1180"/>
      <c r="M313" s="1180"/>
      <c r="N313" s="1181"/>
    </row>
    <row r="314" spans="1:14" s="1175" customFormat="1" ht="15.75" outlineLevel="1">
      <c r="A314" s="1176"/>
      <c r="B314" s="1176"/>
      <c r="C314" s="1176"/>
      <c r="D314" s="1186" t="s">
        <v>1330</v>
      </c>
      <c r="E314" s="1176"/>
      <c r="F314" s="1176"/>
      <c r="G314" s="1178"/>
      <c r="H314" s="1179"/>
      <c r="I314" s="1180"/>
      <c r="J314" s="1180"/>
      <c r="K314" s="1180"/>
      <c r="M314" s="1180"/>
      <c r="N314" s="1181"/>
    </row>
    <row r="315" spans="1:14" s="1175" customFormat="1" ht="15.75" outlineLevel="1">
      <c r="A315" s="1176"/>
      <c r="B315" s="1176"/>
      <c r="C315" s="1176"/>
      <c r="D315" s="1186" t="s">
        <v>1331</v>
      </c>
      <c r="E315" s="1176"/>
      <c r="F315" s="1176"/>
      <c r="G315" s="1178"/>
      <c r="H315" s="1179"/>
      <c r="I315" s="1180"/>
      <c r="J315" s="1180"/>
      <c r="K315" s="1180"/>
      <c r="M315" s="1180"/>
      <c r="N315" s="1181"/>
    </row>
    <row r="316" spans="1:14" s="1175" customFormat="1" ht="15.75" outlineLevel="1">
      <c r="A316" s="1176"/>
      <c r="B316" s="1176"/>
      <c r="C316" s="1176"/>
      <c r="D316" s="1149" t="s">
        <v>1332</v>
      </c>
      <c r="E316" s="1176"/>
      <c r="F316" s="1176"/>
      <c r="G316" s="1178"/>
      <c r="H316" s="1179"/>
      <c r="I316" s="1180"/>
      <c r="J316" s="1180"/>
      <c r="K316" s="1180"/>
      <c r="M316" s="1180"/>
      <c r="N316" s="1181"/>
    </row>
    <row r="317" spans="1:14" s="1175" customFormat="1" ht="15.75" outlineLevel="1">
      <c r="A317" s="1176"/>
      <c r="B317" s="1176"/>
      <c r="C317" s="1176"/>
      <c r="D317" s="1149" t="s">
        <v>1333</v>
      </c>
      <c r="E317" s="1176"/>
      <c r="F317" s="1176"/>
      <c r="G317" s="1178"/>
      <c r="H317" s="1179"/>
      <c r="I317" s="1180"/>
      <c r="J317" s="1180"/>
      <c r="K317" s="1180"/>
      <c r="M317" s="1180"/>
      <c r="N317" s="1181"/>
    </row>
    <row r="318" spans="1:14" s="1175" customFormat="1" ht="15.75" outlineLevel="1">
      <c r="A318" s="1176"/>
      <c r="B318" s="1176"/>
      <c r="C318" s="1176"/>
      <c r="D318" s="1149" t="s">
        <v>1334</v>
      </c>
      <c r="E318" s="1176"/>
      <c r="F318" s="1176"/>
      <c r="G318" s="1178"/>
      <c r="H318" s="1179"/>
      <c r="I318" s="1180"/>
      <c r="J318" s="1180"/>
      <c r="K318" s="1180"/>
      <c r="M318" s="1180"/>
      <c r="N318" s="1181"/>
    </row>
    <row r="319" spans="1:14" s="1175" customFormat="1" ht="15.75" outlineLevel="1">
      <c r="A319" s="1176"/>
      <c r="B319" s="1176"/>
      <c r="C319" s="1176"/>
      <c r="D319" s="1177" t="s">
        <v>1335</v>
      </c>
      <c r="E319" s="1176"/>
      <c r="F319" s="1176"/>
      <c r="G319" s="1178"/>
      <c r="H319" s="1179"/>
      <c r="I319" s="1180"/>
      <c r="J319" s="1180"/>
      <c r="K319" s="1180"/>
      <c r="M319" s="1180"/>
      <c r="N319" s="1181"/>
    </row>
    <row r="320" spans="1:14" s="1175" customFormat="1" ht="16.5" outlineLevel="1">
      <c r="A320" s="1176"/>
      <c r="B320" s="1176"/>
      <c r="C320" s="1176"/>
      <c r="D320" s="1187" t="s">
        <v>1336</v>
      </c>
      <c r="E320" s="1176"/>
      <c r="F320" s="1176"/>
      <c r="G320" s="1178"/>
      <c r="H320" s="1179"/>
      <c r="I320" s="1180"/>
      <c r="J320" s="1180"/>
      <c r="K320" s="1180"/>
      <c r="M320" s="1180"/>
      <c r="N320" s="1181"/>
    </row>
    <row r="321" spans="1:14" s="1175" customFormat="1" ht="49.5" outlineLevel="1">
      <c r="A321" s="1176"/>
      <c r="B321" s="1176"/>
      <c r="C321" s="1176"/>
      <c r="D321" s="1188" t="s">
        <v>1337</v>
      </c>
      <c r="E321" s="1189"/>
      <c r="F321" s="1176"/>
      <c r="G321" s="1178"/>
      <c r="H321" s="1179"/>
      <c r="I321" s="1180"/>
      <c r="J321" s="1180"/>
      <c r="K321" s="1180"/>
      <c r="M321" s="1180"/>
      <c r="N321" s="1181"/>
    </row>
    <row r="322" spans="1:14" s="1175" customFormat="1" ht="49.5" outlineLevel="1">
      <c r="A322" s="1176"/>
      <c r="B322" s="1176"/>
      <c r="C322" s="1176"/>
      <c r="D322" s="1187" t="s">
        <v>1338</v>
      </c>
      <c r="E322" s="1189"/>
      <c r="F322" s="1176"/>
      <c r="G322" s="1178"/>
      <c r="H322" s="1179"/>
      <c r="I322" s="1180"/>
      <c r="J322" s="1180"/>
      <c r="K322" s="1180"/>
      <c r="M322" s="1180"/>
      <c r="N322" s="1181"/>
    </row>
    <row r="323" spans="1:14" s="1175" customFormat="1" ht="16.5" outlineLevel="1">
      <c r="A323" s="1176"/>
      <c r="B323" s="1176"/>
      <c r="C323" s="1176"/>
      <c r="D323" s="1187" t="s">
        <v>1339</v>
      </c>
      <c r="E323" s="1189"/>
      <c r="F323" s="1176"/>
      <c r="G323" s="1178"/>
      <c r="H323" s="1179"/>
      <c r="I323" s="1180"/>
      <c r="J323" s="1180"/>
      <c r="K323" s="1180"/>
      <c r="M323" s="1180"/>
      <c r="N323" s="1181"/>
    </row>
    <row r="324" spans="1:14" s="1175" customFormat="1" ht="33" outlineLevel="1">
      <c r="A324" s="1190"/>
      <c r="B324" s="1190"/>
      <c r="C324" s="1190"/>
      <c r="D324" s="1187" t="s">
        <v>1340</v>
      </c>
      <c r="E324" s="1189"/>
      <c r="F324" s="1190"/>
      <c r="G324" s="1178"/>
      <c r="H324" s="1179"/>
      <c r="I324" s="1180"/>
      <c r="J324" s="1180"/>
      <c r="K324" s="1180"/>
      <c r="M324" s="1180"/>
      <c r="N324" s="1181"/>
    </row>
    <row r="325" spans="1:14" s="1175" customFormat="1" ht="16.5" outlineLevel="1">
      <c r="A325" s="1190"/>
      <c r="B325" s="1190"/>
      <c r="C325" s="1190"/>
      <c r="D325" s="1187" t="s">
        <v>1341</v>
      </c>
      <c r="E325" s="1189"/>
      <c r="F325" s="1190"/>
      <c r="G325" s="1178"/>
      <c r="H325" s="1179"/>
      <c r="I325" s="1180"/>
      <c r="J325" s="1180"/>
      <c r="K325" s="1180"/>
      <c r="M325" s="1180"/>
      <c r="N325" s="1181"/>
    </row>
    <row r="326" spans="1:14" s="1175" customFormat="1" ht="49.5" outlineLevel="1">
      <c r="A326" s="1190"/>
      <c r="B326" s="1190"/>
      <c r="C326" s="1190"/>
      <c r="D326" s="1187" t="s">
        <v>1342</v>
      </c>
      <c r="E326" s="1189"/>
      <c r="F326" s="1190"/>
      <c r="G326" s="1178"/>
      <c r="H326" s="1179"/>
      <c r="I326" s="1180"/>
      <c r="J326" s="1180"/>
      <c r="K326" s="1180"/>
      <c r="M326" s="1180"/>
      <c r="N326" s="1181"/>
    </row>
    <row r="327" spans="1:14" s="1175" customFormat="1" ht="33" outlineLevel="1">
      <c r="A327" s="1190"/>
      <c r="B327" s="1190"/>
      <c r="C327" s="1190"/>
      <c r="D327" s="1187" t="s">
        <v>1343</v>
      </c>
      <c r="E327" s="1189"/>
      <c r="F327" s="1190"/>
      <c r="G327" s="1178"/>
      <c r="H327" s="1179"/>
      <c r="I327" s="1180"/>
      <c r="J327" s="1180"/>
      <c r="K327" s="1180"/>
      <c r="M327" s="1180"/>
      <c r="N327" s="1181"/>
    </row>
    <row r="328" spans="1:14" s="1175" customFormat="1" ht="33" outlineLevel="1">
      <c r="A328" s="1190"/>
      <c r="B328" s="1190"/>
      <c r="C328" s="1190"/>
      <c r="D328" s="1188" t="s">
        <v>1344</v>
      </c>
      <c r="E328" s="1189"/>
      <c r="F328" s="1190"/>
      <c r="G328" s="1178"/>
      <c r="H328" s="1179"/>
      <c r="I328" s="1180"/>
      <c r="J328" s="1180"/>
      <c r="K328" s="1180"/>
      <c r="M328" s="1180"/>
      <c r="N328" s="1181"/>
    </row>
    <row r="329" spans="1:14" s="1175" customFormat="1" ht="33" outlineLevel="1">
      <c r="A329" s="1190"/>
      <c r="B329" s="1190"/>
      <c r="C329" s="1190"/>
      <c r="D329" s="1188" t="s">
        <v>1345</v>
      </c>
      <c r="E329" s="1189"/>
      <c r="F329" s="1190"/>
      <c r="G329" s="1178"/>
      <c r="H329" s="1179"/>
      <c r="I329" s="1180"/>
      <c r="J329" s="1180"/>
      <c r="K329" s="1180"/>
      <c r="M329" s="1180"/>
      <c r="N329" s="1181"/>
    </row>
    <row r="330" spans="1:14" s="1175" customFormat="1" ht="33" outlineLevel="1">
      <c r="A330" s="1190"/>
      <c r="B330" s="1190"/>
      <c r="C330" s="1190"/>
      <c r="D330" s="1187" t="s">
        <v>1346</v>
      </c>
      <c r="E330" s="1189"/>
      <c r="F330" s="1190"/>
      <c r="G330" s="1178"/>
      <c r="H330" s="1179"/>
      <c r="I330" s="1180"/>
      <c r="J330" s="1180"/>
      <c r="K330" s="1180"/>
      <c r="M330" s="1180"/>
      <c r="N330" s="1181"/>
    </row>
    <row r="331" spans="1:14" s="1175" customFormat="1" ht="16.5" outlineLevel="1">
      <c r="A331" s="1190"/>
      <c r="B331" s="1190"/>
      <c r="C331" s="1190"/>
      <c r="D331" s="1187" t="s">
        <v>1347</v>
      </c>
      <c r="E331" s="1189"/>
      <c r="F331" s="1190"/>
      <c r="G331" s="1178"/>
      <c r="H331" s="1179"/>
      <c r="I331" s="1180"/>
      <c r="J331" s="1180"/>
      <c r="K331" s="1180"/>
      <c r="M331" s="1180"/>
      <c r="N331" s="1181"/>
    </row>
    <row r="332" spans="1:14" s="1175" customFormat="1" ht="49.5" outlineLevel="1">
      <c r="A332" s="1190"/>
      <c r="B332" s="1190"/>
      <c r="C332" s="1190"/>
      <c r="D332" s="1187" t="s">
        <v>1348</v>
      </c>
      <c r="E332" s="1189"/>
      <c r="F332" s="1190"/>
      <c r="G332" s="1178"/>
      <c r="H332" s="1179"/>
      <c r="I332" s="1180"/>
      <c r="J332" s="1180"/>
      <c r="K332" s="1180"/>
      <c r="M332" s="1180"/>
      <c r="N332" s="1181"/>
    </row>
    <row r="333" spans="1:14" s="1175" customFormat="1" ht="49.5" outlineLevel="1">
      <c r="A333" s="1190"/>
      <c r="B333" s="1190"/>
      <c r="C333" s="1190"/>
      <c r="D333" s="1187" t="s">
        <v>1349</v>
      </c>
      <c r="E333" s="1189"/>
      <c r="F333" s="1190"/>
      <c r="G333" s="1178"/>
      <c r="H333" s="1179"/>
      <c r="I333" s="1180"/>
      <c r="J333" s="1180"/>
      <c r="K333" s="1180"/>
      <c r="M333" s="1180"/>
      <c r="N333" s="1181"/>
    </row>
    <row r="334" spans="1:14" s="1175" customFormat="1" ht="16.5" outlineLevel="1">
      <c r="A334" s="1190"/>
      <c r="B334" s="1190"/>
      <c r="C334" s="1190"/>
      <c r="D334" s="1191" t="s">
        <v>1350</v>
      </c>
      <c r="E334" s="1189"/>
      <c r="F334" s="1190"/>
      <c r="G334" s="1178"/>
      <c r="H334" s="1179"/>
      <c r="I334" s="1180"/>
      <c r="J334" s="1180"/>
      <c r="K334" s="1180"/>
      <c r="M334" s="1180"/>
      <c r="N334" s="1181"/>
    </row>
    <row r="335" spans="1:14" s="1175" customFormat="1" ht="33" outlineLevel="1">
      <c r="A335" s="1190"/>
      <c r="B335" s="1190"/>
      <c r="C335" s="1190"/>
      <c r="D335" s="1188" t="s">
        <v>1351</v>
      </c>
      <c r="E335" s="1189"/>
      <c r="F335" s="1190"/>
      <c r="G335" s="1178"/>
      <c r="H335" s="1179"/>
      <c r="I335" s="1180"/>
      <c r="J335" s="1180"/>
      <c r="K335" s="1180"/>
      <c r="M335" s="1180"/>
      <c r="N335" s="1181"/>
    </row>
    <row r="336" spans="1:14" s="1175" customFormat="1" ht="16.5" outlineLevel="1">
      <c r="A336" s="1190"/>
      <c r="B336" s="1190"/>
      <c r="C336" s="1190"/>
      <c r="D336" s="1187" t="s">
        <v>1352</v>
      </c>
      <c r="E336" s="1189"/>
      <c r="F336" s="1190"/>
      <c r="G336" s="1178"/>
      <c r="H336" s="1179"/>
      <c r="I336" s="1180"/>
      <c r="J336" s="1180"/>
      <c r="K336" s="1180"/>
      <c r="M336" s="1180"/>
      <c r="N336" s="1181"/>
    </row>
    <row r="337" spans="1:14" s="1175" customFormat="1" ht="49.5" outlineLevel="1">
      <c r="A337" s="1190"/>
      <c r="B337" s="1190"/>
      <c r="C337" s="1190"/>
      <c r="D337" s="1187" t="s">
        <v>1353</v>
      </c>
      <c r="E337" s="1189"/>
      <c r="F337" s="1190"/>
      <c r="G337" s="1178"/>
      <c r="H337" s="1179"/>
      <c r="I337" s="1180"/>
      <c r="J337" s="1180"/>
      <c r="K337" s="1180"/>
      <c r="M337" s="1180"/>
      <c r="N337" s="1181"/>
    </row>
    <row r="338" spans="1:14" s="1175" customFormat="1" ht="33" outlineLevel="1">
      <c r="A338" s="1190"/>
      <c r="B338" s="1190"/>
      <c r="C338" s="1190"/>
      <c r="D338" s="1187" t="s">
        <v>1354</v>
      </c>
      <c r="E338" s="1189"/>
      <c r="F338" s="1190"/>
      <c r="G338" s="1178"/>
      <c r="H338" s="1179"/>
      <c r="I338" s="1180"/>
      <c r="J338" s="1180"/>
      <c r="K338" s="1180"/>
      <c r="M338" s="1180"/>
      <c r="N338" s="1181"/>
    </row>
    <row r="339" spans="1:14" s="1175" customFormat="1" ht="49.5" outlineLevel="1">
      <c r="A339" s="1190"/>
      <c r="B339" s="1190"/>
      <c r="C339" s="1190"/>
      <c r="D339" s="1187" t="s">
        <v>1355</v>
      </c>
      <c r="E339" s="1189"/>
      <c r="F339" s="1190"/>
      <c r="G339" s="1178"/>
      <c r="H339" s="1179"/>
      <c r="I339" s="1180"/>
      <c r="J339" s="1180"/>
      <c r="K339" s="1180"/>
      <c r="M339" s="1180"/>
      <c r="N339" s="1181"/>
    </row>
    <row r="340" spans="1:14" s="1175" customFormat="1" ht="16.5" outlineLevel="1">
      <c r="A340" s="1190"/>
      <c r="B340" s="1190"/>
      <c r="C340" s="1190"/>
      <c r="D340" s="1187" t="s">
        <v>1356</v>
      </c>
      <c r="E340" s="1189"/>
      <c r="F340" s="1190"/>
      <c r="G340" s="1178"/>
      <c r="H340" s="1179"/>
      <c r="I340" s="1180"/>
      <c r="J340" s="1180"/>
      <c r="K340" s="1180"/>
      <c r="M340" s="1180"/>
      <c r="N340" s="1181"/>
    </row>
    <row r="341" spans="1:14" s="1175" customFormat="1" ht="16.5" outlineLevel="1">
      <c r="A341" s="1190"/>
      <c r="B341" s="1190"/>
      <c r="C341" s="1190"/>
      <c r="D341" s="1187" t="s">
        <v>1357</v>
      </c>
      <c r="E341" s="1189"/>
      <c r="F341" s="1190"/>
      <c r="G341" s="1178"/>
      <c r="H341" s="1179"/>
      <c r="I341" s="1180"/>
      <c r="J341" s="1180"/>
      <c r="K341" s="1180"/>
      <c r="M341" s="1180"/>
      <c r="N341" s="1181"/>
    </row>
    <row r="342" spans="1:14" s="1175" customFormat="1" ht="16.5" outlineLevel="1">
      <c r="A342" s="1190"/>
      <c r="B342" s="1190"/>
      <c r="C342" s="1190"/>
      <c r="D342" s="1187" t="s">
        <v>1358</v>
      </c>
      <c r="E342" s="1189"/>
      <c r="F342" s="1190"/>
      <c r="G342" s="1178"/>
      <c r="H342" s="1179"/>
      <c r="I342" s="1180"/>
      <c r="J342" s="1180"/>
      <c r="K342" s="1180"/>
      <c r="M342" s="1180"/>
      <c r="N342" s="1181"/>
    </row>
    <row r="343" spans="1:14" s="1175" customFormat="1" ht="16.5" outlineLevel="1">
      <c r="A343" s="1190"/>
      <c r="B343" s="1190"/>
      <c r="C343" s="1190"/>
      <c r="D343" s="1187" t="s">
        <v>1359</v>
      </c>
      <c r="E343" s="1189"/>
      <c r="F343" s="1190"/>
      <c r="G343" s="1178"/>
      <c r="H343" s="1179"/>
      <c r="I343" s="1180"/>
      <c r="J343" s="1180"/>
      <c r="K343" s="1180"/>
      <c r="M343" s="1180"/>
      <c r="N343" s="1181"/>
    </row>
    <row r="344" spans="1:14" s="1175" customFormat="1" ht="16.5" outlineLevel="1">
      <c r="A344" s="1190"/>
      <c r="B344" s="1190"/>
      <c r="C344" s="1190"/>
      <c r="D344" s="1187" t="s">
        <v>1360</v>
      </c>
      <c r="E344" s="1189"/>
      <c r="F344" s="1190"/>
      <c r="G344" s="1178"/>
      <c r="H344" s="1179"/>
      <c r="I344" s="1180"/>
      <c r="J344" s="1180"/>
      <c r="K344" s="1180"/>
      <c r="M344" s="1180"/>
      <c r="N344" s="1181"/>
    </row>
    <row r="345" spans="1:14" s="1175" customFormat="1" ht="16.5" outlineLevel="1">
      <c r="A345" s="1190"/>
      <c r="B345" s="1190"/>
      <c r="C345" s="1190"/>
      <c r="D345" s="1187" t="s">
        <v>1361</v>
      </c>
      <c r="E345" s="1189"/>
      <c r="F345" s="1190"/>
      <c r="G345" s="1178"/>
      <c r="H345" s="1179"/>
      <c r="I345" s="1180"/>
      <c r="J345" s="1180"/>
      <c r="K345" s="1180"/>
      <c r="M345" s="1180"/>
      <c r="N345" s="1181"/>
    </row>
    <row r="346" spans="1:14" s="1175" customFormat="1" ht="16.5" outlineLevel="1">
      <c r="A346" s="1190"/>
      <c r="B346" s="1190"/>
      <c r="C346" s="1190"/>
      <c r="D346" s="1187" t="s">
        <v>1362</v>
      </c>
      <c r="E346" s="1189"/>
      <c r="F346" s="1190"/>
      <c r="G346" s="1178"/>
      <c r="H346" s="1179"/>
      <c r="I346" s="1180"/>
      <c r="J346" s="1180"/>
      <c r="K346" s="1180"/>
      <c r="M346" s="1180"/>
      <c r="N346" s="1181"/>
    </row>
    <row r="347" spans="1:14" s="1175" customFormat="1" ht="16.5" outlineLevel="1">
      <c r="A347" s="1190"/>
      <c r="B347" s="1190"/>
      <c r="C347" s="1190"/>
      <c r="D347" s="1187" t="s">
        <v>1363</v>
      </c>
      <c r="E347" s="1189"/>
      <c r="F347" s="1190"/>
      <c r="G347" s="1178"/>
      <c r="H347" s="1179"/>
      <c r="I347" s="1180"/>
      <c r="J347" s="1180"/>
      <c r="K347" s="1180"/>
      <c r="M347" s="1180"/>
      <c r="N347" s="1181"/>
    </row>
    <row r="348" spans="1:14" s="1175" customFormat="1" ht="16.5" outlineLevel="1">
      <c r="A348" s="1190"/>
      <c r="B348" s="1190"/>
      <c r="C348" s="1190"/>
      <c r="D348" s="1187" t="s">
        <v>1364</v>
      </c>
      <c r="E348" s="1189"/>
      <c r="F348" s="1190"/>
      <c r="G348" s="1178"/>
      <c r="H348" s="1179"/>
      <c r="I348" s="1180"/>
      <c r="J348" s="1180"/>
      <c r="K348" s="1180"/>
      <c r="M348" s="1180"/>
      <c r="N348" s="1181"/>
    </row>
    <row r="349" spans="1:14" s="1175" customFormat="1" ht="16.5" outlineLevel="1">
      <c r="A349" s="1190"/>
      <c r="B349" s="1190"/>
      <c r="C349" s="1190"/>
      <c r="D349" s="1187" t="s">
        <v>1365</v>
      </c>
      <c r="E349" s="1189"/>
      <c r="F349" s="1190"/>
      <c r="G349" s="1178"/>
      <c r="H349" s="1179"/>
      <c r="I349" s="1180"/>
      <c r="J349" s="1180"/>
      <c r="K349" s="1180"/>
      <c r="M349" s="1180"/>
      <c r="N349" s="1181"/>
    </row>
    <row r="350" spans="1:14" s="1175" customFormat="1" ht="16.5" outlineLevel="1">
      <c r="A350" s="1190"/>
      <c r="B350" s="1190"/>
      <c r="C350" s="1190"/>
      <c r="D350" s="1187" t="s">
        <v>1366</v>
      </c>
      <c r="E350" s="1189"/>
      <c r="F350" s="1190"/>
      <c r="G350" s="1178"/>
      <c r="H350" s="1179"/>
      <c r="I350" s="1180"/>
      <c r="J350" s="1180"/>
      <c r="K350" s="1180"/>
      <c r="M350" s="1180"/>
      <c r="N350" s="1181"/>
    </row>
    <row r="351" spans="1:14" s="1175" customFormat="1" ht="16.5" outlineLevel="1">
      <c r="A351" s="1190"/>
      <c r="B351" s="1190"/>
      <c r="C351" s="1190"/>
      <c r="D351" s="1187" t="s">
        <v>1367</v>
      </c>
      <c r="E351" s="1189"/>
      <c r="F351" s="1190"/>
      <c r="G351" s="1178"/>
      <c r="H351" s="1179"/>
      <c r="I351" s="1180"/>
      <c r="J351" s="1180"/>
      <c r="K351" s="1180"/>
      <c r="M351" s="1180"/>
      <c r="N351" s="1181"/>
    </row>
    <row r="352" spans="1:14" s="1175" customFormat="1" ht="16.5" outlineLevel="1">
      <c r="A352" s="1190"/>
      <c r="B352" s="1190"/>
      <c r="C352" s="1190"/>
      <c r="D352" s="1187" t="s">
        <v>1368</v>
      </c>
      <c r="E352" s="1189"/>
      <c r="F352" s="1190"/>
      <c r="G352" s="1178"/>
      <c r="H352" s="1179"/>
      <c r="I352" s="1180"/>
      <c r="J352" s="1180"/>
      <c r="K352" s="1180"/>
      <c r="M352" s="1180"/>
      <c r="N352" s="1181"/>
    </row>
    <row r="353" spans="1:14" s="1175" customFormat="1" ht="16.5" outlineLevel="1">
      <c r="A353" s="1190"/>
      <c r="B353" s="1190"/>
      <c r="C353" s="1190"/>
      <c r="D353" s="1187" t="s">
        <v>1369</v>
      </c>
      <c r="E353" s="1189"/>
      <c r="F353" s="1190"/>
      <c r="G353" s="1178"/>
      <c r="H353" s="1179"/>
      <c r="I353" s="1180"/>
      <c r="J353" s="1180"/>
      <c r="K353" s="1180"/>
      <c r="M353" s="1180"/>
      <c r="N353" s="1181"/>
    </row>
    <row r="354" spans="1:14" s="1175" customFormat="1" ht="16.5" outlineLevel="1">
      <c r="A354" s="1190"/>
      <c r="B354" s="1190"/>
      <c r="C354" s="1190"/>
      <c r="D354" s="1187" t="s">
        <v>1370</v>
      </c>
      <c r="E354" s="1189"/>
      <c r="F354" s="1190"/>
      <c r="G354" s="1178"/>
      <c r="H354" s="1179"/>
      <c r="I354" s="1180"/>
      <c r="J354" s="1180"/>
      <c r="K354" s="1180"/>
      <c r="M354" s="1180"/>
      <c r="N354" s="1181"/>
    </row>
    <row r="355" spans="1:14" s="1175" customFormat="1" ht="16.5" outlineLevel="1">
      <c r="A355" s="1190"/>
      <c r="B355" s="1190"/>
      <c r="C355" s="1190"/>
      <c r="D355" s="1187" t="s">
        <v>1371</v>
      </c>
      <c r="E355" s="1189"/>
      <c r="F355" s="1190"/>
      <c r="G355" s="1178"/>
      <c r="H355" s="1179"/>
      <c r="I355" s="1180"/>
      <c r="J355" s="1180"/>
      <c r="K355" s="1180"/>
      <c r="M355" s="1180"/>
      <c r="N355" s="1181"/>
    </row>
    <row r="356" spans="1:14" s="1175" customFormat="1" ht="49.5" outlineLevel="1">
      <c r="A356" s="1190"/>
      <c r="B356" s="1190"/>
      <c r="C356" s="1190"/>
      <c r="D356" s="1187" t="s">
        <v>1372</v>
      </c>
      <c r="E356" s="1189"/>
      <c r="F356" s="1190"/>
      <c r="G356" s="1178"/>
      <c r="H356" s="1179"/>
      <c r="I356" s="1180"/>
      <c r="J356" s="1180"/>
      <c r="K356" s="1180"/>
      <c r="M356" s="1180"/>
      <c r="N356" s="1181"/>
    </row>
    <row r="357" spans="1:14" s="1175" customFormat="1" ht="49.5" outlineLevel="1">
      <c r="A357" s="1190"/>
      <c r="B357" s="1190"/>
      <c r="C357" s="1190"/>
      <c r="D357" s="1187" t="s">
        <v>1373</v>
      </c>
      <c r="E357" s="1189"/>
      <c r="F357" s="1190"/>
      <c r="G357" s="1178"/>
      <c r="H357" s="1179"/>
      <c r="I357" s="1180"/>
      <c r="J357" s="1180"/>
      <c r="K357" s="1180"/>
      <c r="M357" s="1180"/>
      <c r="N357" s="1181"/>
    </row>
    <row r="358" spans="1:14" s="1175" customFormat="1" ht="49.5" outlineLevel="1">
      <c r="A358" s="1190"/>
      <c r="B358" s="1190"/>
      <c r="C358" s="1190"/>
      <c r="D358" s="1187" t="s">
        <v>1374</v>
      </c>
      <c r="E358" s="1189"/>
      <c r="F358" s="1190"/>
      <c r="G358" s="1178"/>
      <c r="H358" s="1179"/>
      <c r="I358" s="1180"/>
      <c r="J358" s="1180"/>
      <c r="K358" s="1180"/>
      <c r="M358" s="1180"/>
      <c r="N358" s="1181"/>
    </row>
    <row r="359" spans="1:14" s="1175" customFormat="1" ht="16.5" outlineLevel="1">
      <c r="A359" s="1190"/>
      <c r="B359" s="1190"/>
      <c r="C359" s="1190"/>
      <c r="D359" s="1187" t="s">
        <v>1375</v>
      </c>
      <c r="E359" s="1189"/>
      <c r="F359" s="1190"/>
      <c r="G359" s="1178"/>
      <c r="H359" s="1179"/>
      <c r="I359" s="1180"/>
      <c r="J359" s="1180"/>
      <c r="K359" s="1180"/>
      <c r="M359" s="1180"/>
      <c r="N359" s="1181"/>
    </row>
    <row r="360" spans="1:14" s="1175" customFormat="1" ht="16.5" outlineLevel="1">
      <c r="A360" s="1190"/>
      <c r="B360" s="1190"/>
      <c r="C360" s="1190"/>
      <c r="D360" s="1187" t="s">
        <v>1376</v>
      </c>
      <c r="E360" s="1189"/>
      <c r="F360" s="1190"/>
      <c r="G360" s="1178"/>
      <c r="H360" s="1179"/>
      <c r="I360" s="1180"/>
      <c r="J360" s="1180"/>
      <c r="K360" s="1180"/>
      <c r="M360" s="1180"/>
      <c r="N360" s="1181"/>
    </row>
    <row r="361" spans="1:14" s="1175" customFormat="1" ht="33" outlineLevel="1">
      <c r="A361" s="1190"/>
      <c r="B361" s="1190"/>
      <c r="C361" s="1190"/>
      <c r="D361" s="1192" t="s">
        <v>1377</v>
      </c>
      <c r="E361" s="1189"/>
      <c r="F361" s="1190"/>
      <c r="G361" s="1178"/>
      <c r="H361" s="1179"/>
      <c r="I361" s="1180"/>
      <c r="J361" s="1180"/>
      <c r="K361" s="1180"/>
      <c r="M361" s="1180"/>
      <c r="N361" s="1181"/>
    </row>
    <row r="362" spans="1:14" s="1175" customFormat="1" ht="31.5" outlineLevel="1">
      <c r="A362" s="1190"/>
      <c r="B362" s="1190"/>
      <c r="C362" s="1190"/>
      <c r="D362" s="1193" t="s">
        <v>1378</v>
      </c>
      <c r="E362" s="1190"/>
      <c r="F362" s="1190"/>
      <c r="G362" s="1178"/>
      <c r="H362" s="1179"/>
      <c r="I362" s="1180"/>
      <c r="J362" s="1180"/>
      <c r="K362" s="1180"/>
      <c r="M362" s="1180"/>
      <c r="N362" s="1181"/>
    </row>
    <row r="363" spans="1:14" s="1175" customFormat="1" ht="47.25" outlineLevel="1">
      <c r="A363" s="1190"/>
      <c r="B363" s="1190"/>
      <c r="C363" s="1190"/>
      <c r="D363" s="1194" t="s">
        <v>1379</v>
      </c>
      <c r="E363" s="1190"/>
      <c r="F363" s="1190"/>
      <c r="G363" s="1178"/>
      <c r="H363" s="1179"/>
      <c r="I363" s="1180"/>
      <c r="J363" s="1180"/>
      <c r="K363" s="1180"/>
      <c r="M363" s="1180"/>
      <c r="N363" s="1181"/>
    </row>
    <row r="364" spans="1:14" s="1175" customFormat="1" ht="15.75" outlineLevel="1">
      <c r="A364" s="1190"/>
      <c r="B364" s="1190"/>
      <c r="C364" s="1190"/>
      <c r="D364" s="1194" t="s">
        <v>1380</v>
      </c>
      <c r="E364" s="1190"/>
      <c r="F364" s="1190"/>
      <c r="G364" s="1178"/>
      <c r="H364" s="1179"/>
      <c r="I364" s="1180"/>
      <c r="J364" s="1180"/>
      <c r="K364" s="1180"/>
      <c r="M364" s="1180"/>
      <c r="N364" s="1181"/>
    </row>
    <row r="365" spans="1:14" s="1175" customFormat="1" ht="63" outlineLevel="1">
      <c r="A365" s="1190"/>
      <c r="B365" s="1190"/>
      <c r="C365" s="1190"/>
      <c r="D365" s="1194" t="s">
        <v>1381</v>
      </c>
      <c r="E365" s="1190"/>
      <c r="F365" s="1190"/>
      <c r="G365" s="1178"/>
      <c r="H365" s="1179"/>
      <c r="I365" s="1180"/>
      <c r="J365" s="1180"/>
      <c r="K365" s="1180"/>
      <c r="M365" s="1180"/>
      <c r="N365" s="1181"/>
    </row>
    <row r="366" spans="1:14" s="1175" customFormat="1" ht="31.5" outlineLevel="1">
      <c r="A366" s="1190"/>
      <c r="B366" s="1190"/>
      <c r="C366" s="1190"/>
      <c r="D366" s="1194" t="s">
        <v>1382</v>
      </c>
      <c r="E366" s="1190"/>
      <c r="F366" s="1190"/>
      <c r="G366" s="1178"/>
      <c r="H366" s="1179"/>
      <c r="I366" s="1180"/>
      <c r="J366" s="1180"/>
      <c r="K366" s="1180"/>
      <c r="M366" s="1180"/>
      <c r="N366" s="1181"/>
    </row>
    <row r="367" spans="1:14" s="1175" customFormat="1" ht="15.75" outlineLevel="1">
      <c r="A367" s="1190"/>
      <c r="B367" s="1190"/>
      <c r="C367" s="1190"/>
      <c r="D367" s="1195" t="s">
        <v>1383</v>
      </c>
      <c r="E367" s="1190"/>
      <c r="F367" s="1190"/>
      <c r="G367" s="1178"/>
      <c r="H367" s="1179"/>
      <c r="I367" s="1180"/>
      <c r="J367" s="1180"/>
      <c r="K367" s="1180"/>
      <c r="M367" s="1180"/>
      <c r="N367" s="1181"/>
    </row>
    <row r="368" spans="1:14" s="1175" customFormat="1" ht="31.5" outlineLevel="1">
      <c r="A368" s="1190"/>
      <c r="B368" s="1190"/>
      <c r="C368" s="1190"/>
      <c r="D368" s="1194" t="s">
        <v>1384</v>
      </c>
      <c r="E368" s="1190"/>
      <c r="F368" s="1190"/>
      <c r="G368" s="1178"/>
      <c r="H368" s="1179"/>
      <c r="I368" s="1180"/>
      <c r="J368" s="1180"/>
      <c r="K368" s="1180"/>
      <c r="M368" s="1180"/>
      <c r="N368" s="1181"/>
    </row>
    <row r="369" spans="1:14" s="1175" customFormat="1" ht="31.5" outlineLevel="1">
      <c r="A369" s="1190"/>
      <c r="B369" s="1190"/>
      <c r="C369" s="1190"/>
      <c r="D369" s="1194" t="s">
        <v>1385</v>
      </c>
      <c r="E369" s="1190"/>
      <c r="F369" s="1190"/>
      <c r="G369" s="1178"/>
      <c r="H369" s="1179"/>
      <c r="I369" s="1180"/>
      <c r="J369" s="1180"/>
      <c r="K369" s="1180"/>
      <c r="M369" s="1180"/>
      <c r="N369" s="1181"/>
    </row>
    <row r="370" spans="1:14" s="1175" customFormat="1" ht="31.5" outlineLevel="1">
      <c r="A370" s="1190"/>
      <c r="B370" s="1190"/>
      <c r="C370" s="1190"/>
      <c r="D370" s="1194" t="s">
        <v>1386</v>
      </c>
      <c r="E370" s="1190"/>
      <c r="F370" s="1190"/>
      <c r="G370" s="1178"/>
      <c r="H370" s="1179"/>
      <c r="I370" s="1180"/>
      <c r="J370" s="1180"/>
      <c r="K370" s="1180"/>
      <c r="M370" s="1180"/>
      <c r="N370" s="1181"/>
    </row>
    <row r="371" spans="1:14" s="1175" customFormat="1" ht="31.5" outlineLevel="1">
      <c r="A371" s="1190"/>
      <c r="B371" s="1190"/>
      <c r="C371" s="1190"/>
      <c r="D371" s="1194" t="s">
        <v>1387</v>
      </c>
      <c r="E371" s="1190"/>
      <c r="F371" s="1190"/>
      <c r="G371" s="1178"/>
      <c r="H371" s="1179"/>
      <c r="I371" s="1180"/>
      <c r="J371" s="1180"/>
      <c r="K371" s="1180"/>
      <c r="M371" s="1180"/>
      <c r="N371" s="1181"/>
    </row>
    <row r="372" spans="1:14" s="1175" customFormat="1" ht="31.5" outlineLevel="1">
      <c r="A372" s="1190"/>
      <c r="B372" s="1190"/>
      <c r="C372" s="1190"/>
      <c r="D372" s="1194" t="s">
        <v>1388</v>
      </c>
      <c r="E372" s="1190"/>
      <c r="F372" s="1190"/>
      <c r="G372" s="1178"/>
      <c r="H372" s="1179"/>
      <c r="I372" s="1180"/>
      <c r="J372" s="1180"/>
      <c r="K372" s="1180"/>
      <c r="M372" s="1180"/>
      <c r="N372" s="1181"/>
    </row>
    <row r="373" spans="1:14" s="1175" customFormat="1" ht="31.5" outlineLevel="1">
      <c r="A373" s="1190"/>
      <c r="B373" s="1190"/>
      <c r="C373" s="1190"/>
      <c r="D373" s="1194" t="s">
        <v>1389</v>
      </c>
      <c r="E373" s="1190"/>
      <c r="F373" s="1190"/>
      <c r="G373" s="1178"/>
      <c r="H373" s="1179"/>
      <c r="I373" s="1180"/>
      <c r="J373" s="1180"/>
      <c r="K373" s="1180"/>
      <c r="M373" s="1180"/>
      <c r="N373" s="1181"/>
    </row>
    <row r="374" spans="1:14" s="1175" customFormat="1" ht="15.75" outlineLevel="1">
      <c r="A374" s="1190"/>
      <c r="B374" s="1190"/>
      <c r="C374" s="1190"/>
      <c r="D374" s="1195" t="s">
        <v>1390</v>
      </c>
      <c r="E374" s="1190"/>
      <c r="F374" s="1190"/>
      <c r="G374" s="1178"/>
      <c r="H374" s="1179"/>
      <c r="I374" s="1180"/>
      <c r="J374" s="1180"/>
      <c r="K374" s="1180"/>
      <c r="M374" s="1180"/>
      <c r="N374" s="1181"/>
    </row>
    <row r="375" spans="1:14" s="1175" customFormat="1" ht="47.25" outlineLevel="1">
      <c r="A375" s="1190"/>
      <c r="B375" s="1190"/>
      <c r="C375" s="1190"/>
      <c r="D375" s="1194" t="s">
        <v>1391</v>
      </c>
      <c r="E375" s="1190"/>
      <c r="F375" s="1190"/>
      <c r="G375" s="1178"/>
      <c r="H375" s="1179"/>
      <c r="I375" s="1180"/>
      <c r="J375" s="1180"/>
      <c r="K375" s="1180"/>
      <c r="M375" s="1180"/>
      <c r="N375" s="1181"/>
    </row>
    <row r="376" spans="1:14" s="1175" customFormat="1" ht="31.5" outlineLevel="1">
      <c r="A376" s="1190"/>
      <c r="B376" s="1190"/>
      <c r="C376" s="1190"/>
      <c r="D376" s="1194" t="s">
        <v>1392</v>
      </c>
      <c r="E376" s="1190"/>
      <c r="F376" s="1190"/>
      <c r="G376" s="1178"/>
      <c r="H376" s="1179"/>
      <c r="I376" s="1180"/>
      <c r="J376" s="1180"/>
      <c r="K376" s="1180"/>
      <c r="M376" s="1180"/>
      <c r="N376" s="1181"/>
    </row>
    <row r="377" spans="1:14" s="1175" customFormat="1" ht="47.25" outlineLevel="1">
      <c r="A377" s="1190"/>
      <c r="B377" s="1190"/>
      <c r="C377" s="1190"/>
      <c r="D377" s="1194" t="s">
        <v>1393</v>
      </c>
      <c r="E377" s="1190"/>
      <c r="F377" s="1190"/>
      <c r="G377" s="1178"/>
      <c r="H377" s="1179"/>
      <c r="I377" s="1180"/>
      <c r="J377" s="1180"/>
      <c r="K377" s="1180"/>
      <c r="M377" s="1180"/>
      <c r="N377" s="1181"/>
    </row>
    <row r="378" spans="1:14" s="1175" customFormat="1" ht="31.5" outlineLevel="1">
      <c r="A378" s="1190"/>
      <c r="B378" s="1190"/>
      <c r="C378" s="1190"/>
      <c r="D378" s="1194" t="s">
        <v>1394</v>
      </c>
      <c r="E378" s="1190"/>
      <c r="F378" s="1190"/>
      <c r="G378" s="1178"/>
      <c r="H378" s="1179"/>
      <c r="I378" s="1180"/>
      <c r="J378" s="1180"/>
      <c r="K378" s="1180"/>
      <c r="M378" s="1180"/>
      <c r="N378" s="1181"/>
    </row>
    <row r="379" spans="1:14" s="1175" customFormat="1" ht="15.75" outlineLevel="1">
      <c r="A379" s="1190"/>
      <c r="B379" s="1190"/>
      <c r="C379" s="1190"/>
      <c r="D379" s="1195" t="s">
        <v>1395</v>
      </c>
      <c r="E379" s="1190"/>
      <c r="F379" s="1190"/>
      <c r="G379" s="1178"/>
      <c r="H379" s="1179"/>
      <c r="I379" s="1180"/>
      <c r="J379" s="1180"/>
      <c r="K379" s="1180"/>
      <c r="M379" s="1180"/>
      <c r="N379" s="1181"/>
    </row>
    <row r="380" spans="1:14" s="1175" customFormat="1" ht="31.5" outlineLevel="1">
      <c r="A380" s="1190"/>
      <c r="B380" s="1190"/>
      <c r="C380" s="1190"/>
      <c r="D380" s="1194" t="s">
        <v>1396</v>
      </c>
      <c r="E380" s="1190"/>
      <c r="F380" s="1190"/>
      <c r="G380" s="1178"/>
      <c r="H380" s="1179"/>
      <c r="I380" s="1180"/>
      <c r="J380" s="1180"/>
      <c r="K380" s="1180"/>
      <c r="M380" s="1180"/>
      <c r="N380" s="1181"/>
    </row>
    <row r="381" spans="1:14" s="1175" customFormat="1" ht="31.5" outlineLevel="1">
      <c r="A381" s="1190"/>
      <c r="B381" s="1190"/>
      <c r="C381" s="1190"/>
      <c r="D381" s="1194" t="s">
        <v>1397</v>
      </c>
      <c r="E381" s="1190"/>
      <c r="F381" s="1190"/>
      <c r="G381" s="1178"/>
      <c r="H381" s="1179"/>
      <c r="I381" s="1180"/>
      <c r="J381" s="1180"/>
      <c r="K381" s="1180"/>
      <c r="M381" s="1180"/>
      <c r="N381" s="1181"/>
    </row>
    <row r="382" spans="1:14" s="1175" customFormat="1" ht="47.25" outlineLevel="1">
      <c r="A382" s="1190"/>
      <c r="B382" s="1190"/>
      <c r="C382" s="1190"/>
      <c r="D382" s="1194" t="s">
        <v>1398</v>
      </c>
      <c r="E382" s="1190"/>
      <c r="F382" s="1190"/>
      <c r="G382" s="1178"/>
      <c r="H382" s="1179"/>
      <c r="I382" s="1180"/>
      <c r="J382" s="1180"/>
      <c r="K382" s="1180"/>
      <c r="M382" s="1180"/>
      <c r="N382" s="1181"/>
    </row>
    <row r="383" spans="1:14" s="1175" customFormat="1" ht="31.5" outlineLevel="1">
      <c r="A383" s="1190"/>
      <c r="B383" s="1190"/>
      <c r="C383" s="1190"/>
      <c r="D383" s="1194" t="s">
        <v>1399</v>
      </c>
      <c r="E383" s="1190"/>
      <c r="F383" s="1190"/>
      <c r="G383" s="1178"/>
      <c r="H383" s="1179"/>
      <c r="I383" s="1180"/>
      <c r="J383" s="1180"/>
      <c r="K383" s="1180"/>
      <c r="M383" s="1180"/>
      <c r="N383" s="1181"/>
    </row>
    <row r="384" spans="1:14" s="1175" customFormat="1" ht="31.5" outlineLevel="1">
      <c r="A384" s="1190"/>
      <c r="B384" s="1190"/>
      <c r="C384" s="1190"/>
      <c r="D384" s="1194" t="s">
        <v>1400</v>
      </c>
      <c r="E384" s="1190"/>
      <c r="F384" s="1190"/>
      <c r="G384" s="1178"/>
      <c r="H384" s="1179"/>
      <c r="I384" s="1180"/>
      <c r="J384" s="1180"/>
      <c r="K384" s="1180"/>
      <c r="M384" s="1180"/>
      <c r="N384" s="1181"/>
    </row>
    <row r="385" spans="1:14" s="1175" customFormat="1" ht="47.25" outlineLevel="1">
      <c r="A385" s="1190"/>
      <c r="B385" s="1190"/>
      <c r="C385" s="1190"/>
      <c r="D385" s="1194" t="s">
        <v>1401</v>
      </c>
      <c r="E385" s="1190"/>
      <c r="F385" s="1190"/>
      <c r="G385" s="1178"/>
      <c r="H385" s="1179"/>
      <c r="I385" s="1180"/>
      <c r="J385" s="1180"/>
      <c r="K385" s="1180"/>
      <c r="M385" s="1180"/>
      <c r="N385" s="1181"/>
    </row>
    <row r="386" spans="1:14" s="1175" customFormat="1" ht="47.25" outlineLevel="1">
      <c r="A386" s="1190"/>
      <c r="B386" s="1190"/>
      <c r="C386" s="1190"/>
      <c r="D386" s="1194" t="s">
        <v>1402</v>
      </c>
      <c r="E386" s="1190"/>
      <c r="F386" s="1190"/>
      <c r="G386" s="1178"/>
      <c r="H386" s="1179"/>
      <c r="I386" s="1180"/>
      <c r="J386" s="1180"/>
      <c r="K386" s="1180"/>
      <c r="M386" s="1180"/>
      <c r="N386" s="1181"/>
    </row>
    <row r="387" spans="1:14" s="1175" customFormat="1" ht="15.75" outlineLevel="1">
      <c r="A387" s="1190"/>
      <c r="B387" s="1190"/>
      <c r="C387" s="1190"/>
      <c r="D387" s="1195" t="s">
        <v>1403</v>
      </c>
      <c r="E387" s="1190"/>
      <c r="F387" s="1190"/>
      <c r="G387" s="1178"/>
      <c r="H387" s="1179"/>
      <c r="I387" s="1180"/>
      <c r="J387" s="1180"/>
      <c r="K387" s="1180"/>
      <c r="M387" s="1180"/>
      <c r="N387" s="1181"/>
    </row>
    <row r="388" spans="1:14" s="1175" customFormat="1" ht="15.75" outlineLevel="1">
      <c r="A388" s="1190"/>
      <c r="B388" s="1190"/>
      <c r="C388" s="1190"/>
      <c r="D388" s="1195" t="s">
        <v>1404</v>
      </c>
      <c r="E388" s="1190"/>
      <c r="F388" s="1190"/>
      <c r="G388" s="1178"/>
      <c r="H388" s="1179"/>
      <c r="I388" s="1180"/>
      <c r="J388" s="1180"/>
      <c r="K388" s="1180"/>
      <c r="M388" s="1180"/>
      <c r="N388" s="1181"/>
    </row>
    <row r="389" spans="1:14" s="1175" customFormat="1" ht="47.25" outlineLevel="1">
      <c r="A389" s="1190"/>
      <c r="B389" s="1190"/>
      <c r="C389" s="1190"/>
      <c r="D389" s="1194" t="s">
        <v>1405</v>
      </c>
      <c r="E389" s="1190"/>
      <c r="F389" s="1190"/>
      <c r="G389" s="1178"/>
      <c r="H389" s="1179"/>
      <c r="I389" s="1180"/>
      <c r="J389" s="1180"/>
      <c r="K389" s="1180"/>
      <c r="M389" s="1180"/>
      <c r="N389" s="1181"/>
    </row>
    <row r="390" spans="1:14" s="1175" customFormat="1" ht="31.5" outlineLevel="1">
      <c r="A390" s="1190"/>
      <c r="B390" s="1190"/>
      <c r="C390" s="1190"/>
      <c r="D390" s="1194" t="s">
        <v>1406</v>
      </c>
      <c r="E390" s="1190"/>
      <c r="F390" s="1190"/>
      <c r="G390" s="1178"/>
      <c r="H390" s="1179"/>
      <c r="I390" s="1180"/>
      <c r="J390" s="1180"/>
      <c r="K390" s="1180"/>
      <c r="M390" s="1180"/>
      <c r="N390" s="1181"/>
    </row>
    <row r="391" spans="1:14" s="1175" customFormat="1" ht="31.5" outlineLevel="1">
      <c r="A391" s="1190"/>
      <c r="B391" s="1190"/>
      <c r="C391" s="1190"/>
      <c r="D391" s="1194" t="s">
        <v>1407</v>
      </c>
      <c r="E391" s="1190"/>
      <c r="F391" s="1190"/>
      <c r="G391" s="1178"/>
      <c r="H391" s="1179"/>
      <c r="I391" s="1180"/>
      <c r="J391" s="1180"/>
      <c r="K391" s="1180"/>
      <c r="M391" s="1180"/>
      <c r="N391" s="1181"/>
    </row>
    <row r="392" spans="1:14" s="1175" customFormat="1" ht="31.5" outlineLevel="1">
      <c r="A392" s="1190"/>
      <c r="B392" s="1190"/>
      <c r="C392" s="1190"/>
      <c r="D392" s="1194" t="s">
        <v>1408</v>
      </c>
      <c r="E392" s="1190"/>
      <c r="F392" s="1190"/>
      <c r="G392" s="1178"/>
      <c r="H392" s="1179"/>
      <c r="I392" s="1180"/>
      <c r="J392" s="1180"/>
      <c r="K392" s="1180"/>
      <c r="M392" s="1180"/>
      <c r="N392" s="1181"/>
    </row>
    <row r="393" spans="1:14" s="1175" customFormat="1" ht="63" outlineLevel="1">
      <c r="A393" s="1190"/>
      <c r="B393" s="1190"/>
      <c r="C393" s="1190"/>
      <c r="D393" s="1194" t="s">
        <v>1409</v>
      </c>
      <c r="E393" s="1190"/>
      <c r="F393" s="1190"/>
      <c r="G393" s="1178"/>
      <c r="H393" s="1179"/>
      <c r="I393" s="1180"/>
      <c r="J393" s="1180"/>
      <c r="K393" s="1180"/>
      <c r="M393" s="1180"/>
      <c r="N393" s="1181"/>
    </row>
    <row r="394" spans="1:14" s="1175" customFormat="1" ht="31.5" outlineLevel="1">
      <c r="A394" s="1190"/>
      <c r="B394" s="1190"/>
      <c r="C394" s="1190"/>
      <c r="D394" s="1194" t="s">
        <v>1410</v>
      </c>
      <c r="E394" s="1190"/>
      <c r="F394" s="1190"/>
      <c r="G394" s="1178"/>
      <c r="H394" s="1179"/>
      <c r="I394" s="1180"/>
      <c r="J394" s="1180"/>
      <c r="K394" s="1180"/>
      <c r="M394" s="1180"/>
      <c r="N394" s="1181"/>
    </row>
    <row r="395" spans="1:14" s="1175" customFormat="1" ht="31.5" outlineLevel="1">
      <c r="A395" s="1190"/>
      <c r="B395" s="1190"/>
      <c r="C395" s="1190"/>
      <c r="D395" s="1194" t="s">
        <v>1411</v>
      </c>
      <c r="E395" s="1190"/>
      <c r="F395" s="1190"/>
      <c r="G395" s="1178"/>
      <c r="H395" s="1179"/>
      <c r="I395" s="1180"/>
      <c r="J395" s="1180"/>
      <c r="K395" s="1180"/>
      <c r="M395" s="1180"/>
      <c r="N395" s="1181"/>
    </row>
    <row r="396" spans="1:14" s="1175" customFormat="1" ht="47.25" outlineLevel="1">
      <c r="A396" s="1190"/>
      <c r="B396" s="1190"/>
      <c r="C396" s="1190"/>
      <c r="D396" s="1194" t="s">
        <v>1412</v>
      </c>
      <c r="E396" s="1190"/>
      <c r="F396" s="1190"/>
      <c r="G396" s="1178"/>
      <c r="H396" s="1179"/>
      <c r="I396" s="1180"/>
      <c r="J396" s="1180"/>
      <c r="K396" s="1180"/>
      <c r="M396" s="1180"/>
      <c r="N396" s="1181"/>
    </row>
    <row r="397" spans="1:14" s="1175" customFormat="1" ht="63" outlineLevel="1">
      <c r="A397" s="1190"/>
      <c r="B397" s="1190"/>
      <c r="C397" s="1190"/>
      <c r="D397" s="1194" t="s">
        <v>1413</v>
      </c>
      <c r="E397" s="1190"/>
      <c r="F397" s="1190"/>
      <c r="G397" s="1178"/>
      <c r="H397" s="1179"/>
      <c r="I397" s="1180"/>
      <c r="J397" s="1180"/>
      <c r="K397" s="1180"/>
      <c r="M397" s="1180"/>
      <c r="N397" s="1181"/>
    </row>
    <row r="398" spans="1:14" s="1175" customFormat="1" ht="15.75" outlineLevel="1">
      <c r="A398" s="1190"/>
      <c r="B398" s="1190"/>
      <c r="C398" s="1190"/>
      <c r="D398" s="1195" t="s">
        <v>1414</v>
      </c>
      <c r="E398" s="1190"/>
      <c r="F398" s="1190"/>
      <c r="G398" s="1178"/>
      <c r="H398" s="1179"/>
      <c r="I398" s="1180"/>
      <c r="J398" s="1180"/>
      <c r="K398" s="1180"/>
      <c r="M398" s="1180"/>
      <c r="N398" s="1181"/>
    </row>
    <row r="399" spans="1:14" s="1175" customFormat="1" ht="63" outlineLevel="1">
      <c r="A399" s="1190"/>
      <c r="B399" s="1190"/>
      <c r="C399" s="1190"/>
      <c r="D399" s="1194" t="s">
        <v>1415</v>
      </c>
      <c r="E399" s="1190"/>
      <c r="F399" s="1190"/>
      <c r="G399" s="1178"/>
      <c r="H399" s="1179"/>
      <c r="I399" s="1180"/>
      <c r="J399" s="1180"/>
      <c r="K399" s="1180"/>
      <c r="M399" s="1180"/>
      <c r="N399" s="1181"/>
    </row>
    <row r="400" spans="1:14" s="1175" customFormat="1" ht="15.75" outlineLevel="1">
      <c r="A400" s="1190"/>
      <c r="B400" s="1190"/>
      <c r="C400" s="1190"/>
      <c r="D400" s="1194" t="s">
        <v>1416</v>
      </c>
      <c r="E400" s="1190"/>
      <c r="F400" s="1190"/>
      <c r="G400" s="1178"/>
      <c r="H400" s="1179"/>
      <c r="I400" s="1180"/>
      <c r="J400" s="1180"/>
      <c r="K400" s="1180"/>
      <c r="M400" s="1180"/>
      <c r="N400" s="1181"/>
    </row>
    <row r="401" spans="1:14" s="1175" customFormat="1" ht="31.5" outlineLevel="1">
      <c r="A401" s="1190"/>
      <c r="B401" s="1190"/>
      <c r="C401" s="1190"/>
      <c r="D401" s="1194" t="s">
        <v>1417</v>
      </c>
      <c r="E401" s="1190"/>
      <c r="F401" s="1190"/>
      <c r="G401" s="1178"/>
      <c r="H401" s="1179"/>
      <c r="I401" s="1180"/>
      <c r="J401" s="1180"/>
      <c r="K401" s="1180"/>
      <c r="M401" s="1180"/>
      <c r="N401" s="1181"/>
    </row>
    <row r="402" spans="1:14" s="1175" customFormat="1" ht="63" customHeight="1" outlineLevel="1">
      <c r="A402" s="1190"/>
      <c r="B402" s="1190"/>
      <c r="C402" s="1190"/>
      <c r="D402" s="1194" t="s">
        <v>1418</v>
      </c>
      <c r="E402" s="1190"/>
      <c r="F402" s="1190"/>
      <c r="G402" s="1178"/>
      <c r="H402" s="1179"/>
      <c r="I402" s="1180"/>
      <c r="J402" s="1180"/>
      <c r="K402" s="1180"/>
      <c r="M402" s="1180"/>
      <c r="N402" s="1181"/>
    </row>
    <row r="403" spans="1:14" s="1175" customFormat="1" ht="31.5" outlineLevel="1">
      <c r="A403" s="1190"/>
      <c r="B403" s="1190"/>
      <c r="C403" s="1190"/>
      <c r="D403" s="1194" t="s">
        <v>1419</v>
      </c>
      <c r="E403" s="1190"/>
      <c r="F403" s="1190"/>
      <c r="G403" s="1178"/>
      <c r="H403" s="1179"/>
      <c r="I403" s="1180"/>
      <c r="J403" s="1180"/>
      <c r="K403" s="1180"/>
      <c r="M403" s="1180"/>
      <c r="N403" s="1181"/>
    </row>
    <row r="404" spans="1:14" s="1175" customFormat="1" ht="15.75" outlineLevel="1">
      <c r="A404" s="1190"/>
      <c r="B404" s="1190"/>
      <c r="C404" s="1190"/>
      <c r="D404" s="1195" t="s">
        <v>1420</v>
      </c>
      <c r="E404" s="1190"/>
      <c r="F404" s="1190"/>
      <c r="G404" s="1178"/>
      <c r="H404" s="1179"/>
      <c r="I404" s="1180"/>
      <c r="J404" s="1180"/>
      <c r="K404" s="1180"/>
      <c r="M404" s="1180"/>
      <c r="N404" s="1181"/>
    </row>
    <row r="405" spans="1:14" s="1175" customFormat="1" ht="47.25" outlineLevel="1">
      <c r="A405" s="1190"/>
      <c r="B405" s="1190"/>
      <c r="C405" s="1190"/>
      <c r="D405" s="1194" t="s">
        <v>1421</v>
      </c>
      <c r="E405" s="1190"/>
      <c r="F405" s="1190"/>
      <c r="G405" s="1178"/>
      <c r="H405" s="1179"/>
      <c r="I405" s="1180"/>
      <c r="J405" s="1180"/>
      <c r="K405" s="1180"/>
      <c r="M405" s="1180"/>
      <c r="N405" s="1181"/>
    </row>
    <row r="406" spans="1:14" s="1175" customFormat="1" ht="47.25" outlineLevel="1">
      <c r="A406" s="1190"/>
      <c r="B406" s="1190"/>
      <c r="C406" s="1190"/>
      <c r="D406" s="1196" t="s">
        <v>1422</v>
      </c>
      <c r="E406" s="1190"/>
      <c r="F406" s="1190"/>
      <c r="G406" s="1178"/>
      <c r="H406" s="1179"/>
      <c r="I406" s="1180"/>
      <c r="J406" s="1180"/>
      <c r="K406" s="1180"/>
      <c r="M406" s="1180"/>
      <c r="N406" s="1181"/>
    </row>
    <row r="407" spans="1:14" s="1175" customFormat="1" ht="30" outlineLevel="1">
      <c r="A407" s="1197"/>
      <c r="B407" s="1197"/>
      <c r="C407" s="1197"/>
      <c r="D407" s="1198" t="s">
        <v>1423</v>
      </c>
      <c r="E407" s="1199"/>
      <c r="F407" s="1199"/>
      <c r="G407" s="1199"/>
      <c r="H407" s="1199"/>
      <c r="I407" s="1117"/>
      <c r="J407" s="950"/>
      <c r="K407" s="950"/>
      <c r="L407" s="1174"/>
      <c r="M407" s="1116"/>
      <c r="N407" s="1125"/>
    </row>
    <row r="408" spans="1:14" ht="117" customHeight="1" outlineLevel="1">
      <c r="A408" s="940">
        <f>A288+1</f>
        <v>6</v>
      </c>
      <c r="B408" s="967" t="s">
        <v>1424</v>
      </c>
      <c r="C408" s="1044" t="s">
        <v>1425</v>
      </c>
      <c r="D408" s="1170" t="s">
        <v>1425</v>
      </c>
      <c r="E408" s="961" t="s">
        <v>1028</v>
      </c>
      <c r="F408" s="986">
        <f>23*2</f>
        <v>46</v>
      </c>
      <c r="G408" s="1042">
        <v>450000</v>
      </c>
      <c r="H408" s="1117">
        <v>0.1</v>
      </c>
      <c r="I408" s="950">
        <f t="shared" si="34"/>
        <v>20700000</v>
      </c>
      <c r="J408" s="950">
        <f t="shared" si="38"/>
        <v>495000</v>
      </c>
      <c r="K408" s="950">
        <f t="shared" si="37"/>
        <v>22770000</v>
      </c>
      <c r="L408" s="1174" t="s">
        <v>1291</v>
      </c>
      <c r="M408" s="1129"/>
      <c r="N408" s="1130"/>
    </row>
    <row r="409" spans="1:14" ht="330.75" outlineLevel="1">
      <c r="A409" s="940">
        <f t="shared" ref="A409:A414" si="40">A408+1</f>
        <v>7</v>
      </c>
      <c r="B409" s="967" t="s">
        <v>1426</v>
      </c>
      <c r="C409" s="1044" t="s">
        <v>1427</v>
      </c>
      <c r="D409" s="1170" t="s">
        <v>1427</v>
      </c>
      <c r="E409" s="961" t="s">
        <v>655</v>
      </c>
      <c r="F409" s="986">
        <f>45*2</f>
        <v>90</v>
      </c>
      <c r="G409" s="1042">
        <v>1800000</v>
      </c>
      <c r="H409" s="1117">
        <v>0.1</v>
      </c>
      <c r="I409" s="950">
        <f t="shared" si="34"/>
        <v>162000000</v>
      </c>
      <c r="J409" s="950">
        <f t="shared" si="38"/>
        <v>1980000</v>
      </c>
      <c r="K409" s="950">
        <f t="shared" si="37"/>
        <v>178200000</v>
      </c>
      <c r="L409" s="1174" t="s">
        <v>1291</v>
      </c>
      <c r="M409" s="1129"/>
      <c r="N409" s="1130"/>
    </row>
    <row r="410" spans="1:14" ht="63" outlineLevel="1">
      <c r="A410" s="940">
        <f t="shared" si="40"/>
        <v>8</v>
      </c>
      <c r="B410" s="951" t="s">
        <v>1428</v>
      </c>
      <c r="C410" s="1044" t="s">
        <v>1429</v>
      </c>
      <c r="D410" s="1170" t="s">
        <v>1429</v>
      </c>
      <c r="E410" s="1200" t="s">
        <v>680</v>
      </c>
      <c r="F410" s="1046">
        <f>46*2</f>
        <v>92</v>
      </c>
      <c r="G410" s="1042">
        <v>380000</v>
      </c>
      <c r="H410" s="1117">
        <v>0.1</v>
      </c>
      <c r="I410" s="950">
        <f t="shared" si="34"/>
        <v>34960000</v>
      </c>
      <c r="J410" s="950">
        <f t="shared" si="38"/>
        <v>418000</v>
      </c>
      <c r="K410" s="950">
        <f t="shared" si="37"/>
        <v>38456000</v>
      </c>
      <c r="L410" s="1174" t="s">
        <v>1291</v>
      </c>
      <c r="M410" s="1129"/>
      <c r="N410" s="1130"/>
    </row>
    <row r="411" spans="1:14" ht="31.5" outlineLevel="1">
      <c r="A411" s="940">
        <f t="shared" si="40"/>
        <v>9</v>
      </c>
      <c r="B411" s="944" t="s">
        <v>1430</v>
      </c>
      <c r="C411" s="944" t="s">
        <v>1431</v>
      </c>
      <c r="D411" s="1131" t="s">
        <v>1431</v>
      </c>
      <c r="E411" s="1200" t="s">
        <v>1432</v>
      </c>
      <c r="F411" s="1046">
        <f>45*2</f>
        <v>90</v>
      </c>
      <c r="G411" s="1116">
        <v>200000</v>
      </c>
      <c r="H411" s="1117">
        <v>0.1</v>
      </c>
      <c r="I411" s="950">
        <f t="shared" si="34"/>
        <v>18000000</v>
      </c>
      <c r="J411" s="950">
        <f t="shared" si="38"/>
        <v>220000</v>
      </c>
      <c r="K411" s="950">
        <f t="shared" si="37"/>
        <v>19800000</v>
      </c>
      <c r="L411" s="1174" t="s">
        <v>1291</v>
      </c>
      <c r="M411" s="1129"/>
      <c r="N411" s="1130"/>
    </row>
    <row r="412" spans="1:14" ht="31.5" outlineLevel="1">
      <c r="A412" s="940">
        <f t="shared" si="40"/>
        <v>10</v>
      </c>
      <c r="B412" s="944" t="s">
        <v>1433</v>
      </c>
      <c r="C412" s="1043" t="s">
        <v>1434</v>
      </c>
      <c r="D412" s="1169" t="s">
        <v>1434</v>
      </c>
      <c r="E412" s="961" t="s">
        <v>680</v>
      </c>
      <c r="F412" s="986">
        <v>2</v>
      </c>
      <c r="G412" s="1116">
        <v>15000000</v>
      </c>
      <c r="H412" s="1117">
        <v>0.1</v>
      </c>
      <c r="I412" s="950">
        <f t="shared" si="34"/>
        <v>30000000</v>
      </c>
      <c r="J412" s="950">
        <f t="shared" si="38"/>
        <v>16500000</v>
      </c>
      <c r="K412" s="950">
        <f t="shared" si="37"/>
        <v>33000000</v>
      </c>
      <c r="L412" s="1174" t="s">
        <v>1291</v>
      </c>
      <c r="M412" s="1129"/>
      <c r="N412" s="1130"/>
    </row>
    <row r="413" spans="1:14" ht="78.75" outlineLevel="1">
      <c r="A413" s="940">
        <f t="shared" si="40"/>
        <v>11</v>
      </c>
      <c r="B413" s="967" t="s">
        <v>1435</v>
      </c>
      <c r="C413" s="1138" t="s">
        <v>1286</v>
      </c>
      <c r="D413" s="1139" t="s">
        <v>1286</v>
      </c>
      <c r="E413" s="1145" t="s">
        <v>627</v>
      </c>
      <c r="F413" s="1146">
        <f>4*2</f>
        <v>8</v>
      </c>
      <c r="G413" s="1116">
        <v>16500000</v>
      </c>
      <c r="H413" s="1117">
        <v>0.1</v>
      </c>
      <c r="I413" s="950">
        <f t="shared" si="34"/>
        <v>132000000</v>
      </c>
      <c r="J413" s="950">
        <f t="shared" si="38"/>
        <v>18150000</v>
      </c>
      <c r="K413" s="950">
        <f t="shared" si="37"/>
        <v>145200000</v>
      </c>
      <c r="L413" s="1174"/>
      <c r="M413" s="1129"/>
      <c r="N413" s="1130"/>
    </row>
    <row r="414" spans="1:14" ht="409.5" outlineLevel="1">
      <c r="A414" s="940">
        <f t="shared" si="40"/>
        <v>12</v>
      </c>
      <c r="B414" s="1138" t="s">
        <v>1436</v>
      </c>
      <c r="C414" s="1201" t="s">
        <v>1437</v>
      </c>
      <c r="D414" s="1154" t="s">
        <v>1438</v>
      </c>
      <c r="E414" s="1165" t="s">
        <v>655</v>
      </c>
      <c r="F414" s="951">
        <v>2</v>
      </c>
      <c r="G414" s="1116">
        <v>25000000</v>
      </c>
      <c r="H414" s="1117">
        <v>0.1</v>
      </c>
      <c r="I414" s="950">
        <f t="shared" si="34"/>
        <v>50000000</v>
      </c>
      <c r="J414" s="950">
        <f t="shared" si="38"/>
        <v>27500000</v>
      </c>
      <c r="K414" s="950">
        <f t="shared" si="37"/>
        <v>55000000</v>
      </c>
      <c r="L414" s="1174" t="s">
        <v>1291</v>
      </c>
      <c r="M414" s="1129"/>
      <c r="N414" s="1202" t="s">
        <v>1439</v>
      </c>
    </row>
    <row r="415" spans="1:14" ht="409.5" outlineLevel="1">
      <c r="A415" s="942"/>
      <c r="B415" s="1138"/>
      <c r="C415" s="1149" t="s">
        <v>1440</v>
      </c>
      <c r="D415" s="1149"/>
      <c r="E415" s="1165"/>
      <c r="F415" s="951"/>
      <c r="G415" s="1116"/>
      <c r="H415" s="1117"/>
      <c r="I415" s="950"/>
      <c r="J415" s="950">
        <f t="shared" si="38"/>
        <v>0</v>
      </c>
      <c r="K415" s="950">
        <f t="shared" si="37"/>
        <v>0</v>
      </c>
      <c r="L415" s="1174"/>
      <c r="M415" s="1129"/>
      <c r="N415" s="1130"/>
    </row>
    <row r="416" spans="1:14" ht="409.5" outlineLevel="1">
      <c r="A416" s="940">
        <f>A414+1</f>
        <v>13</v>
      </c>
      <c r="B416" s="967" t="s">
        <v>1441</v>
      </c>
      <c r="C416" s="1011" t="s">
        <v>1153</v>
      </c>
      <c r="D416" s="1203" t="s">
        <v>1442</v>
      </c>
      <c r="E416" s="961" t="s">
        <v>680</v>
      </c>
      <c r="F416" s="962">
        <v>2</v>
      </c>
      <c r="G416" s="1116">
        <v>30190000</v>
      </c>
      <c r="H416" s="1117">
        <v>0.1</v>
      </c>
      <c r="I416" s="950">
        <f t="shared" ref="I416:I479" si="41">F416*G416</f>
        <v>60380000</v>
      </c>
      <c r="J416" s="950">
        <f t="shared" ref="J416:J479" si="42">+ROUND(G416*1.1,0)</f>
        <v>33209000</v>
      </c>
      <c r="K416" s="950">
        <f t="shared" ref="K416:K479" si="43">+ROUND(J416*F416,0)</f>
        <v>66418000</v>
      </c>
      <c r="L416" s="1174" t="s">
        <v>1201</v>
      </c>
      <c r="M416" s="1129"/>
      <c r="N416" s="1005" t="s">
        <v>1443</v>
      </c>
    </row>
    <row r="417" spans="1:14" ht="409.5" outlineLevel="1">
      <c r="A417" s="940"/>
      <c r="B417" s="967"/>
      <c r="C417" s="1011"/>
      <c r="D417" s="1203" t="s">
        <v>1444</v>
      </c>
      <c r="E417" s="961"/>
      <c r="F417" s="962"/>
      <c r="G417" s="1116"/>
      <c r="H417" s="1117"/>
      <c r="I417" s="950"/>
      <c r="J417" s="950"/>
      <c r="K417" s="950"/>
      <c r="L417" s="1174"/>
      <c r="M417" s="1129"/>
      <c r="N417" s="1130"/>
    </row>
    <row r="418" spans="1:14" ht="173.25" outlineLevel="1">
      <c r="A418" s="940">
        <f>A416+1</f>
        <v>14</v>
      </c>
      <c r="B418" s="996" t="s">
        <v>1445</v>
      </c>
      <c r="C418" s="963" t="s">
        <v>1024</v>
      </c>
      <c r="D418" s="963" t="s">
        <v>1024</v>
      </c>
      <c r="E418" s="961" t="s">
        <v>680</v>
      </c>
      <c r="F418" s="962">
        <v>2</v>
      </c>
      <c r="G418" s="1116">
        <v>8880000</v>
      </c>
      <c r="H418" s="1117">
        <v>0.1</v>
      </c>
      <c r="I418" s="950">
        <f t="shared" si="41"/>
        <v>17760000</v>
      </c>
      <c r="J418" s="950">
        <f t="shared" si="42"/>
        <v>9768000</v>
      </c>
      <c r="K418" s="950">
        <f t="shared" si="43"/>
        <v>19536000</v>
      </c>
      <c r="L418" s="1174"/>
      <c r="M418" s="1129"/>
      <c r="N418" s="1130"/>
    </row>
    <row r="419" spans="1:14" ht="15.75">
      <c r="A419" s="940">
        <v>34</v>
      </c>
      <c r="B419" s="987" t="s">
        <v>1446</v>
      </c>
      <c r="C419" s="942"/>
      <c r="D419" s="942"/>
      <c r="E419" s="968" t="s">
        <v>1011</v>
      </c>
      <c r="F419" s="968">
        <v>1</v>
      </c>
      <c r="G419" s="1116"/>
      <c r="H419" s="1117"/>
      <c r="I419" s="950">
        <f t="shared" si="41"/>
        <v>0</v>
      </c>
      <c r="J419" s="950">
        <f t="shared" si="42"/>
        <v>0</v>
      </c>
      <c r="K419" s="950">
        <f t="shared" si="43"/>
        <v>0</v>
      </c>
      <c r="L419" s="1174"/>
      <c r="M419" s="1129"/>
      <c r="N419" s="1130"/>
    </row>
    <row r="420" spans="1:14" ht="94.5" outlineLevel="1">
      <c r="A420" s="940">
        <v>1</v>
      </c>
      <c r="B420" s="944" t="s">
        <v>1082</v>
      </c>
      <c r="C420" s="953" t="s">
        <v>1083</v>
      </c>
      <c r="D420" s="953" t="s">
        <v>1083</v>
      </c>
      <c r="E420" s="940" t="s">
        <v>627</v>
      </c>
      <c r="F420" s="962">
        <v>1</v>
      </c>
      <c r="G420" s="1116">
        <v>3150000</v>
      </c>
      <c r="H420" s="1117">
        <v>0.1</v>
      </c>
      <c r="I420" s="950">
        <f t="shared" si="41"/>
        <v>3150000</v>
      </c>
      <c r="J420" s="950">
        <f t="shared" si="42"/>
        <v>3465000</v>
      </c>
      <c r="K420" s="950">
        <f t="shared" si="43"/>
        <v>3465000</v>
      </c>
      <c r="L420" s="1174"/>
      <c r="M420" s="1129"/>
      <c r="N420" s="1130"/>
    </row>
    <row r="421" spans="1:14" ht="94.5" outlineLevel="1">
      <c r="A421" s="940">
        <f>A420+1</f>
        <v>2</v>
      </c>
      <c r="B421" s="944" t="s">
        <v>1077</v>
      </c>
      <c r="C421" s="991" t="s">
        <v>1259</v>
      </c>
      <c r="D421" s="991" t="s">
        <v>1259</v>
      </c>
      <c r="E421" s="940" t="s">
        <v>627</v>
      </c>
      <c r="F421" s="962">
        <v>1</v>
      </c>
      <c r="G421" s="1116">
        <v>590000</v>
      </c>
      <c r="H421" s="1117">
        <v>0.1</v>
      </c>
      <c r="I421" s="950">
        <f t="shared" si="41"/>
        <v>590000</v>
      </c>
      <c r="J421" s="950">
        <f t="shared" si="42"/>
        <v>649000</v>
      </c>
      <c r="K421" s="950">
        <f t="shared" si="43"/>
        <v>649000</v>
      </c>
      <c r="L421" s="1174"/>
      <c r="M421" s="1129"/>
      <c r="N421" s="1130"/>
    </row>
    <row r="422" spans="1:14" ht="94.5" outlineLevel="1">
      <c r="A422" s="940">
        <f t="shared" ref="A422:A427" si="44">A421+1</f>
        <v>3</v>
      </c>
      <c r="B422" s="944" t="s">
        <v>1447</v>
      </c>
      <c r="C422" s="1080" t="s">
        <v>1448</v>
      </c>
      <c r="D422" s="1080" t="s">
        <v>1448</v>
      </c>
      <c r="E422" s="940" t="s">
        <v>627</v>
      </c>
      <c r="F422" s="962">
        <v>1</v>
      </c>
      <c r="G422" s="1116">
        <v>4990000</v>
      </c>
      <c r="H422" s="1117">
        <v>0.1</v>
      </c>
      <c r="I422" s="950">
        <f t="shared" si="41"/>
        <v>4990000</v>
      </c>
      <c r="J422" s="950">
        <f t="shared" si="42"/>
        <v>5489000</v>
      </c>
      <c r="K422" s="950">
        <f t="shared" si="43"/>
        <v>5489000</v>
      </c>
      <c r="L422" s="1174"/>
      <c r="M422" s="1129"/>
      <c r="N422" s="1130"/>
    </row>
    <row r="423" spans="1:14" ht="47.25" outlineLevel="1">
      <c r="A423" s="940">
        <f t="shared" si="44"/>
        <v>4</v>
      </c>
      <c r="B423" s="944" t="s">
        <v>1449</v>
      </c>
      <c r="C423" s="951" t="s">
        <v>1450</v>
      </c>
      <c r="D423" s="951" t="s">
        <v>1450</v>
      </c>
      <c r="E423" s="940" t="s">
        <v>655</v>
      </c>
      <c r="F423" s="962">
        <v>1</v>
      </c>
      <c r="G423" s="1116">
        <v>1650000</v>
      </c>
      <c r="H423" s="1117">
        <v>0.1</v>
      </c>
      <c r="I423" s="950">
        <f t="shared" si="41"/>
        <v>1650000</v>
      </c>
      <c r="J423" s="950">
        <f t="shared" si="42"/>
        <v>1815000</v>
      </c>
      <c r="K423" s="950">
        <f t="shared" si="43"/>
        <v>1815000</v>
      </c>
      <c r="L423" s="1174"/>
      <c r="M423" s="1129"/>
      <c r="N423" s="1130"/>
    </row>
    <row r="424" spans="1:14" ht="141.75" outlineLevel="1">
      <c r="A424" s="940">
        <f t="shared" si="44"/>
        <v>5</v>
      </c>
      <c r="B424" s="944" t="s">
        <v>1185</v>
      </c>
      <c r="C424" s="944" t="s">
        <v>1186</v>
      </c>
      <c r="D424" s="944" t="s">
        <v>1186</v>
      </c>
      <c r="E424" s="940" t="s">
        <v>627</v>
      </c>
      <c r="F424" s="962">
        <v>1</v>
      </c>
      <c r="G424" s="1116">
        <v>1200000</v>
      </c>
      <c r="H424" s="1117">
        <v>0.1</v>
      </c>
      <c r="I424" s="950">
        <f t="shared" si="41"/>
        <v>1200000</v>
      </c>
      <c r="J424" s="950">
        <f t="shared" si="42"/>
        <v>1320000</v>
      </c>
      <c r="K424" s="950">
        <f t="shared" si="43"/>
        <v>1320000</v>
      </c>
      <c r="L424" s="1174"/>
      <c r="M424" s="1129"/>
      <c r="N424" s="1130"/>
    </row>
    <row r="425" spans="1:14" ht="47.25" outlineLevel="1">
      <c r="A425" s="940">
        <f t="shared" si="44"/>
        <v>6</v>
      </c>
      <c r="B425" s="944" t="s">
        <v>1034</v>
      </c>
      <c r="C425" s="966" t="s">
        <v>1035</v>
      </c>
      <c r="D425" s="966" t="s">
        <v>1035</v>
      </c>
      <c r="E425" s="940" t="s">
        <v>1068</v>
      </c>
      <c r="F425" s="962">
        <f>F419</f>
        <v>1</v>
      </c>
      <c r="G425" s="1116">
        <v>130000</v>
      </c>
      <c r="H425" s="1117">
        <v>0.1</v>
      </c>
      <c r="I425" s="950">
        <f t="shared" si="41"/>
        <v>130000</v>
      </c>
      <c r="J425" s="950">
        <f t="shared" si="42"/>
        <v>143000</v>
      </c>
      <c r="K425" s="950">
        <f t="shared" si="43"/>
        <v>143000</v>
      </c>
      <c r="L425" s="1174"/>
      <c r="M425" s="1129"/>
      <c r="N425" s="1130"/>
    </row>
    <row r="426" spans="1:14" ht="63" outlineLevel="1">
      <c r="A426" s="940">
        <f t="shared" si="44"/>
        <v>7</v>
      </c>
      <c r="B426" s="944" t="s">
        <v>1056</v>
      </c>
      <c r="C426" s="972" t="s">
        <v>1057</v>
      </c>
      <c r="D426" s="972" t="s">
        <v>1057</v>
      </c>
      <c r="E426" s="940" t="s">
        <v>627</v>
      </c>
      <c r="F426" s="962">
        <v>1</v>
      </c>
      <c r="G426" s="1116">
        <v>1200000</v>
      </c>
      <c r="H426" s="1117">
        <v>0.1</v>
      </c>
      <c r="I426" s="950">
        <f t="shared" si="41"/>
        <v>1200000</v>
      </c>
      <c r="J426" s="950">
        <f t="shared" si="42"/>
        <v>1320000</v>
      </c>
      <c r="K426" s="950">
        <f t="shared" si="43"/>
        <v>1320000</v>
      </c>
      <c r="L426" s="1174"/>
      <c r="M426" s="1129"/>
      <c r="N426" s="1130"/>
    </row>
    <row r="427" spans="1:14" ht="63" outlineLevel="1">
      <c r="A427" s="940">
        <f t="shared" si="44"/>
        <v>8</v>
      </c>
      <c r="B427" s="944" t="s">
        <v>1066</v>
      </c>
      <c r="C427" s="944" t="s">
        <v>1067</v>
      </c>
      <c r="D427" s="944" t="s">
        <v>1067</v>
      </c>
      <c r="E427" s="940" t="s">
        <v>627</v>
      </c>
      <c r="F427" s="962">
        <v>1</v>
      </c>
      <c r="G427" s="1116">
        <v>300000</v>
      </c>
      <c r="H427" s="1117">
        <v>0.1</v>
      </c>
      <c r="I427" s="950">
        <f t="shared" si="41"/>
        <v>300000</v>
      </c>
      <c r="J427" s="950">
        <f t="shared" si="42"/>
        <v>330000</v>
      </c>
      <c r="K427" s="950">
        <f t="shared" si="43"/>
        <v>330000</v>
      </c>
      <c r="L427" s="1174"/>
      <c r="M427" s="1129"/>
      <c r="N427" s="1130"/>
    </row>
    <row r="428" spans="1:14" ht="15.75">
      <c r="A428" s="940">
        <v>35</v>
      </c>
      <c r="B428" s="987" t="s">
        <v>1133</v>
      </c>
      <c r="C428" s="942"/>
      <c r="D428" s="942"/>
      <c r="E428" s="968" t="s">
        <v>1011</v>
      </c>
      <c r="F428" s="968">
        <v>1</v>
      </c>
      <c r="G428" s="1116"/>
      <c r="H428" s="1117"/>
      <c r="I428" s="950">
        <f t="shared" si="41"/>
        <v>0</v>
      </c>
      <c r="J428" s="950">
        <f t="shared" si="42"/>
        <v>0</v>
      </c>
      <c r="K428" s="950">
        <f t="shared" si="43"/>
        <v>0</v>
      </c>
      <c r="L428" s="1174"/>
      <c r="M428" s="1129"/>
      <c r="N428" s="1130"/>
    </row>
    <row r="429" spans="1:14" ht="94.5" outlineLevel="1">
      <c r="A429" s="940">
        <v>1</v>
      </c>
      <c r="B429" s="944" t="s">
        <v>1082</v>
      </c>
      <c r="C429" s="953" t="s">
        <v>1083</v>
      </c>
      <c r="D429" s="953" t="s">
        <v>1083</v>
      </c>
      <c r="E429" s="940" t="s">
        <v>627</v>
      </c>
      <c r="F429" s="962">
        <v>1</v>
      </c>
      <c r="G429" s="1116">
        <v>3150000</v>
      </c>
      <c r="H429" s="1117">
        <v>0.1</v>
      </c>
      <c r="I429" s="950">
        <f t="shared" si="41"/>
        <v>3150000</v>
      </c>
      <c r="J429" s="950">
        <f t="shared" si="42"/>
        <v>3465000</v>
      </c>
      <c r="K429" s="950">
        <f t="shared" si="43"/>
        <v>3465000</v>
      </c>
      <c r="L429" s="1174"/>
      <c r="M429" s="1129"/>
      <c r="N429" s="1130"/>
    </row>
    <row r="430" spans="1:14" ht="94.5" outlineLevel="1">
      <c r="A430" s="992">
        <f t="shared" ref="A430:A435" si="45">A429+1</f>
        <v>2</v>
      </c>
      <c r="B430" s="944" t="s">
        <v>1077</v>
      </c>
      <c r="C430" s="991" t="s">
        <v>1259</v>
      </c>
      <c r="D430" s="991" t="s">
        <v>1259</v>
      </c>
      <c r="E430" s="940" t="s">
        <v>627</v>
      </c>
      <c r="F430" s="962">
        <v>5</v>
      </c>
      <c r="G430" s="1116">
        <v>590000</v>
      </c>
      <c r="H430" s="1117">
        <v>0.1</v>
      </c>
      <c r="I430" s="950">
        <f t="shared" si="41"/>
        <v>2950000</v>
      </c>
      <c r="J430" s="950">
        <f t="shared" si="42"/>
        <v>649000</v>
      </c>
      <c r="K430" s="950">
        <f t="shared" si="43"/>
        <v>3245000</v>
      </c>
      <c r="L430" s="1174"/>
      <c r="M430" s="1129"/>
      <c r="N430" s="1130"/>
    </row>
    <row r="431" spans="1:14" ht="157.5" outlineLevel="1">
      <c r="A431" s="992">
        <f t="shared" si="45"/>
        <v>3</v>
      </c>
      <c r="B431" s="944" t="s">
        <v>1021</v>
      </c>
      <c r="C431" s="953" t="s">
        <v>1022</v>
      </c>
      <c r="D431" s="953" t="s">
        <v>1022</v>
      </c>
      <c r="E431" s="940" t="s">
        <v>627</v>
      </c>
      <c r="F431" s="962">
        <v>1</v>
      </c>
      <c r="G431" s="1116">
        <v>5600000</v>
      </c>
      <c r="H431" s="1117">
        <v>0.1</v>
      </c>
      <c r="I431" s="950">
        <f t="shared" si="41"/>
        <v>5600000</v>
      </c>
      <c r="J431" s="950">
        <f t="shared" si="42"/>
        <v>6160000</v>
      </c>
      <c r="K431" s="950">
        <f t="shared" si="43"/>
        <v>6160000</v>
      </c>
      <c r="L431" s="1118"/>
      <c r="M431" s="1129"/>
      <c r="N431" s="1130"/>
    </row>
    <row r="432" spans="1:14" ht="141.75" outlineLevel="1">
      <c r="A432" s="992">
        <f t="shared" si="45"/>
        <v>4</v>
      </c>
      <c r="B432" s="944" t="s">
        <v>1185</v>
      </c>
      <c r="C432" s="944" t="s">
        <v>1186</v>
      </c>
      <c r="D432" s="944" t="s">
        <v>1186</v>
      </c>
      <c r="E432" s="940" t="s">
        <v>627</v>
      </c>
      <c r="F432" s="962">
        <v>1</v>
      </c>
      <c r="G432" s="1116">
        <v>1200000</v>
      </c>
      <c r="H432" s="1117">
        <v>0.1</v>
      </c>
      <c r="I432" s="950">
        <f t="shared" si="41"/>
        <v>1200000</v>
      </c>
      <c r="J432" s="950">
        <f t="shared" si="42"/>
        <v>1320000</v>
      </c>
      <c r="K432" s="950">
        <f t="shared" si="43"/>
        <v>1320000</v>
      </c>
      <c r="L432" s="1118"/>
      <c r="M432" s="1129"/>
      <c r="N432" s="1130"/>
    </row>
    <row r="433" spans="1:14" ht="47.25" outlineLevel="1">
      <c r="A433" s="992">
        <f t="shared" si="45"/>
        <v>5</v>
      </c>
      <c r="B433" s="944" t="s">
        <v>1034</v>
      </c>
      <c r="C433" s="966" t="s">
        <v>1035</v>
      </c>
      <c r="D433" s="966" t="s">
        <v>1035</v>
      </c>
      <c r="E433" s="940" t="s">
        <v>1068</v>
      </c>
      <c r="F433" s="962">
        <v>1</v>
      </c>
      <c r="G433" s="1116">
        <v>130000</v>
      </c>
      <c r="H433" s="1117">
        <v>0.1</v>
      </c>
      <c r="I433" s="950">
        <f t="shared" si="41"/>
        <v>130000</v>
      </c>
      <c r="J433" s="950">
        <f t="shared" si="42"/>
        <v>143000</v>
      </c>
      <c r="K433" s="950">
        <f t="shared" si="43"/>
        <v>143000</v>
      </c>
      <c r="L433" s="1118"/>
      <c r="M433" s="1129"/>
      <c r="N433" s="1130"/>
    </row>
    <row r="434" spans="1:14" ht="63" outlineLevel="1">
      <c r="A434" s="992">
        <f t="shared" si="45"/>
        <v>6</v>
      </c>
      <c r="B434" s="944" t="s">
        <v>1056</v>
      </c>
      <c r="C434" s="972" t="s">
        <v>1057</v>
      </c>
      <c r="D434" s="972" t="s">
        <v>1057</v>
      </c>
      <c r="E434" s="940" t="s">
        <v>627</v>
      </c>
      <c r="F434" s="962">
        <v>1</v>
      </c>
      <c r="G434" s="1116">
        <v>1200000</v>
      </c>
      <c r="H434" s="1117">
        <v>0.1</v>
      </c>
      <c r="I434" s="950">
        <f t="shared" si="41"/>
        <v>1200000</v>
      </c>
      <c r="J434" s="950">
        <f t="shared" si="42"/>
        <v>1320000</v>
      </c>
      <c r="K434" s="950">
        <f t="shared" si="43"/>
        <v>1320000</v>
      </c>
      <c r="L434" s="1118"/>
      <c r="M434" s="1129"/>
      <c r="N434" s="1130"/>
    </row>
    <row r="435" spans="1:14" ht="63" outlineLevel="1">
      <c r="A435" s="992">
        <f t="shared" si="45"/>
        <v>7</v>
      </c>
      <c r="B435" s="944" t="s">
        <v>1066</v>
      </c>
      <c r="C435" s="944" t="s">
        <v>1067</v>
      </c>
      <c r="D435" s="944" t="s">
        <v>1067</v>
      </c>
      <c r="E435" s="940" t="s">
        <v>627</v>
      </c>
      <c r="F435" s="962">
        <v>1</v>
      </c>
      <c r="G435" s="1116">
        <v>300000</v>
      </c>
      <c r="H435" s="1117">
        <v>0.1</v>
      </c>
      <c r="I435" s="950">
        <f t="shared" si="41"/>
        <v>300000</v>
      </c>
      <c r="J435" s="950">
        <f t="shared" si="42"/>
        <v>330000</v>
      </c>
      <c r="K435" s="950">
        <f t="shared" si="43"/>
        <v>330000</v>
      </c>
      <c r="L435" s="1118"/>
      <c r="M435" s="1129"/>
      <c r="N435" s="1130"/>
    </row>
    <row r="436" spans="1:14" ht="15.75">
      <c r="A436" s="940">
        <v>36</v>
      </c>
      <c r="B436" s="1114" t="s">
        <v>1451</v>
      </c>
      <c r="C436" s="1204"/>
      <c r="D436" s="1204"/>
      <c r="E436" s="1145" t="s">
        <v>1134</v>
      </c>
      <c r="F436" s="1145">
        <v>1</v>
      </c>
      <c r="G436" s="1116"/>
      <c r="H436" s="1117"/>
      <c r="I436" s="950">
        <f t="shared" si="41"/>
        <v>0</v>
      </c>
      <c r="J436" s="950">
        <f t="shared" si="42"/>
        <v>0</v>
      </c>
      <c r="K436" s="950">
        <f t="shared" si="43"/>
        <v>0</v>
      </c>
      <c r="L436" s="1118"/>
      <c r="M436" s="1129"/>
      <c r="N436" s="1130"/>
    </row>
    <row r="437" spans="1:14" ht="94.5" outlineLevel="1">
      <c r="A437" s="940">
        <v>1</v>
      </c>
      <c r="B437" s="996" t="s">
        <v>1082</v>
      </c>
      <c r="C437" s="953" t="s">
        <v>1083</v>
      </c>
      <c r="D437" s="953" t="s">
        <v>1083</v>
      </c>
      <c r="E437" s="992" t="s">
        <v>655</v>
      </c>
      <c r="F437" s="993">
        <v>1</v>
      </c>
      <c r="G437" s="1116">
        <v>3150000</v>
      </c>
      <c r="H437" s="1117">
        <v>0.1</v>
      </c>
      <c r="I437" s="950">
        <f t="shared" si="41"/>
        <v>3150000</v>
      </c>
      <c r="J437" s="950">
        <f t="shared" si="42"/>
        <v>3465000</v>
      </c>
      <c r="K437" s="950">
        <f t="shared" si="43"/>
        <v>3465000</v>
      </c>
      <c r="L437" s="1118"/>
      <c r="M437" s="1129"/>
      <c r="N437" s="1130"/>
    </row>
    <row r="438" spans="1:14" ht="78.75" outlineLevel="1">
      <c r="A438" s="992">
        <f t="shared" ref="A438:A443" si="46">A437+1</f>
        <v>2</v>
      </c>
      <c r="B438" s="1012" t="s">
        <v>1128</v>
      </c>
      <c r="C438" s="969" t="s">
        <v>1129</v>
      </c>
      <c r="D438" s="969" t="s">
        <v>1129</v>
      </c>
      <c r="E438" s="1082" t="s">
        <v>627</v>
      </c>
      <c r="F438" s="1083">
        <v>1</v>
      </c>
      <c r="G438" s="1116">
        <v>7800000</v>
      </c>
      <c r="H438" s="1117">
        <v>0.1</v>
      </c>
      <c r="I438" s="950">
        <f t="shared" si="41"/>
        <v>7800000</v>
      </c>
      <c r="J438" s="950">
        <f t="shared" si="42"/>
        <v>8580000</v>
      </c>
      <c r="K438" s="950">
        <f t="shared" si="43"/>
        <v>8580000</v>
      </c>
      <c r="L438" s="1118"/>
      <c r="M438" s="1129"/>
      <c r="N438" s="1130"/>
    </row>
    <row r="439" spans="1:14" ht="63" outlineLevel="1">
      <c r="A439" s="940">
        <f t="shared" si="46"/>
        <v>3</v>
      </c>
      <c r="B439" s="944" t="s">
        <v>1077</v>
      </c>
      <c r="C439" s="944" t="s">
        <v>1100</v>
      </c>
      <c r="D439" s="944" t="s">
        <v>1100</v>
      </c>
      <c r="E439" s="992" t="s">
        <v>655</v>
      </c>
      <c r="F439" s="962">
        <v>3</v>
      </c>
      <c r="G439" s="1116">
        <v>480000</v>
      </c>
      <c r="H439" s="1117">
        <v>0.1</v>
      </c>
      <c r="I439" s="950">
        <f t="shared" si="41"/>
        <v>1440000</v>
      </c>
      <c r="J439" s="950">
        <f t="shared" si="42"/>
        <v>528000</v>
      </c>
      <c r="K439" s="950">
        <f t="shared" si="43"/>
        <v>1584000</v>
      </c>
      <c r="L439" s="1118"/>
      <c r="M439" s="1129"/>
      <c r="N439" s="1130"/>
    </row>
    <row r="440" spans="1:14" ht="126" outlineLevel="1">
      <c r="A440" s="940">
        <f t="shared" si="46"/>
        <v>4</v>
      </c>
      <c r="B440" s="1012" t="s">
        <v>1101</v>
      </c>
      <c r="C440" s="953" t="s">
        <v>1161</v>
      </c>
      <c r="D440" s="953" t="s">
        <v>1161</v>
      </c>
      <c r="E440" s="961" t="s">
        <v>627</v>
      </c>
      <c r="F440" s="962">
        <v>5</v>
      </c>
      <c r="G440" s="1116">
        <v>6000000</v>
      </c>
      <c r="H440" s="1117">
        <v>0.1</v>
      </c>
      <c r="I440" s="950">
        <f t="shared" si="41"/>
        <v>30000000</v>
      </c>
      <c r="J440" s="950">
        <f t="shared" si="42"/>
        <v>6600000</v>
      </c>
      <c r="K440" s="950">
        <f t="shared" si="43"/>
        <v>33000000</v>
      </c>
      <c r="L440" s="1118" t="s">
        <v>1218</v>
      </c>
      <c r="M440" s="1129"/>
      <c r="N440" s="1130"/>
    </row>
    <row r="441" spans="1:14" ht="141.75" outlineLevel="1">
      <c r="A441" s="940">
        <f t="shared" si="46"/>
        <v>5</v>
      </c>
      <c r="B441" s="1012" t="s">
        <v>1185</v>
      </c>
      <c r="C441" s="944" t="s">
        <v>1186</v>
      </c>
      <c r="D441" s="944" t="s">
        <v>1186</v>
      </c>
      <c r="E441" s="1082" t="s">
        <v>627</v>
      </c>
      <c r="F441" s="1083">
        <v>1</v>
      </c>
      <c r="G441" s="1116">
        <v>1200000</v>
      </c>
      <c r="H441" s="1117">
        <v>0.1</v>
      </c>
      <c r="I441" s="950">
        <f t="shared" si="41"/>
        <v>1200000</v>
      </c>
      <c r="J441" s="950">
        <f t="shared" si="42"/>
        <v>1320000</v>
      </c>
      <c r="K441" s="950">
        <f t="shared" si="43"/>
        <v>1320000</v>
      </c>
      <c r="L441" s="1118"/>
      <c r="M441" s="1129"/>
      <c r="N441" s="1130"/>
    </row>
    <row r="442" spans="1:14" ht="110.25" outlineLevel="1">
      <c r="A442" s="940">
        <f t="shared" si="46"/>
        <v>6</v>
      </c>
      <c r="B442" s="1012" t="s">
        <v>1054</v>
      </c>
      <c r="C442" s="971" t="s">
        <v>1055</v>
      </c>
      <c r="D442" s="971" t="s">
        <v>1055</v>
      </c>
      <c r="E442" s="1082" t="s">
        <v>627</v>
      </c>
      <c r="F442" s="1083">
        <v>1</v>
      </c>
      <c r="G442" s="1116">
        <v>2400000</v>
      </c>
      <c r="H442" s="1117">
        <v>0.05</v>
      </c>
      <c r="I442" s="950">
        <f t="shared" si="41"/>
        <v>2400000</v>
      </c>
      <c r="J442" s="950">
        <f t="shared" si="42"/>
        <v>2640000</v>
      </c>
      <c r="K442" s="950">
        <f t="shared" si="43"/>
        <v>2640000</v>
      </c>
      <c r="L442" s="1118"/>
      <c r="M442" s="1129"/>
      <c r="N442" s="1130"/>
    </row>
    <row r="443" spans="1:14" ht="47.25" outlineLevel="1">
      <c r="A443" s="940">
        <f t="shared" si="46"/>
        <v>7</v>
      </c>
      <c r="B443" s="1012" t="s">
        <v>1034</v>
      </c>
      <c r="C443" s="966" t="s">
        <v>1035</v>
      </c>
      <c r="D443" s="966" t="s">
        <v>1035</v>
      </c>
      <c r="E443" s="1082" t="s">
        <v>1068</v>
      </c>
      <c r="F443" s="1083">
        <f>F436</f>
        <v>1</v>
      </c>
      <c r="G443" s="1116">
        <v>130000</v>
      </c>
      <c r="H443" s="1117">
        <v>0.1</v>
      </c>
      <c r="I443" s="950">
        <f t="shared" si="41"/>
        <v>130000</v>
      </c>
      <c r="J443" s="950">
        <f t="shared" si="42"/>
        <v>143000</v>
      </c>
      <c r="K443" s="950">
        <f t="shared" si="43"/>
        <v>143000</v>
      </c>
      <c r="L443" s="1118"/>
      <c r="M443" s="1129"/>
      <c r="N443" s="1130"/>
    </row>
    <row r="444" spans="1:14" ht="15.75">
      <c r="A444" s="940">
        <v>37</v>
      </c>
      <c r="B444" s="1114" t="s">
        <v>1452</v>
      </c>
      <c r="C444" s="1114"/>
      <c r="D444" s="1114"/>
      <c r="E444" s="1145" t="s">
        <v>1134</v>
      </c>
      <c r="F444" s="1145">
        <v>1</v>
      </c>
      <c r="G444" s="1116"/>
      <c r="H444" s="1117"/>
      <c r="I444" s="950">
        <f t="shared" si="41"/>
        <v>0</v>
      </c>
      <c r="J444" s="950">
        <f t="shared" si="42"/>
        <v>0</v>
      </c>
      <c r="K444" s="950">
        <f t="shared" si="43"/>
        <v>0</v>
      </c>
      <c r="L444" s="1118"/>
      <c r="M444" s="1129"/>
      <c r="N444" s="1130"/>
    </row>
    <row r="445" spans="1:14" ht="126" outlineLevel="1">
      <c r="A445" s="940">
        <v>1</v>
      </c>
      <c r="B445" s="944" t="s">
        <v>1101</v>
      </c>
      <c r="C445" s="953" t="s">
        <v>1161</v>
      </c>
      <c r="D445" s="953" t="s">
        <v>1161</v>
      </c>
      <c r="E445" s="961" t="s">
        <v>627</v>
      </c>
      <c r="F445" s="962">
        <v>4</v>
      </c>
      <c r="G445" s="1116">
        <v>6000000</v>
      </c>
      <c r="H445" s="1117">
        <v>0.1</v>
      </c>
      <c r="I445" s="950">
        <f t="shared" si="41"/>
        <v>24000000</v>
      </c>
      <c r="J445" s="950">
        <f t="shared" si="42"/>
        <v>6600000</v>
      </c>
      <c r="K445" s="950">
        <f t="shared" si="43"/>
        <v>26400000</v>
      </c>
      <c r="L445" s="1118" t="s">
        <v>1218</v>
      </c>
      <c r="M445" s="1129"/>
      <c r="N445" s="1130"/>
    </row>
    <row r="446" spans="1:14" ht="47.25" outlineLevel="1">
      <c r="A446" s="940">
        <f>A445+1</f>
        <v>2</v>
      </c>
      <c r="B446" s="944" t="s">
        <v>1034</v>
      </c>
      <c r="C446" s="966" t="s">
        <v>1035</v>
      </c>
      <c r="D446" s="966" t="s">
        <v>1035</v>
      </c>
      <c r="E446" s="961" t="s">
        <v>1068</v>
      </c>
      <c r="F446" s="962">
        <f>F444</f>
        <v>1</v>
      </c>
      <c r="G446" s="1116">
        <v>130000</v>
      </c>
      <c r="H446" s="1117">
        <v>0.1</v>
      </c>
      <c r="I446" s="950">
        <f t="shared" si="41"/>
        <v>130000</v>
      </c>
      <c r="J446" s="950">
        <f t="shared" si="42"/>
        <v>143000</v>
      </c>
      <c r="K446" s="950">
        <f t="shared" si="43"/>
        <v>143000</v>
      </c>
      <c r="L446" s="1118"/>
      <c r="M446" s="1129"/>
      <c r="N446" s="1130"/>
    </row>
    <row r="447" spans="1:14" ht="15.75">
      <c r="A447" s="940">
        <v>38</v>
      </c>
      <c r="B447" s="941" t="s">
        <v>1453</v>
      </c>
      <c r="C447" s="1084"/>
      <c r="D447" s="1084"/>
      <c r="E447" s="968" t="s">
        <v>1011</v>
      </c>
      <c r="F447" s="940">
        <v>1</v>
      </c>
      <c r="G447" s="1116"/>
      <c r="H447" s="1117"/>
      <c r="I447" s="950">
        <f t="shared" si="41"/>
        <v>0</v>
      </c>
      <c r="J447" s="950">
        <f t="shared" si="42"/>
        <v>0</v>
      </c>
      <c r="K447" s="950">
        <f t="shared" si="43"/>
        <v>0</v>
      </c>
      <c r="L447" s="1118"/>
      <c r="M447" s="1129"/>
      <c r="N447" s="1130"/>
    </row>
    <row r="448" spans="1:14" ht="78.75" outlineLevel="1">
      <c r="A448" s="940">
        <v>1</v>
      </c>
      <c r="B448" s="944" t="s">
        <v>1454</v>
      </c>
      <c r="C448" s="1080" t="s">
        <v>1455</v>
      </c>
      <c r="D448" s="953" t="s">
        <v>1456</v>
      </c>
      <c r="E448" s="940" t="s">
        <v>624</v>
      </c>
      <c r="F448" s="962">
        <v>62</v>
      </c>
      <c r="G448" s="1116">
        <v>2200000</v>
      </c>
      <c r="H448" s="1117">
        <v>0.1</v>
      </c>
      <c r="I448" s="950">
        <f t="shared" si="41"/>
        <v>136400000</v>
      </c>
      <c r="J448" s="950">
        <f t="shared" si="42"/>
        <v>2420000</v>
      </c>
      <c r="K448" s="950">
        <f t="shared" si="43"/>
        <v>150040000</v>
      </c>
      <c r="L448" s="1118"/>
      <c r="M448" s="1129"/>
      <c r="N448" s="1202" t="s">
        <v>1457</v>
      </c>
    </row>
    <row r="449" spans="1:14" ht="63" outlineLevel="1">
      <c r="A449" s="940">
        <f>A448+1</f>
        <v>2</v>
      </c>
      <c r="B449" s="944" t="s">
        <v>1458</v>
      </c>
      <c r="C449" s="1115" t="s">
        <v>1459</v>
      </c>
      <c r="D449" s="1115" t="s">
        <v>1459</v>
      </c>
      <c r="E449" s="1147" t="s">
        <v>627</v>
      </c>
      <c r="F449" s="1148">
        <v>620</v>
      </c>
      <c r="G449" s="1116">
        <v>250000</v>
      </c>
      <c r="H449" s="1117">
        <v>0.1</v>
      </c>
      <c r="I449" s="950">
        <f t="shared" si="41"/>
        <v>155000000</v>
      </c>
      <c r="J449" s="950">
        <f t="shared" si="42"/>
        <v>275000</v>
      </c>
      <c r="K449" s="950">
        <f t="shared" si="43"/>
        <v>170500000</v>
      </c>
      <c r="L449" s="1118"/>
      <c r="M449" s="1129"/>
      <c r="N449" s="1130"/>
    </row>
    <row r="450" spans="1:14" ht="63" outlineLevel="1">
      <c r="A450" s="940">
        <f>A449+1</f>
        <v>3</v>
      </c>
      <c r="B450" s="944" t="s">
        <v>1066</v>
      </c>
      <c r="C450" s="944" t="s">
        <v>1067</v>
      </c>
      <c r="D450" s="944" t="s">
        <v>1067</v>
      </c>
      <c r="E450" s="940" t="s">
        <v>627</v>
      </c>
      <c r="F450" s="962">
        <v>1</v>
      </c>
      <c r="G450" s="1116">
        <v>300000</v>
      </c>
      <c r="H450" s="1117">
        <v>0.1</v>
      </c>
      <c r="I450" s="950">
        <f t="shared" si="41"/>
        <v>300000</v>
      </c>
      <c r="J450" s="950">
        <f t="shared" si="42"/>
        <v>330000</v>
      </c>
      <c r="K450" s="950">
        <f t="shared" si="43"/>
        <v>330000</v>
      </c>
      <c r="L450" s="1118"/>
      <c r="M450" s="1129"/>
      <c r="N450" s="1130"/>
    </row>
    <row r="451" spans="1:14" ht="110.25" outlineLevel="1">
      <c r="A451" s="940">
        <f>A450+1</f>
        <v>4</v>
      </c>
      <c r="B451" s="944" t="s">
        <v>1054</v>
      </c>
      <c r="C451" s="971" t="s">
        <v>1055</v>
      </c>
      <c r="D451" s="971" t="s">
        <v>1055</v>
      </c>
      <c r="E451" s="940" t="s">
        <v>655</v>
      </c>
      <c r="F451" s="962">
        <v>2</v>
      </c>
      <c r="G451" s="1116">
        <v>2400000</v>
      </c>
      <c r="H451" s="1117">
        <v>0.05</v>
      </c>
      <c r="I451" s="950">
        <f t="shared" si="41"/>
        <v>4800000</v>
      </c>
      <c r="J451" s="950">
        <f t="shared" si="42"/>
        <v>2640000</v>
      </c>
      <c r="K451" s="950">
        <f t="shared" si="43"/>
        <v>5280000</v>
      </c>
      <c r="L451" s="1118"/>
      <c r="M451" s="1129"/>
      <c r="N451" s="1130"/>
    </row>
    <row r="452" spans="1:14" ht="47.25" outlineLevel="1">
      <c r="A452" s="940">
        <f>A451+1</f>
        <v>5</v>
      </c>
      <c r="B452" s="944" t="s">
        <v>1034</v>
      </c>
      <c r="C452" s="966" t="s">
        <v>1035</v>
      </c>
      <c r="D452" s="966" t="s">
        <v>1035</v>
      </c>
      <c r="E452" s="940" t="s">
        <v>1068</v>
      </c>
      <c r="F452" s="962">
        <f>F447</f>
        <v>1</v>
      </c>
      <c r="G452" s="1116">
        <v>130000</v>
      </c>
      <c r="H452" s="1117">
        <v>0.1</v>
      </c>
      <c r="I452" s="950">
        <f t="shared" si="41"/>
        <v>130000</v>
      </c>
      <c r="J452" s="950">
        <f t="shared" si="42"/>
        <v>143000</v>
      </c>
      <c r="K452" s="950">
        <f t="shared" si="43"/>
        <v>143000</v>
      </c>
      <c r="L452" s="1118"/>
      <c r="M452" s="1129"/>
      <c r="N452" s="1130"/>
    </row>
    <row r="453" spans="1:14" ht="15.75">
      <c r="A453" s="940">
        <v>39</v>
      </c>
      <c r="B453" s="987" t="s">
        <v>1460</v>
      </c>
      <c r="C453" s="1084"/>
      <c r="D453" s="1084"/>
      <c r="E453" s="968" t="s">
        <v>1011</v>
      </c>
      <c r="F453" s="940">
        <v>1</v>
      </c>
      <c r="G453" s="1116"/>
      <c r="H453" s="1117"/>
      <c r="I453" s="950">
        <f t="shared" si="41"/>
        <v>0</v>
      </c>
      <c r="J453" s="950">
        <f t="shared" si="42"/>
        <v>0</v>
      </c>
      <c r="K453" s="950">
        <f t="shared" si="43"/>
        <v>0</v>
      </c>
      <c r="L453" s="1118"/>
      <c r="M453" s="1129"/>
      <c r="N453" s="1130"/>
    </row>
    <row r="454" spans="1:14" ht="91.5" customHeight="1" outlineLevel="1">
      <c r="A454" s="940">
        <v>1</v>
      </c>
      <c r="B454" s="944" t="s">
        <v>1066</v>
      </c>
      <c r="C454" s="944" t="s">
        <v>1067</v>
      </c>
      <c r="D454" s="944" t="s">
        <v>1067</v>
      </c>
      <c r="E454" s="940" t="s">
        <v>627</v>
      </c>
      <c r="F454" s="962">
        <v>1</v>
      </c>
      <c r="G454" s="1116">
        <v>300000</v>
      </c>
      <c r="H454" s="1117">
        <v>0.1</v>
      </c>
      <c r="I454" s="950">
        <f t="shared" si="41"/>
        <v>300000</v>
      </c>
      <c r="J454" s="950">
        <f t="shared" si="42"/>
        <v>330000</v>
      </c>
      <c r="K454" s="950">
        <f t="shared" si="43"/>
        <v>330000</v>
      </c>
      <c r="L454" s="1118"/>
      <c r="M454" s="1129"/>
      <c r="N454" s="1130"/>
    </row>
    <row r="455" spans="1:14" ht="81.75" customHeight="1" outlineLevel="1">
      <c r="A455" s="940">
        <f>A454+1</f>
        <v>2</v>
      </c>
      <c r="B455" s="944" t="s">
        <v>1034</v>
      </c>
      <c r="C455" s="966" t="s">
        <v>1035</v>
      </c>
      <c r="D455" s="966" t="s">
        <v>1035</v>
      </c>
      <c r="E455" s="940" t="s">
        <v>1461</v>
      </c>
      <c r="F455" s="962">
        <v>1</v>
      </c>
      <c r="G455" s="1116">
        <v>130000</v>
      </c>
      <c r="H455" s="1117">
        <v>0.1</v>
      </c>
      <c r="I455" s="950">
        <f t="shared" si="41"/>
        <v>130000</v>
      </c>
      <c r="J455" s="950">
        <f t="shared" si="42"/>
        <v>143000</v>
      </c>
      <c r="K455" s="950">
        <f t="shared" si="43"/>
        <v>143000</v>
      </c>
      <c r="L455" s="1118"/>
      <c r="M455" s="1129"/>
      <c r="N455" s="1130"/>
    </row>
    <row r="456" spans="1:14" ht="144.75" customHeight="1" outlineLevel="1">
      <c r="A456" s="940">
        <f t="shared" ref="A456:A495" si="47">A455+1</f>
        <v>3</v>
      </c>
      <c r="B456" s="944" t="s">
        <v>1462</v>
      </c>
      <c r="C456" s="1085" t="s">
        <v>1463</v>
      </c>
      <c r="D456" s="1085" t="s">
        <v>1463</v>
      </c>
      <c r="E456" s="940" t="s">
        <v>624</v>
      </c>
      <c r="F456" s="962">
        <v>3</v>
      </c>
      <c r="G456" s="1116">
        <v>20625000</v>
      </c>
      <c r="H456" s="1117">
        <v>0.1</v>
      </c>
      <c r="I456" s="950">
        <f t="shared" si="41"/>
        <v>61875000</v>
      </c>
      <c r="J456" s="950">
        <f t="shared" si="42"/>
        <v>22687500</v>
      </c>
      <c r="K456" s="950">
        <f t="shared" si="43"/>
        <v>68062500</v>
      </c>
      <c r="L456" s="1118" t="s">
        <v>1218</v>
      </c>
      <c r="M456" s="1129"/>
      <c r="N456" s="1130"/>
    </row>
    <row r="457" spans="1:14" ht="78.75" outlineLevel="1">
      <c r="A457" s="940">
        <f t="shared" si="47"/>
        <v>4</v>
      </c>
      <c r="B457" s="944" t="s">
        <v>1464</v>
      </c>
      <c r="C457" s="1115" t="s">
        <v>1465</v>
      </c>
      <c r="D457" s="1115" t="s">
        <v>1465</v>
      </c>
      <c r="E457" s="961" t="s">
        <v>1466</v>
      </c>
      <c r="F457" s="962">
        <v>2</v>
      </c>
      <c r="G457" s="1116">
        <v>77000000</v>
      </c>
      <c r="H457" s="1117">
        <v>0.1</v>
      </c>
      <c r="I457" s="950">
        <f t="shared" si="41"/>
        <v>154000000</v>
      </c>
      <c r="J457" s="950">
        <f t="shared" si="42"/>
        <v>84700000</v>
      </c>
      <c r="K457" s="950">
        <f t="shared" si="43"/>
        <v>169400000</v>
      </c>
      <c r="L457" s="1118"/>
      <c r="M457" s="1129"/>
      <c r="N457" s="1130"/>
    </row>
    <row r="458" spans="1:14" ht="220.5" outlineLevel="1">
      <c r="A458" s="940">
        <f t="shared" si="47"/>
        <v>5</v>
      </c>
      <c r="B458" s="944" t="s">
        <v>1467</v>
      </c>
      <c r="C458" s="953" t="s">
        <v>1468</v>
      </c>
      <c r="D458" s="953" t="s">
        <v>1468</v>
      </c>
      <c r="E458" s="1147" t="s">
        <v>627</v>
      </c>
      <c r="F458" s="1148">
        <v>1</v>
      </c>
      <c r="G458" s="1116">
        <v>48048000</v>
      </c>
      <c r="H458" s="1117">
        <v>0.1</v>
      </c>
      <c r="I458" s="950">
        <f t="shared" si="41"/>
        <v>48048000</v>
      </c>
      <c r="J458" s="950">
        <f t="shared" si="42"/>
        <v>52852800</v>
      </c>
      <c r="K458" s="950">
        <f t="shared" si="43"/>
        <v>52852800</v>
      </c>
      <c r="L458" s="1118"/>
      <c r="M458" s="1129"/>
      <c r="N458" s="1130"/>
    </row>
    <row r="459" spans="1:14" ht="141.75" outlineLevel="1">
      <c r="A459" s="940">
        <f t="shared" si="47"/>
        <v>6</v>
      </c>
      <c r="B459" s="944" t="s">
        <v>1469</v>
      </c>
      <c r="C459" s="1115" t="s">
        <v>1470</v>
      </c>
      <c r="D459" s="1115" t="s">
        <v>1470</v>
      </c>
      <c r="E459" s="1147" t="s">
        <v>627</v>
      </c>
      <c r="F459" s="1148">
        <v>1</v>
      </c>
      <c r="G459" s="1116">
        <v>7000000</v>
      </c>
      <c r="H459" s="1117">
        <v>0.1</v>
      </c>
      <c r="I459" s="950">
        <f t="shared" si="41"/>
        <v>7000000</v>
      </c>
      <c r="J459" s="950">
        <f t="shared" si="42"/>
        <v>7700000</v>
      </c>
      <c r="K459" s="950">
        <f t="shared" si="43"/>
        <v>7700000</v>
      </c>
      <c r="L459" s="1118"/>
      <c r="M459" s="1129"/>
      <c r="N459" s="1130"/>
    </row>
    <row r="460" spans="1:14" ht="15.75" outlineLevel="1">
      <c r="A460" s="940">
        <f t="shared" si="47"/>
        <v>7</v>
      </c>
      <c r="B460" s="971" t="s">
        <v>1471</v>
      </c>
      <c r="C460" s="1080" t="s">
        <v>1472</v>
      </c>
      <c r="D460" s="1080" t="s">
        <v>1472</v>
      </c>
      <c r="E460" s="940" t="s">
        <v>655</v>
      </c>
      <c r="F460" s="962">
        <v>2</v>
      </c>
      <c r="G460" s="1116">
        <v>1625000</v>
      </c>
      <c r="H460" s="1117">
        <v>0.1</v>
      </c>
      <c r="I460" s="950">
        <f t="shared" si="41"/>
        <v>3250000</v>
      </c>
      <c r="J460" s="950">
        <f t="shared" si="42"/>
        <v>1787500</v>
      </c>
      <c r="K460" s="950">
        <f t="shared" si="43"/>
        <v>3575000</v>
      </c>
      <c r="L460" s="1118"/>
      <c r="M460" s="1129"/>
      <c r="N460" s="1130"/>
    </row>
    <row r="461" spans="1:14" ht="63" outlineLevel="1">
      <c r="A461" s="940">
        <f t="shared" si="47"/>
        <v>8</v>
      </c>
      <c r="B461" s="944" t="s">
        <v>1473</v>
      </c>
      <c r="C461" s="944" t="s">
        <v>1474</v>
      </c>
      <c r="D461" s="944" t="s">
        <v>1474</v>
      </c>
      <c r="E461" s="940" t="s">
        <v>655</v>
      </c>
      <c r="F461" s="962">
        <v>4</v>
      </c>
      <c r="G461" s="1116">
        <v>5500000</v>
      </c>
      <c r="H461" s="1117">
        <v>0.1</v>
      </c>
      <c r="I461" s="950">
        <f t="shared" si="41"/>
        <v>22000000</v>
      </c>
      <c r="J461" s="950">
        <f t="shared" si="42"/>
        <v>6050000</v>
      </c>
      <c r="K461" s="950">
        <f t="shared" si="43"/>
        <v>24200000</v>
      </c>
      <c r="L461" s="1118"/>
      <c r="M461" s="1129"/>
      <c r="N461" s="1130"/>
    </row>
    <row r="462" spans="1:14" ht="63" outlineLevel="1">
      <c r="A462" s="940">
        <f t="shared" si="47"/>
        <v>9</v>
      </c>
      <c r="B462" s="944" t="s">
        <v>1475</v>
      </c>
      <c r="C462" s="1149" t="s">
        <v>1476</v>
      </c>
      <c r="D462" s="1149" t="s">
        <v>1476</v>
      </c>
      <c r="E462" s="1147" t="s">
        <v>655</v>
      </c>
      <c r="F462" s="1148">
        <v>6</v>
      </c>
      <c r="G462" s="1116">
        <v>9000000</v>
      </c>
      <c r="H462" s="1117">
        <v>0.1</v>
      </c>
      <c r="I462" s="950">
        <f t="shared" si="41"/>
        <v>54000000</v>
      </c>
      <c r="J462" s="950">
        <f t="shared" si="42"/>
        <v>9900000</v>
      </c>
      <c r="K462" s="950">
        <f t="shared" si="43"/>
        <v>59400000</v>
      </c>
      <c r="L462" s="1118" t="s">
        <v>1218</v>
      </c>
      <c r="M462" s="1129"/>
      <c r="N462" s="1130"/>
    </row>
    <row r="463" spans="1:14" ht="63" outlineLevel="1">
      <c r="A463" s="940">
        <f t="shared" si="47"/>
        <v>10</v>
      </c>
      <c r="B463" s="944" t="s">
        <v>1477</v>
      </c>
      <c r="C463" s="1149" t="s">
        <v>1478</v>
      </c>
      <c r="D463" s="1149" t="s">
        <v>1478</v>
      </c>
      <c r="E463" s="1147" t="s">
        <v>655</v>
      </c>
      <c r="F463" s="1148">
        <v>2</v>
      </c>
      <c r="G463" s="1116">
        <v>10500000</v>
      </c>
      <c r="H463" s="1117">
        <v>0.1</v>
      </c>
      <c r="I463" s="950">
        <f t="shared" si="41"/>
        <v>21000000</v>
      </c>
      <c r="J463" s="950">
        <f t="shared" si="42"/>
        <v>11550000</v>
      </c>
      <c r="K463" s="950">
        <f t="shared" si="43"/>
        <v>23100000</v>
      </c>
      <c r="L463" s="1118"/>
      <c r="M463" s="1129"/>
      <c r="N463" s="1130"/>
    </row>
    <row r="464" spans="1:14" ht="63" outlineLevel="1">
      <c r="A464" s="940">
        <f t="shared" si="47"/>
        <v>11</v>
      </c>
      <c r="B464" s="944" t="s">
        <v>1479</v>
      </c>
      <c r="C464" s="1149" t="s">
        <v>1480</v>
      </c>
      <c r="D464" s="1149" t="s">
        <v>1480</v>
      </c>
      <c r="E464" s="1147" t="s">
        <v>655</v>
      </c>
      <c r="F464" s="1148">
        <v>2</v>
      </c>
      <c r="G464" s="1116">
        <v>7200000</v>
      </c>
      <c r="H464" s="1117">
        <v>0.1</v>
      </c>
      <c r="I464" s="950">
        <f t="shared" si="41"/>
        <v>14400000</v>
      </c>
      <c r="J464" s="950">
        <f t="shared" si="42"/>
        <v>7920000</v>
      </c>
      <c r="K464" s="950">
        <f t="shared" si="43"/>
        <v>15840000</v>
      </c>
      <c r="L464" s="1118"/>
      <c r="M464" s="1129"/>
      <c r="N464" s="1130"/>
    </row>
    <row r="465" spans="1:14" ht="15.75" outlineLevel="1">
      <c r="A465" s="940">
        <f t="shared" si="47"/>
        <v>12</v>
      </c>
      <c r="B465" s="944" t="s">
        <v>1481</v>
      </c>
      <c r="C465" s="971" t="s">
        <v>1482</v>
      </c>
      <c r="D465" s="971" t="s">
        <v>1482</v>
      </c>
      <c r="E465" s="940" t="s">
        <v>655</v>
      </c>
      <c r="F465" s="962">
        <v>4</v>
      </c>
      <c r="G465" s="1116">
        <v>750000</v>
      </c>
      <c r="H465" s="1117">
        <v>0.1</v>
      </c>
      <c r="I465" s="950">
        <f t="shared" si="41"/>
        <v>3000000</v>
      </c>
      <c r="J465" s="950">
        <f t="shared" si="42"/>
        <v>825000</v>
      </c>
      <c r="K465" s="950">
        <f t="shared" si="43"/>
        <v>3300000</v>
      </c>
      <c r="L465" s="1118"/>
      <c r="M465" s="1129"/>
      <c r="N465" s="1130"/>
    </row>
    <row r="466" spans="1:14" ht="47.25" outlineLevel="1">
      <c r="A466" s="940">
        <f t="shared" si="47"/>
        <v>13</v>
      </c>
      <c r="B466" s="944" t="s">
        <v>1483</v>
      </c>
      <c r="C466" s="1012" t="s">
        <v>1484</v>
      </c>
      <c r="D466" s="1012" t="s">
        <v>1484</v>
      </c>
      <c r="E466" s="961" t="s">
        <v>624</v>
      </c>
      <c r="F466" s="962">
        <v>620</v>
      </c>
      <c r="G466" s="1116">
        <v>180000</v>
      </c>
      <c r="H466" s="1117">
        <v>0.1</v>
      </c>
      <c r="I466" s="950">
        <f t="shared" si="41"/>
        <v>111600000</v>
      </c>
      <c r="J466" s="950">
        <f t="shared" si="42"/>
        <v>198000</v>
      </c>
      <c r="K466" s="950">
        <f t="shared" si="43"/>
        <v>122760000</v>
      </c>
      <c r="L466" s="1118"/>
      <c r="M466" s="1129"/>
      <c r="N466" s="1130"/>
    </row>
    <row r="467" spans="1:14" ht="126" outlineLevel="1">
      <c r="A467" s="940">
        <f t="shared" si="47"/>
        <v>14</v>
      </c>
      <c r="B467" s="944" t="s">
        <v>1485</v>
      </c>
      <c r="C467" s="1115" t="s">
        <v>1486</v>
      </c>
      <c r="D467" s="1115" t="s">
        <v>1486</v>
      </c>
      <c r="E467" s="1147" t="s">
        <v>655</v>
      </c>
      <c r="F467" s="1148">
        <v>1</v>
      </c>
      <c r="G467" s="1116">
        <v>13200000</v>
      </c>
      <c r="H467" s="1117">
        <v>0.1</v>
      </c>
      <c r="I467" s="950">
        <f t="shared" si="41"/>
        <v>13200000</v>
      </c>
      <c r="J467" s="950">
        <f t="shared" si="42"/>
        <v>14520000</v>
      </c>
      <c r="K467" s="950">
        <f t="shared" si="43"/>
        <v>14520000</v>
      </c>
      <c r="L467" s="1118"/>
      <c r="M467" s="1129"/>
      <c r="N467" s="1130"/>
    </row>
    <row r="468" spans="1:14" ht="126" outlineLevel="1">
      <c r="A468" s="940">
        <f t="shared" si="47"/>
        <v>15</v>
      </c>
      <c r="B468" s="944" t="s">
        <v>1487</v>
      </c>
      <c r="C468" s="1149" t="s">
        <v>1488</v>
      </c>
      <c r="D468" s="1149" t="s">
        <v>1488</v>
      </c>
      <c r="E468" s="940" t="s">
        <v>655</v>
      </c>
      <c r="F468" s="962">
        <v>2</v>
      </c>
      <c r="G468" s="1116">
        <v>8400000</v>
      </c>
      <c r="H468" s="1117">
        <v>0.1</v>
      </c>
      <c r="I468" s="950">
        <f t="shared" si="41"/>
        <v>16800000</v>
      </c>
      <c r="J468" s="950">
        <f t="shared" si="42"/>
        <v>9240000</v>
      </c>
      <c r="K468" s="950">
        <f t="shared" si="43"/>
        <v>18480000</v>
      </c>
      <c r="L468" s="1118"/>
      <c r="M468" s="1129"/>
      <c r="N468" s="1130"/>
    </row>
    <row r="469" spans="1:14" ht="110.25" outlineLevel="1">
      <c r="A469" s="940">
        <f t="shared" si="47"/>
        <v>16</v>
      </c>
      <c r="B469" s="944" t="s">
        <v>1489</v>
      </c>
      <c r="C469" s="1012" t="s">
        <v>1490</v>
      </c>
      <c r="D469" s="1012" t="s">
        <v>1490</v>
      </c>
      <c r="E469" s="940" t="s">
        <v>655</v>
      </c>
      <c r="F469" s="962">
        <v>1</v>
      </c>
      <c r="G469" s="1116">
        <v>12500000</v>
      </c>
      <c r="H469" s="1117">
        <v>0.1</v>
      </c>
      <c r="I469" s="950">
        <f t="shared" si="41"/>
        <v>12500000</v>
      </c>
      <c r="J469" s="950">
        <f t="shared" si="42"/>
        <v>13750000</v>
      </c>
      <c r="K469" s="950">
        <f t="shared" si="43"/>
        <v>13750000</v>
      </c>
      <c r="L469" s="1118"/>
      <c r="M469" s="1129"/>
      <c r="N469" s="1130"/>
    </row>
    <row r="470" spans="1:14" ht="110.25" outlineLevel="1">
      <c r="A470" s="940">
        <f t="shared" si="47"/>
        <v>17</v>
      </c>
      <c r="B470" s="944" t="s">
        <v>1491</v>
      </c>
      <c r="C470" s="1149" t="s">
        <v>1492</v>
      </c>
      <c r="D470" s="1149" t="s">
        <v>1492</v>
      </c>
      <c r="E470" s="940" t="s">
        <v>655</v>
      </c>
      <c r="F470" s="962">
        <v>2</v>
      </c>
      <c r="G470" s="1116">
        <v>11250000</v>
      </c>
      <c r="H470" s="1117">
        <v>0.1</v>
      </c>
      <c r="I470" s="950">
        <f t="shared" si="41"/>
        <v>22500000</v>
      </c>
      <c r="J470" s="950">
        <f t="shared" si="42"/>
        <v>12375000</v>
      </c>
      <c r="K470" s="950">
        <f t="shared" si="43"/>
        <v>24750000</v>
      </c>
      <c r="L470" s="1118" t="s">
        <v>1218</v>
      </c>
      <c r="M470" s="1129"/>
      <c r="N470" s="1130"/>
    </row>
    <row r="471" spans="1:14" ht="63" outlineLevel="1">
      <c r="A471" s="940">
        <f t="shared" si="47"/>
        <v>18</v>
      </c>
      <c r="B471" s="944" t="s">
        <v>1493</v>
      </c>
      <c r="C471" s="1205" t="s">
        <v>1494</v>
      </c>
      <c r="D471" s="1205" t="s">
        <v>1494</v>
      </c>
      <c r="E471" s="940" t="s">
        <v>655</v>
      </c>
      <c r="F471" s="962">
        <v>30</v>
      </c>
      <c r="G471" s="1116">
        <v>600000</v>
      </c>
      <c r="H471" s="1117">
        <v>0.1</v>
      </c>
      <c r="I471" s="950">
        <f t="shared" si="41"/>
        <v>18000000</v>
      </c>
      <c r="J471" s="950">
        <f t="shared" si="42"/>
        <v>660000</v>
      </c>
      <c r="K471" s="950">
        <f t="shared" si="43"/>
        <v>19800000</v>
      </c>
      <c r="L471" s="1118"/>
      <c r="M471" s="1129"/>
      <c r="N471" s="1130"/>
    </row>
    <row r="472" spans="1:14" ht="16.5" outlineLevel="1">
      <c r="A472" s="940">
        <f t="shared" si="47"/>
        <v>19</v>
      </c>
      <c r="B472" s="944" t="s">
        <v>1495</v>
      </c>
      <c r="C472" s="944" t="s">
        <v>1496</v>
      </c>
      <c r="D472" s="944" t="s">
        <v>1496</v>
      </c>
      <c r="E472" s="940" t="s">
        <v>655</v>
      </c>
      <c r="F472" s="962">
        <v>12</v>
      </c>
      <c r="G472" s="1156">
        <v>380000</v>
      </c>
      <c r="H472" s="1117">
        <v>0.1</v>
      </c>
      <c r="I472" s="950">
        <f t="shared" si="41"/>
        <v>4560000</v>
      </c>
      <c r="J472" s="950">
        <f t="shared" si="42"/>
        <v>418000</v>
      </c>
      <c r="K472" s="950">
        <f t="shared" si="43"/>
        <v>5016000</v>
      </c>
      <c r="L472" s="1118"/>
      <c r="M472" s="1129"/>
      <c r="N472" s="1130"/>
    </row>
    <row r="473" spans="1:14" ht="16.5" outlineLevel="1">
      <c r="A473" s="940">
        <f t="shared" si="47"/>
        <v>20</v>
      </c>
      <c r="B473" s="944" t="s">
        <v>1497</v>
      </c>
      <c r="C473" s="944" t="s">
        <v>1498</v>
      </c>
      <c r="D473" s="944" t="s">
        <v>1498</v>
      </c>
      <c r="E473" s="940" t="s">
        <v>655</v>
      </c>
      <c r="F473" s="962">
        <v>2</v>
      </c>
      <c r="G473" s="1156">
        <v>1200000</v>
      </c>
      <c r="H473" s="1117">
        <v>0.1</v>
      </c>
      <c r="I473" s="950">
        <f t="shared" si="41"/>
        <v>2400000</v>
      </c>
      <c r="J473" s="950">
        <f t="shared" si="42"/>
        <v>1320000</v>
      </c>
      <c r="K473" s="950">
        <f t="shared" si="43"/>
        <v>2640000</v>
      </c>
      <c r="L473" s="1118"/>
      <c r="M473" s="1129"/>
      <c r="N473" s="1130"/>
    </row>
    <row r="474" spans="1:14" ht="16.5" outlineLevel="1">
      <c r="A474" s="940">
        <f t="shared" si="47"/>
        <v>21</v>
      </c>
      <c r="B474" s="944" t="s">
        <v>1499</v>
      </c>
      <c r="C474" s="944" t="s">
        <v>1500</v>
      </c>
      <c r="D474" s="944" t="s">
        <v>1500</v>
      </c>
      <c r="E474" s="940" t="s">
        <v>655</v>
      </c>
      <c r="F474" s="962">
        <v>2</v>
      </c>
      <c r="G474" s="1156">
        <v>750000</v>
      </c>
      <c r="H474" s="1117">
        <v>0.1</v>
      </c>
      <c r="I474" s="950">
        <f t="shared" si="41"/>
        <v>1500000</v>
      </c>
      <c r="J474" s="950">
        <f t="shared" si="42"/>
        <v>825000</v>
      </c>
      <c r="K474" s="950">
        <f t="shared" si="43"/>
        <v>1650000</v>
      </c>
      <c r="L474" s="1118"/>
      <c r="M474" s="1129"/>
      <c r="N474" s="1130"/>
    </row>
    <row r="475" spans="1:14" ht="16.5" outlineLevel="1">
      <c r="A475" s="940">
        <f t="shared" si="47"/>
        <v>22</v>
      </c>
      <c r="B475" s="944" t="s">
        <v>1501</v>
      </c>
      <c r="C475" s="944" t="s">
        <v>1502</v>
      </c>
      <c r="D475" s="944" t="s">
        <v>1502</v>
      </c>
      <c r="E475" s="940" t="s">
        <v>655</v>
      </c>
      <c r="F475" s="962">
        <v>3</v>
      </c>
      <c r="G475" s="1156">
        <v>480000</v>
      </c>
      <c r="H475" s="1117">
        <v>0.1</v>
      </c>
      <c r="I475" s="950">
        <f t="shared" si="41"/>
        <v>1440000</v>
      </c>
      <c r="J475" s="950">
        <f t="shared" si="42"/>
        <v>528000</v>
      </c>
      <c r="K475" s="950">
        <f t="shared" si="43"/>
        <v>1584000</v>
      </c>
      <c r="L475" s="1118"/>
      <c r="M475" s="1129"/>
      <c r="N475" s="1130"/>
    </row>
    <row r="476" spans="1:14" ht="220.5" outlineLevel="1">
      <c r="A476" s="940">
        <f t="shared" si="47"/>
        <v>23</v>
      </c>
      <c r="B476" s="944" t="s">
        <v>1503</v>
      </c>
      <c r="C476" s="1012" t="s">
        <v>1504</v>
      </c>
      <c r="D476" s="1012" t="s">
        <v>1504</v>
      </c>
      <c r="E476" s="961" t="s">
        <v>627</v>
      </c>
      <c r="F476" s="962">
        <v>1</v>
      </c>
      <c r="G476" s="1116">
        <v>45617000</v>
      </c>
      <c r="H476" s="1117">
        <v>0.1</v>
      </c>
      <c r="I476" s="950">
        <f t="shared" si="41"/>
        <v>45617000</v>
      </c>
      <c r="J476" s="950">
        <f t="shared" si="42"/>
        <v>50178700</v>
      </c>
      <c r="K476" s="950">
        <f t="shared" si="43"/>
        <v>50178700</v>
      </c>
      <c r="L476" s="1118"/>
      <c r="M476" s="1129"/>
      <c r="N476" s="1130"/>
    </row>
    <row r="477" spans="1:14" ht="204.75" outlineLevel="1">
      <c r="A477" s="940">
        <f t="shared" si="47"/>
        <v>24</v>
      </c>
      <c r="B477" s="944" t="s">
        <v>1505</v>
      </c>
      <c r="C477" s="1149" t="s">
        <v>1506</v>
      </c>
      <c r="D477" s="1149" t="s">
        <v>1506</v>
      </c>
      <c r="E477" s="1147" t="s">
        <v>655</v>
      </c>
      <c r="F477" s="1148">
        <v>1</v>
      </c>
      <c r="G477" s="1116">
        <v>51840000</v>
      </c>
      <c r="H477" s="1117">
        <v>0.1</v>
      </c>
      <c r="I477" s="950">
        <f t="shared" si="41"/>
        <v>51840000</v>
      </c>
      <c r="J477" s="950">
        <f t="shared" si="42"/>
        <v>57024000</v>
      </c>
      <c r="K477" s="950">
        <f t="shared" si="43"/>
        <v>57024000</v>
      </c>
      <c r="L477" s="1118"/>
      <c r="M477" s="1129"/>
      <c r="N477" s="1130"/>
    </row>
    <row r="478" spans="1:14" ht="81.75" customHeight="1" outlineLevel="1">
      <c r="A478" s="940">
        <f t="shared" si="47"/>
        <v>25</v>
      </c>
      <c r="B478" s="944" t="s">
        <v>1507</v>
      </c>
      <c r="C478" s="966" t="s">
        <v>1508</v>
      </c>
      <c r="D478" s="966" t="s">
        <v>1508</v>
      </c>
      <c r="E478" s="940" t="s">
        <v>1466</v>
      </c>
      <c r="F478" s="962">
        <v>1</v>
      </c>
      <c r="G478" s="1116">
        <v>10000000</v>
      </c>
      <c r="H478" s="1117">
        <v>0.1</v>
      </c>
      <c r="I478" s="950">
        <f t="shared" si="41"/>
        <v>10000000</v>
      </c>
      <c r="J478" s="950">
        <f t="shared" si="42"/>
        <v>11000000</v>
      </c>
      <c r="K478" s="950">
        <f t="shared" si="43"/>
        <v>11000000</v>
      </c>
      <c r="L478" s="1118"/>
      <c r="M478" s="1129"/>
      <c r="N478" s="1130"/>
    </row>
    <row r="479" spans="1:14" ht="78.75" outlineLevel="1">
      <c r="A479" s="940">
        <f t="shared" si="47"/>
        <v>26</v>
      </c>
      <c r="B479" s="944" t="s">
        <v>1509</v>
      </c>
      <c r="C479" s="944" t="s">
        <v>1510</v>
      </c>
      <c r="D479" s="944" t="s">
        <v>1510</v>
      </c>
      <c r="E479" s="961" t="s">
        <v>1466</v>
      </c>
      <c r="F479" s="962">
        <v>1</v>
      </c>
      <c r="G479" s="1116">
        <v>5000000</v>
      </c>
      <c r="H479" s="1117">
        <v>0.1</v>
      </c>
      <c r="I479" s="950">
        <f t="shared" si="41"/>
        <v>5000000</v>
      </c>
      <c r="J479" s="950">
        <f t="shared" si="42"/>
        <v>5500000</v>
      </c>
      <c r="K479" s="950">
        <f t="shared" si="43"/>
        <v>5500000</v>
      </c>
      <c r="L479" s="1118"/>
      <c r="M479" s="1129"/>
      <c r="N479" s="1130"/>
    </row>
    <row r="480" spans="1:14" ht="78.75" outlineLevel="1">
      <c r="A480" s="940">
        <f t="shared" si="47"/>
        <v>27</v>
      </c>
      <c r="B480" s="944" t="s">
        <v>1511</v>
      </c>
      <c r="C480" s="1115" t="s">
        <v>1512</v>
      </c>
      <c r="D480" s="1115" t="s">
        <v>1512</v>
      </c>
      <c r="E480" s="961" t="s">
        <v>627</v>
      </c>
      <c r="F480" s="962">
        <v>1</v>
      </c>
      <c r="G480" s="1116">
        <v>9087000</v>
      </c>
      <c r="H480" s="1117">
        <v>0.1</v>
      </c>
      <c r="I480" s="950">
        <f t="shared" ref="I480:I498" si="48">F480*G480</f>
        <v>9087000</v>
      </c>
      <c r="J480" s="950">
        <f t="shared" ref="J480:J498" si="49">+ROUND(G480*1.1,0)</f>
        <v>9995700</v>
      </c>
      <c r="K480" s="950">
        <f t="shared" ref="K480:K498" si="50">+ROUND(J480*F480,0)</f>
        <v>9995700</v>
      </c>
      <c r="L480" s="1118"/>
      <c r="M480" s="1129"/>
      <c r="N480" s="1130"/>
    </row>
    <row r="481" spans="1:14" ht="78.75" outlineLevel="1">
      <c r="A481" s="940">
        <f t="shared" si="47"/>
        <v>28</v>
      </c>
      <c r="B481" s="944" t="s">
        <v>1513</v>
      </c>
      <c r="C481" s="1138" t="s">
        <v>1514</v>
      </c>
      <c r="D481" s="1138" t="s">
        <v>1514</v>
      </c>
      <c r="E481" s="1147" t="s">
        <v>655</v>
      </c>
      <c r="F481" s="1148">
        <v>2</v>
      </c>
      <c r="G481" s="1116">
        <v>16000000</v>
      </c>
      <c r="H481" s="1117">
        <v>0.1</v>
      </c>
      <c r="I481" s="950">
        <f t="shared" si="48"/>
        <v>32000000</v>
      </c>
      <c r="J481" s="950">
        <f t="shared" si="49"/>
        <v>17600000</v>
      </c>
      <c r="K481" s="950">
        <f t="shared" si="50"/>
        <v>35200000</v>
      </c>
      <c r="L481" s="1118"/>
      <c r="M481" s="1129"/>
      <c r="N481" s="1130"/>
    </row>
    <row r="482" spans="1:14" ht="110.25" outlineLevel="1">
      <c r="A482" s="940">
        <f t="shared" si="47"/>
        <v>29</v>
      </c>
      <c r="B482" s="944" t="s">
        <v>1515</v>
      </c>
      <c r="C482" s="1138" t="s">
        <v>1516</v>
      </c>
      <c r="D482" s="1138" t="s">
        <v>1516</v>
      </c>
      <c r="E482" s="1147" t="s">
        <v>655</v>
      </c>
      <c r="F482" s="1148">
        <v>2</v>
      </c>
      <c r="G482" s="1116">
        <v>13860000</v>
      </c>
      <c r="H482" s="1117">
        <v>0.1</v>
      </c>
      <c r="I482" s="950">
        <f t="shared" si="48"/>
        <v>27720000</v>
      </c>
      <c r="J482" s="950">
        <f t="shared" si="49"/>
        <v>15246000</v>
      </c>
      <c r="K482" s="950">
        <f t="shared" si="50"/>
        <v>30492000</v>
      </c>
      <c r="L482" s="1118"/>
      <c r="M482" s="1129"/>
      <c r="N482" s="1130"/>
    </row>
    <row r="483" spans="1:14" ht="110.25" outlineLevel="1">
      <c r="A483" s="940">
        <f t="shared" si="47"/>
        <v>30</v>
      </c>
      <c r="B483" s="944" t="s">
        <v>1517</v>
      </c>
      <c r="C483" s="1149" t="s">
        <v>1518</v>
      </c>
      <c r="D483" s="1149" t="s">
        <v>1518</v>
      </c>
      <c r="E483" s="1147" t="s">
        <v>680</v>
      </c>
      <c r="F483" s="1148">
        <v>2</v>
      </c>
      <c r="G483" s="1116">
        <v>4000000</v>
      </c>
      <c r="H483" s="1117">
        <v>0.1</v>
      </c>
      <c r="I483" s="950">
        <f t="shared" si="48"/>
        <v>8000000</v>
      </c>
      <c r="J483" s="950">
        <f t="shared" si="49"/>
        <v>4400000</v>
      </c>
      <c r="K483" s="950">
        <f t="shared" si="50"/>
        <v>8800000</v>
      </c>
      <c r="L483" s="1118"/>
      <c r="M483" s="1129"/>
      <c r="N483" s="1130"/>
    </row>
    <row r="484" spans="1:14" ht="16.5" outlineLevel="1">
      <c r="A484" s="940">
        <f t="shared" si="47"/>
        <v>31</v>
      </c>
      <c r="B484" s="944" t="s">
        <v>1519</v>
      </c>
      <c r="C484" s="1012" t="s">
        <v>1520</v>
      </c>
      <c r="D484" s="1012" t="s">
        <v>1520</v>
      </c>
      <c r="E484" s="1147" t="s">
        <v>655</v>
      </c>
      <c r="F484" s="1148">
        <v>5</v>
      </c>
      <c r="G484" s="1156" t="s">
        <v>1521</v>
      </c>
      <c r="H484" s="1117">
        <v>0.1</v>
      </c>
      <c r="I484" s="950">
        <f t="shared" si="48"/>
        <v>3450000</v>
      </c>
      <c r="J484" s="950">
        <f t="shared" si="49"/>
        <v>759000</v>
      </c>
      <c r="K484" s="950">
        <f t="shared" si="50"/>
        <v>3795000</v>
      </c>
      <c r="L484" s="1118"/>
      <c r="M484" s="1129"/>
      <c r="N484" s="1130"/>
    </row>
    <row r="485" spans="1:14" ht="16.5" outlineLevel="1">
      <c r="A485" s="940">
        <f t="shared" si="47"/>
        <v>32</v>
      </c>
      <c r="B485" s="944" t="s">
        <v>1522</v>
      </c>
      <c r="C485" s="971" t="s">
        <v>1523</v>
      </c>
      <c r="D485" s="971" t="s">
        <v>1523</v>
      </c>
      <c r="E485" s="940" t="s">
        <v>655</v>
      </c>
      <c r="F485" s="962">
        <v>1</v>
      </c>
      <c r="G485" s="1156">
        <v>650000</v>
      </c>
      <c r="H485" s="1117">
        <v>0.1</v>
      </c>
      <c r="I485" s="950">
        <f t="shared" si="48"/>
        <v>650000</v>
      </c>
      <c r="J485" s="950">
        <f t="shared" si="49"/>
        <v>715000</v>
      </c>
      <c r="K485" s="950">
        <f t="shared" si="50"/>
        <v>715000</v>
      </c>
      <c r="L485" s="1118"/>
      <c r="M485" s="1129"/>
      <c r="N485" s="1130"/>
    </row>
    <row r="486" spans="1:14" ht="16.5" outlineLevel="1">
      <c r="A486" s="940">
        <f t="shared" si="47"/>
        <v>33</v>
      </c>
      <c r="B486" s="944" t="s">
        <v>1522</v>
      </c>
      <c r="C486" s="971" t="s">
        <v>1524</v>
      </c>
      <c r="D486" s="971" t="s">
        <v>1524</v>
      </c>
      <c r="E486" s="940" t="s">
        <v>655</v>
      </c>
      <c r="F486" s="962">
        <v>1</v>
      </c>
      <c r="G486" s="1156">
        <v>1240000</v>
      </c>
      <c r="H486" s="1117">
        <v>0.1</v>
      </c>
      <c r="I486" s="950">
        <f t="shared" si="48"/>
        <v>1240000</v>
      </c>
      <c r="J486" s="950">
        <f t="shared" si="49"/>
        <v>1364000</v>
      </c>
      <c r="K486" s="950">
        <f t="shared" si="50"/>
        <v>1364000</v>
      </c>
      <c r="L486" s="1118"/>
      <c r="M486" s="1129"/>
      <c r="N486" s="1130"/>
    </row>
    <row r="487" spans="1:14" ht="47.25" outlineLevel="1">
      <c r="A487" s="940">
        <f t="shared" si="47"/>
        <v>34</v>
      </c>
      <c r="B487" s="944" t="s">
        <v>1525</v>
      </c>
      <c r="C487" s="1138" t="s">
        <v>1526</v>
      </c>
      <c r="D487" s="1138" t="s">
        <v>1526</v>
      </c>
      <c r="E487" s="1147" t="s">
        <v>680</v>
      </c>
      <c r="F487" s="1148">
        <v>1</v>
      </c>
      <c r="G487" s="1156">
        <v>5640000</v>
      </c>
      <c r="H487" s="1117">
        <v>0.1</v>
      </c>
      <c r="I487" s="950">
        <f t="shared" si="48"/>
        <v>5640000</v>
      </c>
      <c r="J487" s="950">
        <f t="shared" si="49"/>
        <v>6204000</v>
      </c>
      <c r="K487" s="950">
        <f t="shared" si="50"/>
        <v>6204000</v>
      </c>
      <c r="L487" s="1118"/>
      <c r="M487" s="1129"/>
      <c r="N487" s="1130"/>
    </row>
    <row r="488" spans="1:14" ht="39" customHeight="1" outlineLevel="1">
      <c r="A488" s="940">
        <f t="shared" si="47"/>
        <v>35</v>
      </c>
      <c r="B488" s="944" t="s">
        <v>1527</v>
      </c>
      <c r="C488" s="1115" t="s">
        <v>1528</v>
      </c>
      <c r="D488" s="1115" t="s">
        <v>1528</v>
      </c>
      <c r="E488" s="1147" t="s">
        <v>680</v>
      </c>
      <c r="F488" s="1148">
        <v>1</v>
      </c>
      <c r="G488" s="1116">
        <v>3000000</v>
      </c>
      <c r="H488" s="1117">
        <v>0.1</v>
      </c>
      <c r="I488" s="950">
        <f t="shared" si="48"/>
        <v>3000000</v>
      </c>
      <c r="J488" s="950">
        <f t="shared" si="49"/>
        <v>3300000</v>
      </c>
      <c r="K488" s="950">
        <f t="shared" si="50"/>
        <v>3300000</v>
      </c>
      <c r="L488" s="1118"/>
      <c r="M488" s="1129"/>
      <c r="N488" s="1130"/>
    </row>
    <row r="489" spans="1:14" ht="16.5" outlineLevel="1">
      <c r="A489" s="940">
        <f t="shared" si="47"/>
        <v>36</v>
      </c>
      <c r="B489" s="944" t="s">
        <v>1047</v>
      </c>
      <c r="C489" s="971" t="s">
        <v>1529</v>
      </c>
      <c r="D489" s="971" t="s">
        <v>1529</v>
      </c>
      <c r="E489" s="940" t="s">
        <v>680</v>
      </c>
      <c r="F489" s="962">
        <v>1</v>
      </c>
      <c r="G489" s="1156" t="s">
        <v>1530</v>
      </c>
      <c r="H489" s="1117">
        <v>0.1</v>
      </c>
      <c r="I489" s="950">
        <f t="shared" si="48"/>
        <v>680000</v>
      </c>
      <c r="J489" s="950">
        <f t="shared" si="49"/>
        <v>748000</v>
      </c>
      <c r="K489" s="950">
        <f t="shared" si="50"/>
        <v>748000</v>
      </c>
      <c r="L489" s="1118"/>
      <c r="M489" s="1129"/>
      <c r="N489" s="1130"/>
    </row>
    <row r="490" spans="1:14" ht="16.5" outlineLevel="1">
      <c r="A490" s="940">
        <f t="shared" si="47"/>
        <v>37</v>
      </c>
      <c r="B490" s="944" t="s">
        <v>1531</v>
      </c>
      <c r="C490" s="971" t="s">
        <v>1532</v>
      </c>
      <c r="D490" s="971" t="s">
        <v>1532</v>
      </c>
      <c r="E490" s="940" t="s">
        <v>655</v>
      </c>
      <c r="F490" s="962">
        <v>10</v>
      </c>
      <c r="G490" s="1156" t="s">
        <v>1533</v>
      </c>
      <c r="H490" s="1117">
        <v>0.1</v>
      </c>
      <c r="I490" s="950">
        <f t="shared" si="48"/>
        <v>2300000</v>
      </c>
      <c r="J490" s="950">
        <f t="shared" si="49"/>
        <v>253000</v>
      </c>
      <c r="K490" s="950">
        <f t="shared" si="50"/>
        <v>2530000</v>
      </c>
      <c r="L490" s="1118"/>
      <c r="M490" s="1129"/>
      <c r="N490" s="1130"/>
    </row>
    <row r="491" spans="1:14" ht="16.5" outlineLevel="1">
      <c r="A491" s="940">
        <f t="shared" si="47"/>
        <v>38</v>
      </c>
      <c r="B491" s="944" t="s">
        <v>1534</v>
      </c>
      <c r="C491" s="971" t="s">
        <v>1532</v>
      </c>
      <c r="D491" s="971" t="s">
        <v>1532</v>
      </c>
      <c r="E491" s="940" t="s">
        <v>655</v>
      </c>
      <c r="F491" s="962">
        <v>10</v>
      </c>
      <c r="G491" s="1156" t="s">
        <v>1533</v>
      </c>
      <c r="H491" s="1117">
        <v>0.1</v>
      </c>
      <c r="I491" s="950">
        <f t="shared" si="48"/>
        <v>2300000</v>
      </c>
      <c r="J491" s="950">
        <f t="shared" si="49"/>
        <v>253000</v>
      </c>
      <c r="K491" s="950">
        <f t="shared" si="50"/>
        <v>2530000</v>
      </c>
      <c r="L491" s="1118" t="s">
        <v>1535</v>
      </c>
      <c r="M491" s="1129"/>
      <c r="N491" s="1130"/>
    </row>
    <row r="492" spans="1:14" ht="47.25" outlineLevel="1">
      <c r="A492" s="940">
        <f t="shared" si="47"/>
        <v>39</v>
      </c>
      <c r="B492" s="944" t="s">
        <v>1536</v>
      </c>
      <c r="C492" s="1149" t="s">
        <v>1537</v>
      </c>
      <c r="D492" s="1149" t="s">
        <v>1537</v>
      </c>
      <c r="E492" s="1147" t="s">
        <v>680</v>
      </c>
      <c r="F492" s="1148">
        <v>1</v>
      </c>
      <c r="G492" s="1116">
        <v>5400000</v>
      </c>
      <c r="H492" s="1117">
        <v>0.1</v>
      </c>
      <c r="I492" s="950">
        <f t="shared" si="48"/>
        <v>5400000</v>
      </c>
      <c r="J492" s="950">
        <f t="shared" si="49"/>
        <v>5940000</v>
      </c>
      <c r="K492" s="950">
        <f t="shared" si="50"/>
        <v>5940000</v>
      </c>
      <c r="L492" s="1118"/>
      <c r="M492" s="1129"/>
      <c r="N492" s="1130"/>
    </row>
    <row r="493" spans="1:14" ht="31.5" outlineLevel="1">
      <c r="A493" s="940">
        <f t="shared" si="47"/>
        <v>40</v>
      </c>
      <c r="B493" s="944" t="s">
        <v>1538</v>
      </c>
      <c r="C493" s="944" t="s">
        <v>1539</v>
      </c>
      <c r="D493" s="944" t="s">
        <v>1539</v>
      </c>
      <c r="E493" s="940" t="s">
        <v>680</v>
      </c>
      <c r="F493" s="962">
        <v>1</v>
      </c>
      <c r="G493" s="1116">
        <v>1500000</v>
      </c>
      <c r="H493" s="1117">
        <v>0.1</v>
      </c>
      <c r="I493" s="950">
        <f t="shared" si="48"/>
        <v>1500000</v>
      </c>
      <c r="J493" s="950">
        <f t="shared" si="49"/>
        <v>1650000</v>
      </c>
      <c r="K493" s="950">
        <f t="shared" si="50"/>
        <v>1650000</v>
      </c>
      <c r="L493" s="1118"/>
      <c r="M493" s="1129"/>
      <c r="N493" s="1130"/>
    </row>
    <row r="494" spans="1:14" ht="15.75" outlineLevel="1">
      <c r="A494" s="940">
        <f t="shared" si="47"/>
        <v>41</v>
      </c>
      <c r="B494" s="944" t="s">
        <v>1540</v>
      </c>
      <c r="C494" s="1012" t="s">
        <v>1541</v>
      </c>
      <c r="D494" s="1012" t="s">
        <v>1541</v>
      </c>
      <c r="E494" s="961" t="s">
        <v>627</v>
      </c>
      <c r="F494" s="962">
        <v>50</v>
      </c>
      <c r="G494" s="1116">
        <v>400000</v>
      </c>
      <c r="H494" s="1117">
        <v>0.1</v>
      </c>
      <c r="I494" s="950">
        <f t="shared" si="48"/>
        <v>20000000</v>
      </c>
      <c r="J494" s="950">
        <f t="shared" si="49"/>
        <v>440000</v>
      </c>
      <c r="K494" s="950">
        <f t="shared" si="50"/>
        <v>22000000</v>
      </c>
      <c r="L494" s="1118"/>
      <c r="M494" s="1129"/>
      <c r="N494" s="1130"/>
    </row>
    <row r="495" spans="1:14" ht="15.75" outlineLevel="1">
      <c r="A495" s="940">
        <f t="shared" si="47"/>
        <v>42</v>
      </c>
      <c r="B495" s="944" t="s">
        <v>1542</v>
      </c>
      <c r="C495" s="944" t="s">
        <v>1543</v>
      </c>
      <c r="D495" s="944" t="s">
        <v>1543</v>
      </c>
      <c r="E495" s="940" t="s">
        <v>655</v>
      </c>
      <c r="F495" s="962">
        <v>10</v>
      </c>
      <c r="G495" s="1116">
        <v>200000</v>
      </c>
      <c r="H495" s="1117">
        <v>0.1</v>
      </c>
      <c r="I495" s="950">
        <f t="shared" si="48"/>
        <v>2000000</v>
      </c>
      <c r="J495" s="950">
        <f t="shared" si="49"/>
        <v>220000</v>
      </c>
      <c r="K495" s="950">
        <f t="shared" si="50"/>
        <v>2200000</v>
      </c>
      <c r="L495" s="1118"/>
      <c r="M495" s="1129"/>
      <c r="N495" s="1130"/>
    </row>
    <row r="496" spans="1:14" ht="15.75">
      <c r="A496" s="940">
        <v>40</v>
      </c>
      <c r="B496" s="987" t="s">
        <v>1544</v>
      </c>
      <c r="C496" s="942"/>
      <c r="D496" s="942"/>
      <c r="E496" s="968"/>
      <c r="F496" s="1026"/>
      <c r="G496" s="1116"/>
      <c r="H496" s="1117"/>
      <c r="I496" s="950">
        <f t="shared" si="48"/>
        <v>0</v>
      </c>
      <c r="J496" s="950">
        <f t="shared" si="49"/>
        <v>0</v>
      </c>
      <c r="K496" s="950">
        <f t="shared" si="50"/>
        <v>0</v>
      </c>
      <c r="L496" s="1118"/>
      <c r="M496" s="1129"/>
      <c r="N496" s="1130"/>
    </row>
    <row r="497" spans="1:14" ht="78.75" outlineLevel="1">
      <c r="A497" s="940">
        <v>1</v>
      </c>
      <c r="B497" s="944" t="s">
        <v>1545</v>
      </c>
      <c r="C497" s="971" t="s">
        <v>1546</v>
      </c>
      <c r="D497" s="971" t="s">
        <v>1546</v>
      </c>
      <c r="E497" s="940" t="s">
        <v>680</v>
      </c>
      <c r="F497" s="962">
        <v>1</v>
      </c>
      <c r="G497" s="1116">
        <v>80000000</v>
      </c>
      <c r="H497" s="1117">
        <v>0.1</v>
      </c>
      <c r="I497" s="950">
        <f t="shared" si="48"/>
        <v>80000000</v>
      </c>
      <c r="J497" s="950">
        <f t="shared" si="49"/>
        <v>88000000</v>
      </c>
      <c r="K497" s="950">
        <f t="shared" si="50"/>
        <v>88000000</v>
      </c>
      <c r="L497" s="1118"/>
      <c r="M497" s="1129"/>
      <c r="N497" s="1130"/>
    </row>
    <row r="498" spans="1:14" ht="94.5" outlineLevel="1">
      <c r="A498" s="940">
        <f>A497+1</f>
        <v>2</v>
      </c>
      <c r="B498" s="1087" t="s">
        <v>1547</v>
      </c>
      <c r="C498" s="953" t="s">
        <v>1548</v>
      </c>
      <c r="D498" s="953" t="s">
        <v>1548</v>
      </c>
      <c r="E498" s="940" t="s">
        <v>627</v>
      </c>
      <c r="F498" s="962">
        <v>1</v>
      </c>
      <c r="G498" s="1116">
        <v>3500000</v>
      </c>
      <c r="H498" s="1117">
        <v>0.1</v>
      </c>
      <c r="I498" s="950">
        <f t="shared" si="48"/>
        <v>3500000</v>
      </c>
      <c r="J498" s="950">
        <f t="shared" si="49"/>
        <v>3850000</v>
      </c>
      <c r="K498" s="950">
        <f t="shared" si="50"/>
        <v>3850000</v>
      </c>
      <c r="L498" s="1118"/>
      <c r="M498" s="1129"/>
      <c r="N498" s="1130"/>
    </row>
    <row r="499" spans="1:14" s="1209" customFormat="1" ht="17.25">
      <c r="A499" s="1088"/>
      <c r="B499" s="1705" t="s">
        <v>357</v>
      </c>
      <c r="C499" s="1706"/>
      <c r="D499" s="1206"/>
      <c r="E499" s="1088"/>
      <c r="F499" s="1089"/>
      <c r="G499" s="1090"/>
      <c r="H499" s="1089"/>
      <c r="I499" s="1207">
        <f>SUM(I10:I498)</f>
        <v>11353857000</v>
      </c>
      <c r="J499" s="1207"/>
      <c r="K499" s="1207">
        <f>SUM(K10:K498)</f>
        <v>12415321200</v>
      </c>
      <c r="L499" s="1208"/>
      <c r="N499" s="1210"/>
    </row>
    <row r="501" spans="1:14" hidden="1">
      <c r="I501" s="1214"/>
      <c r="J501" s="1214"/>
    </row>
    <row r="502" spans="1:14" hidden="1"/>
    <row r="503" spans="1:14" hidden="1"/>
    <row r="504" spans="1:14" hidden="1"/>
    <row r="505" spans="1:14" hidden="1">
      <c r="C505" s="1215" t="s">
        <v>1549</v>
      </c>
      <c r="D505" s="1215"/>
    </row>
    <row r="506" spans="1:14" hidden="1">
      <c r="C506" s="1215" t="s">
        <v>1550</v>
      </c>
      <c r="D506" s="1215"/>
    </row>
    <row r="507" spans="1:14" hidden="1">
      <c r="C507" s="1215"/>
    </row>
    <row r="508" spans="1:14" hidden="1"/>
  </sheetData>
  <autoFilter ref="A7:WUU499" xr:uid="{00000000-0009-0000-0000-000059000000}"/>
  <mergeCells count="16">
    <mergeCell ref="B499:C499"/>
    <mergeCell ref="A3:K3"/>
    <mergeCell ref="A4:K4"/>
    <mergeCell ref="A5:K5"/>
    <mergeCell ref="E12:E13"/>
    <mergeCell ref="F12:F13"/>
    <mergeCell ref="A63:A64"/>
    <mergeCell ref="B63:B64"/>
    <mergeCell ref="D63:D64"/>
    <mergeCell ref="E63:E64"/>
    <mergeCell ref="F63:F64"/>
    <mergeCell ref="G63:G64"/>
    <mergeCell ref="H63:H64"/>
    <mergeCell ref="I63:I64"/>
    <mergeCell ref="J63:J64"/>
    <mergeCell ref="K63:K64"/>
  </mergeCells>
  <pageMargins left="0.7" right="0.7" top="0.75" bottom="0.75" header="0.3" footer="0.3"/>
  <pageSetup paperSize="9" orientation="portrait" verticalDpi="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FFF00"/>
  </sheetPr>
  <dimension ref="A2:K597"/>
  <sheetViews>
    <sheetView topLeftCell="A579" zoomScale="85" zoomScaleNormal="85" workbookViewId="0">
      <selection activeCell="L596" sqref="L596"/>
    </sheetView>
  </sheetViews>
  <sheetFormatPr defaultRowHeight="15" outlineLevelRow="1"/>
  <cols>
    <col min="1" max="1" width="8.7109375" style="1094" customWidth="1"/>
    <col min="2" max="2" width="26.85546875" style="1025" customWidth="1"/>
    <col min="3" max="3" width="105.140625" style="1095" customWidth="1"/>
    <col min="4" max="4" width="9.140625" style="1096"/>
    <col min="5" max="5" width="14.7109375" style="1025" customWidth="1"/>
    <col min="6" max="6" width="18.140625" style="1097" hidden="1" customWidth="1"/>
    <col min="7" max="7" width="11.85546875" style="1097" hidden="1" customWidth="1"/>
    <col min="8" max="8" width="18.140625" style="1097" hidden="1" customWidth="1"/>
    <col min="9" max="9" width="18.140625" style="1097" customWidth="1"/>
    <col min="10" max="10" width="23.7109375" style="1097" customWidth="1"/>
    <col min="11" max="11" width="24.28515625" style="1097" hidden="1" customWidth="1"/>
    <col min="12" max="12" width="17" style="925" customWidth="1"/>
    <col min="13" max="252" width="9.140625" style="925"/>
    <col min="253" max="253" width="34.140625" style="925" customWidth="1"/>
    <col min="254" max="254" width="56.85546875" style="925" customWidth="1"/>
    <col min="255" max="255" width="59.42578125" style="925" customWidth="1"/>
    <col min="256" max="256" width="9.140625" style="925"/>
    <col min="257" max="258" width="11.85546875" style="925" customWidth="1"/>
    <col min="259" max="259" width="18.140625" style="925" customWidth="1"/>
    <col min="260" max="260" width="17.85546875" style="925" customWidth="1"/>
    <col min="261" max="261" width="15.28515625" style="925" customWidth="1"/>
    <col min="262" max="263" width="17.85546875" style="925" customWidth="1"/>
    <col min="264" max="266" width="17.5703125" style="925" customWidth="1"/>
    <col min="267" max="508" width="9.140625" style="925"/>
    <col min="509" max="509" width="34.140625" style="925" customWidth="1"/>
    <col min="510" max="510" width="56.85546875" style="925" customWidth="1"/>
    <col min="511" max="511" width="59.42578125" style="925" customWidth="1"/>
    <col min="512" max="512" width="9.140625" style="925"/>
    <col min="513" max="514" width="11.85546875" style="925" customWidth="1"/>
    <col min="515" max="515" width="18.140625" style="925" customWidth="1"/>
    <col min="516" max="516" width="17.85546875" style="925" customWidth="1"/>
    <col min="517" max="517" width="15.28515625" style="925" customWidth="1"/>
    <col min="518" max="519" width="17.85546875" style="925" customWidth="1"/>
    <col min="520" max="522" width="17.5703125" style="925" customWidth="1"/>
    <col min="523" max="764" width="9.140625" style="925"/>
    <col min="765" max="765" width="34.140625" style="925" customWidth="1"/>
    <col min="766" max="766" width="56.85546875" style="925" customWidth="1"/>
    <col min="767" max="767" width="59.42578125" style="925" customWidth="1"/>
    <col min="768" max="768" width="9.140625" style="925"/>
    <col min="769" max="770" width="11.85546875" style="925" customWidth="1"/>
    <col min="771" max="771" width="18.140625" style="925" customWidth="1"/>
    <col min="772" max="772" width="17.85546875" style="925" customWidth="1"/>
    <col min="773" max="773" width="15.28515625" style="925" customWidth="1"/>
    <col min="774" max="775" width="17.85546875" style="925" customWidth="1"/>
    <col min="776" max="778" width="17.5703125" style="925" customWidth="1"/>
    <col min="779" max="1020" width="9.140625" style="925"/>
    <col min="1021" max="1021" width="34.140625" style="925" customWidth="1"/>
    <col min="1022" max="1022" width="56.85546875" style="925" customWidth="1"/>
    <col min="1023" max="1023" width="59.42578125" style="925" customWidth="1"/>
    <col min="1024" max="1024" width="9.140625" style="925"/>
    <col min="1025" max="1026" width="11.85546875" style="925" customWidth="1"/>
    <col min="1027" max="1027" width="18.140625" style="925" customWidth="1"/>
    <col min="1028" max="1028" width="17.85546875" style="925" customWidth="1"/>
    <col min="1029" max="1029" width="15.28515625" style="925" customWidth="1"/>
    <col min="1030" max="1031" width="17.85546875" style="925" customWidth="1"/>
    <col min="1032" max="1034" width="17.5703125" style="925" customWidth="1"/>
    <col min="1035" max="1276" width="9.140625" style="925"/>
    <col min="1277" max="1277" width="34.140625" style="925" customWidth="1"/>
    <col min="1278" max="1278" width="56.85546875" style="925" customWidth="1"/>
    <col min="1279" max="1279" width="59.42578125" style="925" customWidth="1"/>
    <col min="1280" max="1280" width="9.140625" style="925"/>
    <col min="1281" max="1282" width="11.85546875" style="925" customWidth="1"/>
    <col min="1283" max="1283" width="18.140625" style="925" customWidth="1"/>
    <col min="1284" max="1284" width="17.85546875" style="925" customWidth="1"/>
    <col min="1285" max="1285" width="15.28515625" style="925" customWidth="1"/>
    <col min="1286" max="1287" width="17.85546875" style="925" customWidth="1"/>
    <col min="1288" max="1290" width="17.5703125" style="925" customWidth="1"/>
    <col min="1291" max="1532" width="9.140625" style="925"/>
    <col min="1533" max="1533" width="34.140625" style="925" customWidth="1"/>
    <col min="1534" max="1534" width="56.85546875" style="925" customWidth="1"/>
    <col min="1535" max="1535" width="59.42578125" style="925" customWidth="1"/>
    <col min="1536" max="1536" width="9.140625" style="925"/>
    <col min="1537" max="1538" width="11.85546875" style="925" customWidth="1"/>
    <col min="1539" max="1539" width="18.140625" style="925" customWidth="1"/>
    <col min="1540" max="1540" width="17.85546875" style="925" customWidth="1"/>
    <col min="1541" max="1541" width="15.28515625" style="925" customWidth="1"/>
    <col min="1542" max="1543" width="17.85546875" style="925" customWidth="1"/>
    <col min="1544" max="1546" width="17.5703125" style="925" customWidth="1"/>
    <col min="1547" max="1788" width="9.140625" style="925"/>
    <col min="1789" max="1789" width="34.140625" style="925" customWidth="1"/>
    <col min="1790" max="1790" width="56.85546875" style="925" customWidth="1"/>
    <col min="1791" max="1791" width="59.42578125" style="925" customWidth="1"/>
    <col min="1792" max="1792" width="9.140625" style="925"/>
    <col min="1793" max="1794" width="11.85546875" style="925" customWidth="1"/>
    <col min="1795" max="1795" width="18.140625" style="925" customWidth="1"/>
    <col min="1796" max="1796" width="17.85546875" style="925" customWidth="1"/>
    <col min="1797" max="1797" width="15.28515625" style="925" customWidth="1"/>
    <col min="1798" max="1799" width="17.85546875" style="925" customWidth="1"/>
    <col min="1800" max="1802" width="17.5703125" style="925" customWidth="1"/>
    <col min="1803" max="2044" width="9.140625" style="925"/>
    <col min="2045" max="2045" width="34.140625" style="925" customWidth="1"/>
    <col min="2046" max="2046" width="56.85546875" style="925" customWidth="1"/>
    <col min="2047" max="2047" width="59.42578125" style="925" customWidth="1"/>
    <col min="2048" max="2048" width="9.140625" style="925"/>
    <col min="2049" max="2050" width="11.85546875" style="925" customWidth="1"/>
    <col min="2051" max="2051" width="18.140625" style="925" customWidth="1"/>
    <col min="2052" max="2052" width="17.85546875" style="925" customWidth="1"/>
    <col min="2053" max="2053" width="15.28515625" style="925" customWidth="1"/>
    <col min="2054" max="2055" width="17.85546875" style="925" customWidth="1"/>
    <col min="2056" max="2058" width="17.5703125" style="925" customWidth="1"/>
    <col min="2059" max="2300" width="9.140625" style="925"/>
    <col min="2301" max="2301" width="34.140625" style="925" customWidth="1"/>
    <col min="2302" max="2302" width="56.85546875" style="925" customWidth="1"/>
    <col min="2303" max="2303" width="59.42578125" style="925" customWidth="1"/>
    <col min="2304" max="2304" width="9.140625" style="925"/>
    <col min="2305" max="2306" width="11.85546875" style="925" customWidth="1"/>
    <col min="2307" max="2307" width="18.140625" style="925" customWidth="1"/>
    <col min="2308" max="2308" width="17.85546875" style="925" customWidth="1"/>
    <col min="2309" max="2309" width="15.28515625" style="925" customWidth="1"/>
    <col min="2310" max="2311" width="17.85546875" style="925" customWidth="1"/>
    <col min="2312" max="2314" width="17.5703125" style="925" customWidth="1"/>
    <col min="2315" max="2556" width="9.140625" style="925"/>
    <col min="2557" max="2557" width="34.140625" style="925" customWidth="1"/>
    <col min="2558" max="2558" width="56.85546875" style="925" customWidth="1"/>
    <col min="2559" max="2559" width="59.42578125" style="925" customWidth="1"/>
    <col min="2560" max="2560" width="9.140625" style="925"/>
    <col min="2561" max="2562" width="11.85546875" style="925" customWidth="1"/>
    <col min="2563" max="2563" width="18.140625" style="925" customWidth="1"/>
    <col min="2564" max="2564" width="17.85546875" style="925" customWidth="1"/>
    <col min="2565" max="2565" width="15.28515625" style="925" customWidth="1"/>
    <col min="2566" max="2567" width="17.85546875" style="925" customWidth="1"/>
    <col min="2568" max="2570" width="17.5703125" style="925" customWidth="1"/>
    <col min="2571" max="2812" width="9.140625" style="925"/>
    <col min="2813" max="2813" width="34.140625" style="925" customWidth="1"/>
    <col min="2814" max="2814" width="56.85546875" style="925" customWidth="1"/>
    <col min="2815" max="2815" width="59.42578125" style="925" customWidth="1"/>
    <col min="2816" max="2816" width="9.140625" style="925"/>
    <col min="2817" max="2818" width="11.85546875" style="925" customWidth="1"/>
    <col min="2819" max="2819" width="18.140625" style="925" customWidth="1"/>
    <col min="2820" max="2820" width="17.85546875" style="925" customWidth="1"/>
    <col min="2821" max="2821" width="15.28515625" style="925" customWidth="1"/>
    <col min="2822" max="2823" width="17.85546875" style="925" customWidth="1"/>
    <col min="2824" max="2826" width="17.5703125" style="925" customWidth="1"/>
    <col min="2827" max="3068" width="9.140625" style="925"/>
    <col min="3069" max="3069" width="34.140625" style="925" customWidth="1"/>
    <col min="3070" max="3070" width="56.85546875" style="925" customWidth="1"/>
    <col min="3071" max="3071" width="59.42578125" style="925" customWidth="1"/>
    <col min="3072" max="3072" width="9.140625" style="925"/>
    <col min="3073" max="3074" width="11.85546875" style="925" customWidth="1"/>
    <col min="3075" max="3075" width="18.140625" style="925" customWidth="1"/>
    <col min="3076" max="3076" width="17.85546875" style="925" customWidth="1"/>
    <col min="3077" max="3077" width="15.28515625" style="925" customWidth="1"/>
    <col min="3078" max="3079" width="17.85546875" style="925" customWidth="1"/>
    <col min="3080" max="3082" width="17.5703125" style="925" customWidth="1"/>
    <col min="3083" max="3324" width="9.140625" style="925"/>
    <col min="3325" max="3325" width="34.140625" style="925" customWidth="1"/>
    <col min="3326" max="3326" width="56.85546875" style="925" customWidth="1"/>
    <col min="3327" max="3327" width="59.42578125" style="925" customWidth="1"/>
    <col min="3328" max="3328" width="9.140625" style="925"/>
    <col min="3329" max="3330" width="11.85546875" style="925" customWidth="1"/>
    <col min="3331" max="3331" width="18.140625" style="925" customWidth="1"/>
    <col min="3332" max="3332" width="17.85546875" style="925" customWidth="1"/>
    <col min="3333" max="3333" width="15.28515625" style="925" customWidth="1"/>
    <col min="3334" max="3335" width="17.85546875" style="925" customWidth="1"/>
    <col min="3336" max="3338" width="17.5703125" style="925" customWidth="1"/>
    <col min="3339" max="3580" width="9.140625" style="925"/>
    <col min="3581" max="3581" width="34.140625" style="925" customWidth="1"/>
    <col min="3582" max="3582" width="56.85546875" style="925" customWidth="1"/>
    <col min="3583" max="3583" width="59.42578125" style="925" customWidth="1"/>
    <col min="3584" max="3584" width="9.140625" style="925"/>
    <col min="3585" max="3586" width="11.85546875" style="925" customWidth="1"/>
    <col min="3587" max="3587" width="18.140625" style="925" customWidth="1"/>
    <col min="3588" max="3588" width="17.85546875" style="925" customWidth="1"/>
    <col min="3589" max="3589" width="15.28515625" style="925" customWidth="1"/>
    <col min="3590" max="3591" width="17.85546875" style="925" customWidth="1"/>
    <col min="3592" max="3594" width="17.5703125" style="925" customWidth="1"/>
    <col min="3595" max="3836" width="9.140625" style="925"/>
    <col min="3837" max="3837" width="34.140625" style="925" customWidth="1"/>
    <col min="3838" max="3838" width="56.85546875" style="925" customWidth="1"/>
    <col min="3839" max="3839" width="59.42578125" style="925" customWidth="1"/>
    <col min="3840" max="3840" width="9.140625" style="925"/>
    <col min="3841" max="3842" width="11.85546875" style="925" customWidth="1"/>
    <col min="3843" max="3843" width="18.140625" style="925" customWidth="1"/>
    <col min="3844" max="3844" width="17.85546875" style="925" customWidth="1"/>
    <col min="3845" max="3845" width="15.28515625" style="925" customWidth="1"/>
    <col min="3846" max="3847" width="17.85546875" style="925" customWidth="1"/>
    <col min="3848" max="3850" width="17.5703125" style="925" customWidth="1"/>
    <col min="3851" max="4092" width="9.140625" style="925"/>
    <col min="4093" max="4093" width="34.140625" style="925" customWidth="1"/>
    <col min="4094" max="4094" width="56.85546875" style="925" customWidth="1"/>
    <col min="4095" max="4095" width="59.42578125" style="925" customWidth="1"/>
    <col min="4096" max="4096" width="9.140625" style="925"/>
    <col min="4097" max="4098" width="11.85546875" style="925" customWidth="1"/>
    <col min="4099" max="4099" width="18.140625" style="925" customWidth="1"/>
    <col min="4100" max="4100" width="17.85546875" style="925" customWidth="1"/>
    <col min="4101" max="4101" width="15.28515625" style="925" customWidth="1"/>
    <col min="4102" max="4103" width="17.85546875" style="925" customWidth="1"/>
    <col min="4104" max="4106" width="17.5703125" style="925" customWidth="1"/>
    <col min="4107" max="4348" width="9.140625" style="925"/>
    <col min="4349" max="4349" width="34.140625" style="925" customWidth="1"/>
    <col min="4350" max="4350" width="56.85546875" style="925" customWidth="1"/>
    <col min="4351" max="4351" width="59.42578125" style="925" customWidth="1"/>
    <col min="4352" max="4352" width="9.140625" style="925"/>
    <col min="4353" max="4354" width="11.85546875" style="925" customWidth="1"/>
    <col min="4355" max="4355" width="18.140625" style="925" customWidth="1"/>
    <col min="4356" max="4356" width="17.85546875" style="925" customWidth="1"/>
    <col min="4357" max="4357" width="15.28515625" style="925" customWidth="1"/>
    <col min="4358" max="4359" width="17.85546875" style="925" customWidth="1"/>
    <col min="4360" max="4362" width="17.5703125" style="925" customWidth="1"/>
    <col min="4363" max="4604" width="9.140625" style="925"/>
    <col min="4605" max="4605" width="34.140625" style="925" customWidth="1"/>
    <col min="4606" max="4606" width="56.85546875" style="925" customWidth="1"/>
    <col min="4607" max="4607" width="59.42578125" style="925" customWidth="1"/>
    <col min="4608" max="4608" width="9.140625" style="925"/>
    <col min="4609" max="4610" width="11.85546875" style="925" customWidth="1"/>
    <col min="4611" max="4611" width="18.140625" style="925" customWidth="1"/>
    <col min="4612" max="4612" width="17.85546875" style="925" customWidth="1"/>
    <col min="4613" max="4613" width="15.28515625" style="925" customWidth="1"/>
    <col min="4614" max="4615" width="17.85546875" style="925" customWidth="1"/>
    <col min="4616" max="4618" width="17.5703125" style="925" customWidth="1"/>
    <col min="4619" max="4860" width="9.140625" style="925"/>
    <col min="4861" max="4861" width="34.140625" style="925" customWidth="1"/>
    <col min="4862" max="4862" width="56.85546875" style="925" customWidth="1"/>
    <col min="4863" max="4863" width="59.42578125" style="925" customWidth="1"/>
    <col min="4864" max="4864" width="9.140625" style="925"/>
    <col min="4865" max="4866" width="11.85546875" style="925" customWidth="1"/>
    <col min="4867" max="4867" width="18.140625" style="925" customWidth="1"/>
    <col min="4868" max="4868" width="17.85546875" style="925" customWidth="1"/>
    <col min="4869" max="4869" width="15.28515625" style="925" customWidth="1"/>
    <col min="4870" max="4871" width="17.85546875" style="925" customWidth="1"/>
    <col min="4872" max="4874" width="17.5703125" style="925" customWidth="1"/>
    <col min="4875" max="5116" width="9.140625" style="925"/>
    <col min="5117" max="5117" width="34.140625" style="925" customWidth="1"/>
    <col min="5118" max="5118" width="56.85546875" style="925" customWidth="1"/>
    <col min="5119" max="5119" width="59.42578125" style="925" customWidth="1"/>
    <col min="5120" max="5120" width="9.140625" style="925"/>
    <col min="5121" max="5122" width="11.85546875" style="925" customWidth="1"/>
    <col min="5123" max="5123" width="18.140625" style="925" customWidth="1"/>
    <col min="5124" max="5124" width="17.85546875" style="925" customWidth="1"/>
    <col min="5125" max="5125" width="15.28515625" style="925" customWidth="1"/>
    <col min="5126" max="5127" width="17.85546875" style="925" customWidth="1"/>
    <col min="5128" max="5130" width="17.5703125" style="925" customWidth="1"/>
    <col min="5131" max="5372" width="9.140625" style="925"/>
    <col min="5373" max="5373" width="34.140625" style="925" customWidth="1"/>
    <col min="5374" max="5374" width="56.85546875" style="925" customWidth="1"/>
    <col min="5375" max="5375" width="59.42578125" style="925" customWidth="1"/>
    <col min="5376" max="5376" width="9.140625" style="925"/>
    <col min="5377" max="5378" width="11.85546875" style="925" customWidth="1"/>
    <col min="5379" max="5379" width="18.140625" style="925" customWidth="1"/>
    <col min="5380" max="5380" width="17.85546875" style="925" customWidth="1"/>
    <col min="5381" max="5381" width="15.28515625" style="925" customWidth="1"/>
    <col min="5382" max="5383" width="17.85546875" style="925" customWidth="1"/>
    <col min="5384" max="5386" width="17.5703125" style="925" customWidth="1"/>
    <col min="5387" max="5628" width="9.140625" style="925"/>
    <col min="5629" max="5629" width="34.140625" style="925" customWidth="1"/>
    <col min="5630" max="5630" width="56.85546875" style="925" customWidth="1"/>
    <col min="5631" max="5631" width="59.42578125" style="925" customWidth="1"/>
    <col min="5632" max="5632" width="9.140625" style="925"/>
    <col min="5633" max="5634" width="11.85546875" style="925" customWidth="1"/>
    <col min="5635" max="5635" width="18.140625" style="925" customWidth="1"/>
    <col min="5636" max="5636" width="17.85546875" style="925" customWidth="1"/>
    <col min="5637" max="5637" width="15.28515625" style="925" customWidth="1"/>
    <col min="5638" max="5639" width="17.85546875" style="925" customWidth="1"/>
    <col min="5640" max="5642" width="17.5703125" style="925" customWidth="1"/>
    <col min="5643" max="5884" width="9.140625" style="925"/>
    <col min="5885" max="5885" width="34.140625" style="925" customWidth="1"/>
    <col min="5886" max="5886" width="56.85546875" style="925" customWidth="1"/>
    <col min="5887" max="5887" width="59.42578125" style="925" customWidth="1"/>
    <col min="5888" max="5888" width="9.140625" style="925"/>
    <col min="5889" max="5890" width="11.85546875" style="925" customWidth="1"/>
    <col min="5891" max="5891" width="18.140625" style="925" customWidth="1"/>
    <col min="5892" max="5892" width="17.85546875" style="925" customWidth="1"/>
    <col min="5893" max="5893" width="15.28515625" style="925" customWidth="1"/>
    <col min="5894" max="5895" width="17.85546875" style="925" customWidth="1"/>
    <col min="5896" max="5898" width="17.5703125" style="925" customWidth="1"/>
    <col min="5899" max="6140" width="9.140625" style="925"/>
    <col min="6141" max="6141" width="34.140625" style="925" customWidth="1"/>
    <col min="6142" max="6142" width="56.85546875" style="925" customWidth="1"/>
    <col min="6143" max="6143" width="59.42578125" style="925" customWidth="1"/>
    <col min="6144" max="6144" width="9.140625" style="925"/>
    <col min="6145" max="6146" width="11.85546875" style="925" customWidth="1"/>
    <col min="6147" max="6147" width="18.140625" style="925" customWidth="1"/>
    <col min="6148" max="6148" width="17.85546875" style="925" customWidth="1"/>
    <col min="6149" max="6149" width="15.28515625" style="925" customWidth="1"/>
    <col min="6150" max="6151" width="17.85546875" style="925" customWidth="1"/>
    <col min="6152" max="6154" width="17.5703125" style="925" customWidth="1"/>
    <col min="6155" max="6396" width="9.140625" style="925"/>
    <col min="6397" max="6397" width="34.140625" style="925" customWidth="1"/>
    <col min="6398" max="6398" width="56.85546875" style="925" customWidth="1"/>
    <col min="6399" max="6399" width="59.42578125" style="925" customWidth="1"/>
    <col min="6400" max="6400" width="9.140625" style="925"/>
    <col min="6401" max="6402" width="11.85546875" style="925" customWidth="1"/>
    <col min="6403" max="6403" width="18.140625" style="925" customWidth="1"/>
    <col min="6404" max="6404" width="17.85546875" style="925" customWidth="1"/>
    <col min="6405" max="6405" width="15.28515625" style="925" customWidth="1"/>
    <col min="6406" max="6407" width="17.85546875" style="925" customWidth="1"/>
    <col min="6408" max="6410" width="17.5703125" style="925" customWidth="1"/>
    <col min="6411" max="6652" width="9.140625" style="925"/>
    <col min="6653" max="6653" width="34.140625" style="925" customWidth="1"/>
    <col min="6654" max="6654" width="56.85546875" style="925" customWidth="1"/>
    <col min="6655" max="6655" width="59.42578125" style="925" customWidth="1"/>
    <col min="6656" max="6656" width="9.140625" style="925"/>
    <col min="6657" max="6658" width="11.85546875" style="925" customWidth="1"/>
    <col min="6659" max="6659" width="18.140625" style="925" customWidth="1"/>
    <col min="6660" max="6660" width="17.85546875" style="925" customWidth="1"/>
    <col min="6661" max="6661" width="15.28515625" style="925" customWidth="1"/>
    <col min="6662" max="6663" width="17.85546875" style="925" customWidth="1"/>
    <col min="6664" max="6666" width="17.5703125" style="925" customWidth="1"/>
    <col min="6667" max="6908" width="9.140625" style="925"/>
    <col min="6909" max="6909" width="34.140625" style="925" customWidth="1"/>
    <col min="6910" max="6910" width="56.85546875" style="925" customWidth="1"/>
    <col min="6911" max="6911" width="59.42578125" style="925" customWidth="1"/>
    <col min="6912" max="6912" width="9.140625" style="925"/>
    <col min="6913" max="6914" width="11.85546875" style="925" customWidth="1"/>
    <col min="6915" max="6915" width="18.140625" style="925" customWidth="1"/>
    <col min="6916" max="6916" width="17.85546875" style="925" customWidth="1"/>
    <col min="6917" max="6917" width="15.28515625" style="925" customWidth="1"/>
    <col min="6918" max="6919" width="17.85546875" style="925" customWidth="1"/>
    <col min="6920" max="6922" width="17.5703125" style="925" customWidth="1"/>
    <col min="6923" max="7164" width="9.140625" style="925"/>
    <col min="7165" max="7165" width="34.140625" style="925" customWidth="1"/>
    <col min="7166" max="7166" width="56.85546875" style="925" customWidth="1"/>
    <col min="7167" max="7167" width="59.42578125" style="925" customWidth="1"/>
    <col min="7168" max="7168" width="9.140625" style="925"/>
    <col min="7169" max="7170" width="11.85546875" style="925" customWidth="1"/>
    <col min="7171" max="7171" width="18.140625" style="925" customWidth="1"/>
    <col min="7172" max="7172" width="17.85546875" style="925" customWidth="1"/>
    <col min="7173" max="7173" width="15.28515625" style="925" customWidth="1"/>
    <col min="7174" max="7175" width="17.85546875" style="925" customWidth="1"/>
    <col min="7176" max="7178" width="17.5703125" style="925" customWidth="1"/>
    <col min="7179" max="7420" width="9.140625" style="925"/>
    <col min="7421" max="7421" width="34.140625" style="925" customWidth="1"/>
    <col min="7422" max="7422" width="56.85546875" style="925" customWidth="1"/>
    <col min="7423" max="7423" width="59.42578125" style="925" customWidth="1"/>
    <col min="7424" max="7424" width="9.140625" style="925"/>
    <col min="7425" max="7426" width="11.85546875" style="925" customWidth="1"/>
    <col min="7427" max="7427" width="18.140625" style="925" customWidth="1"/>
    <col min="7428" max="7428" width="17.85546875" style="925" customWidth="1"/>
    <col min="7429" max="7429" width="15.28515625" style="925" customWidth="1"/>
    <col min="7430" max="7431" width="17.85546875" style="925" customWidth="1"/>
    <col min="7432" max="7434" width="17.5703125" style="925" customWidth="1"/>
    <col min="7435" max="7676" width="9.140625" style="925"/>
    <col min="7677" max="7677" width="34.140625" style="925" customWidth="1"/>
    <col min="7678" max="7678" width="56.85546875" style="925" customWidth="1"/>
    <col min="7679" max="7679" width="59.42578125" style="925" customWidth="1"/>
    <col min="7680" max="7680" width="9.140625" style="925"/>
    <col min="7681" max="7682" width="11.85546875" style="925" customWidth="1"/>
    <col min="7683" max="7683" width="18.140625" style="925" customWidth="1"/>
    <col min="7684" max="7684" width="17.85546875" style="925" customWidth="1"/>
    <col min="7685" max="7685" width="15.28515625" style="925" customWidth="1"/>
    <col min="7686" max="7687" width="17.85546875" style="925" customWidth="1"/>
    <col min="7688" max="7690" width="17.5703125" style="925" customWidth="1"/>
    <col min="7691" max="7932" width="9.140625" style="925"/>
    <col min="7933" max="7933" width="34.140625" style="925" customWidth="1"/>
    <col min="7934" max="7934" width="56.85546875" style="925" customWidth="1"/>
    <col min="7935" max="7935" width="59.42578125" style="925" customWidth="1"/>
    <col min="7936" max="7936" width="9.140625" style="925"/>
    <col min="7937" max="7938" width="11.85546875" style="925" customWidth="1"/>
    <col min="7939" max="7939" width="18.140625" style="925" customWidth="1"/>
    <col min="7940" max="7940" width="17.85546875" style="925" customWidth="1"/>
    <col min="7941" max="7941" width="15.28515625" style="925" customWidth="1"/>
    <col min="7942" max="7943" width="17.85546875" style="925" customWidth="1"/>
    <col min="7944" max="7946" width="17.5703125" style="925" customWidth="1"/>
    <col min="7947" max="8188" width="9.140625" style="925"/>
    <col min="8189" max="8189" width="34.140625" style="925" customWidth="1"/>
    <col min="8190" max="8190" width="56.85546875" style="925" customWidth="1"/>
    <col min="8191" max="8191" width="59.42578125" style="925" customWidth="1"/>
    <col min="8192" max="8192" width="9.140625" style="925"/>
    <col min="8193" max="8194" width="11.85546875" style="925" customWidth="1"/>
    <col min="8195" max="8195" width="18.140625" style="925" customWidth="1"/>
    <col min="8196" max="8196" width="17.85546875" style="925" customWidth="1"/>
    <col min="8197" max="8197" width="15.28515625" style="925" customWidth="1"/>
    <col min="8198" max="8199" width="17.85546875" style="925" customWidth="1"/>
    <col min="8200" max="8202" width="17.5703125" style="925" customWidth="1"/>
    <col min="8203" max="8444" width="9.140625" style="925"/>
    <col min="8445" max="8445" width="34.140625" style="925" customWidth="1"/>
    <col min="8446" max="8446" width="56.85546875" style="925" customWidth="1"/>
    <col min="8447" max="8447" width="59.42578125" style="925" customWidth="1"/>
    <col min="8448" max="8448" width="9.140625" style="925"/>
    <col min="8449" max="8450" width="11.85546875" style="925" customWidth="1"/>
    <col min="8451" max="8451" width="18.140625" style="925" customWidth="1"/>
    <col min="8452" max="8452" width="17.85546875" style="925" customWidth="1"/>
    <col min="8453" max="8453" width="15.28515625" style="925" customWidth="1"/>
    <col min="8454" max="8455" width="17.85546875" style="925" customWidth="1"/>
    <col min="8456" max="8458" width="17.5703125" style="925" customWidth="1"/>
    <col min="8459" max="8700" width="9.140625" style="925"/>
    <col min="8701" max="8701" width="34.140625" style="925" customWidth="1"/>
    <col min="8702" max="8702" width="56.85546875" style="925" customWidth="1"/>
    <col min="8703" max="8703" width="59.42578125" style="925" customWidth="1"/>
    <col min="8704" max="8704" width="9.140625" style="925"/>
    <col min="8705" max="8706" width="11.85546875" style="925" customWidth="1"/>
    <col min="8707" max="8707" width="18.140625" style="925" customWidth="1"/>
    <col min="8708" max="8708" width="17.85546875" style="925" customWidth="1"/>
    <col min="8709" max="8709" width="15.28515625" style="925" customWidth="1"/>
    <col min="8710" max="8711" width="17.85546875" style="925" customWidth="1"/>
    <col min="8712" max="8714" width="17.5703125" style="925" customWidth="1"/>
    <col min="8715" max="8956" width="9.140625" style="925"/>
    <col min="8957" max="8957" width="34.140625" style="925" customWidth="1"/>
    <col min="8958" max="8958" width="56.85546875" style="925" customWidth="1"/>
    <col min="8959" max="8959" width="59.42578125" style="925" customWidth="1"/>
    <col min="8960" max="8960" width="9.140625" style="925"/>
    <col min="8961" max="8962" width="11.85546875" style="925" customWidth="1"/>
    <col min="8963" max="8963" width="18.140625" style="925" customWidth="1"/>
    <col min="8964" max="8964" width="17.85546875" style="925" customWidth="1"/>
    <col min="8965" max="8965" width="15.28515625" style="925" customWidth="1"/>
    <col min="8966" max="8967" width="17.85546875" style="925" customWidth="1"/>
    <col min="8968" max="8970" width="17.5703125" style="925" customWidth="1"/>
    <col min="8971" max="9212" width="9.140625" style="925"/>
    <col min="9213" max="9213" width="34.140625" style="925" customWidth="1"/>
    <col min="9214" max="9214" width="56.85546875" style="925" customWidth="1"/>
    <col min="9215" max="9215" width="59.42578125" style="925" customWidth="1"/>
    <col min="9216" max="9216" width="9.140625" style="925"/>
    <col min="9217" max="9218" width="11.85546875" style="925" customWidth="1"/>
    <col min="9219" max="9219" width="18.140625" style="925" customWidth="1"/>
    <col min="9220" max="9220" width="17.85546875" style="925" customWidth="1"/>
    <col min="9221" max="9221" width="15.28515625" style="925" customWidth="1"/>
    <col min="9222" max="9223" width="17.85546875" style="925" customWidth="1"/>
    <col min="9224" max="9226" width="17.5703125" style="925" customWidth="1"/>
    <col min="9227" max="9468" width="9.140625" style="925"/>
    <col min="9469" max="9469" width="34.140625" style="925" customWidth="1"/>
    <col min="9470" max="9470" width="56.85546875" style="925" customWidth="1"/>
    <col min="9471" max="9471" width="59.42578125" style="925" customWidth="1"/>
    <col min="9472" max="9472" width="9.140625" style="925"/>
    <col min="9473" max="9474" width="11.85546875" style="925" customWidth="1"/>
    <col min="9475" max="9475" width="18.140625" style="925" customWidth="1"/>
    <col min="9476" max="9476" width="17.85546875" style="925" customWidth="1"/>
    <col min="9477" max="9477" width="15.28515625" style="925" customWidth="1"/>
    <col min="9478" max="9479" width="17.85546875" style="925" customWidth="1"/>
    <col min="9480" max="9482" width="17.5703125" style="925" customWidth="1"/>
    <col min="9483" max="9724" width="9.140625" style="925"/>
    <col min="9725" max="9725" width="34.140625" style="925" customWidth="1"/>
    <col min="9726" max="9726" width="56.85546875" style="925" customWidth="1"/>
    <col min="9727" max="9727" width="59.42578125" style="925" customWidth="1"/>
    <col min="9728" max="9728" width="9.140625" style="925"/>
    <col min="9729" max="9730" width="11.85546875" style="925" customWidth="1"/>
    <col min="9731" max="9731" width="18.140625" style="925" customWidth="1"/>
    <col min="9732" max="9732" width="17.85546875" style="925" customWidth="1"/>
    <col min="9733" max="9733" width="15.28515625" style="925" customWidth="1"/>
    <col min="9734" max="9735" width="17.85546875" style="925" customWidth="1"/>
    <col min="9736" max="9738" width="17.5703125" style="925" customWidth="1"/>
    <col min="9739" max="9980" width="9.140625" style="925"/>
    <col min="9981" max="9981" width="34.140625" style="925" customWidth="1"/>
    <col min="9982" max="9982" width="56.85546875" style="925" customWidth="1"/>
    <col min="9983" max="9983" width="59.42578125" style="925" customWidth="1"/>
    <col min="9984" max="9984" width="9.140625" style="925"/>
    <col min="9985" max="9986" width="11.85546875" style="925" customWidth="1"/>
    <col min="9987" max="9987" width="18.140625" style="925" customWidth="1"/>
    <col min="9988" max="9988" width="17.85546875" style="925" customWidth="1"/>
    <col min="9989" max="9989" width="15.28515625" style="925" customWidth="1"/>
    <col min="9990" max="9991" width="17.85546875" style="925" customWidth="1"/>
    <col min="9992" max="9994" width="17.5703125" style="925" customWidth="1"/>
    <col min="9995" max="10236" width="9.140625" style="925"/>
    <col min="10237" max="10237" width="34.140625" style="925" customWidth="1"/>
    <col min="10238" max="10238" width="56.85546875" style="925" customWidth="1"/>
    <col min="10239" max="10239" width="59.42578125" style="925" customWidth="1"/>
    <col min="10240" max="10240" width="9.140625" style="925"/>
    <col min="10241" max="10242" width="11.85546875" style="925" customWidth="1"/>
    <col min="10243" max="10243" width="18.140625" style="925" customWidth="1"/>
    <col min="10244" max="10244" width="17.85546875" style="925" customWidth="1"/>
    <col min="10245" max="10245" width="15.28515625" style="925" customWidth="1"/>
    <col min="10246" max="10247" width="17.85546875" style="925" customWidth="1"/>
    <col min="10248" max="10250" width="17.5703125" style="925" customWidth="1"/>
    <col min="10251" max="10492" width="9.140625" style="925"/>
    <col min="10493" max="10493" width="34.140625" style="925" customWidth="1"/>
    <col min="10494" max="10494" width="56.85546875" style="925" customWidth="1"/>
    <col min="10495" max="10495" width="59.42578125" style="925" customWidth="1"/>
    <col min="10496" max="10496" width="9.140625" style="925"/>
    <col min="10497" max="10498" width="11.85546875" style="925" customWidth="1"/>
    <col min="10499" max="10499" width="18.140625" style="925" customWidth="1"/>
    <col min="10500" max="10500" width="17.85546875" style="925" customWidth="1"/>
    <col min="10501" max="10501" width="15.28515625" style="925" customWidth="1"/>
    <col min="10502" max="10503" width="17.85546875" style="925" customWidth="1"/>
    <col min="10504" max="10506" width="17.5703125" style="925" customWidth="1"/>
    <col min="10507" max="10748" width="9.140625" style="925"/>
    <col min="10749" max="10749" width="34.140625" style="925" customWidth="1"/>
    <col min="10750" max="10750" width="56.85546875" style="925" customWidth="1"/>
    <col min="10751" max="10751" width="59.42578125" style="925" customWidth="1"/>
    <col min="10752" max="10752" width="9.140625" style="925"/>
    <col min="10753" max="10754" width="11.85546875" style="925" customWidth="1"/>
    <col min="10755" max="10755" width="18.140625" style="925" customWidth="1"/>
    <col min="10756" max="10756" width="17.85546875" style="925" customWidth="1"/>
    <col min="10757" max="10757" width="15.28515625" style="925" customWidth="1"/>
    <col min="10758" max="10759" width="17.85546875" style="925" customWidth="1"/>
    <col min="10760" max="10762" width="17.5703125" style="925" customWidth="1"/>
    <col min="10763" max="11004" width="9.140625" style="925"/>
    <col min="11005" max="11005" width="34.140625" style="925" customWidth="1"/>
    <col min="11006" max="11006" width="56.85546875" style="925" customWidth="1"/>
    <col min="11007" max="11007" width="59.42578125" style="925" customWidth="1"/>
    <col min="11008" max="11008" width="9.140625" style="925"/>
    <col min="11009" max="11010" width="11.85546875" style="925" customWidth="1"/>
    <col min="11011" max="11011" width="18.140625" style="925" customWidth="1"/>
    <col min="11012" max="11012" width="17.85546875" style="925" customWidth="1"/>
    <col min="11013" max="11013" width="15.28515625" style="925" customWidth="1"/>
    <col min="11014" max="11015" width="17.85546875" style="925" customWidth="1"/>
    <col min="11016" max="11018" width="17.5703125" style="925" customWidth="1"/>
    <col min="11019" max="11260" width="9.140625" style="925"/>
    <col min="11261" max="11261" width="34.140625" style="925" customWidth="1"/>
    <col min="11262" max="11262" width="56.85546875" style="925" customWidth="1"/>
    <col min="11263" max="11263" width="59.42578125" style="925" customWidth="1"/>
    <col min="11264" max="11264" width="9.140625" style="925"/>
    <col min="11265" max="11266" width="11.85546875" style="925" customWidth="1"/>
    <col min="11267" max="11267" width="18.140625" style="925" customWidth="1"/>
    <col min="11268" max="11268" width="17.85546875" style="925" customWidth="1"/>
    <col min="11269" max="11269" width="15.28515625" style="925" customWidth="1"/>
    <col min="11270" max="11271" width="17.85546875" style="925" customWidth="1"/>
    <col min="11272" max="11274" width="17.5703125" style="925" customWidth="1"/>
    <col min="11275" max="11516" width="9.140625" style="925"/>
    <col min="11517" max="11517" width="34.140625" style="925" customWidth="1"/>
    <col min="11518" max="11518" width="56.85546875" style="925" customWidth="1"/>
    <col min="11519" max="11519" width="59.42578125" style="925" customWidth="1"/>
    <col min="11520" max="11520" width="9.140625" style="925"/>
    <col min="11521" max="11522" width="11.85546875" style="925" customWidth="1"/>
    <col min="11523" max="11523" width="18.140625" style="925" customWidth="1"/>
    <col min="11524" max="11524" width="17.85546875" style="925" customWidth="1"/>
    <col min="11525" max="11525" width="15.28515625" style="925" customWidth="1"/>
    <col min="11526" max="11527" width="17.85546875" style="925" customWidth="1"/>
    <col min="11528" max="11530" width="17.5703125" style="925" customWidth="1"/>
    <col min="11531" max="11772" width="9.140625" style="925"/>
    <col min="11773" max="11773" width="34.140625" style="925" customWidth="1"/>
    <col min="11774" max="11774" width="56.85546875" style="925" customWidth="1"/>
    <col min="11775" max="11775" width="59.42578125" style="925" customWidth="1"/>
    <col min="11776" max="11776" width="9.140625" style="925"/>
    <col min="11777" max="11778" width="11.85546875" style="925" customWidth="1"/>
    <col min="11779" max="11779" width="18.140625" style="925" customWidth="1"/>
    <col min="11780" max="11780" width="17.85546875" style="925" customWidth="1"/>
    <col min="11781" max="11781" width="15.28515625" style="925" customWidth="1"/>
    <col min="11782" max="11783" width="17.85546875" style="925" customWidth="1"/>
    <col min="11784" max="11786" width="17.5703125" style="925" customWidth="1"/>
    <col min="11787" max="12028" width="9.140625" style="925"/>
    <col min="12029" max="12029" width="34.140625" style="925" customWidth="1"/>
    <col min="12030" max="12030" width="56.85546875" style="925" customWidth="1"/>
    <col min="12031" max="12031" width="59.42578125" style="925" customWidth="1"/>
    <col min="12032" max="12032" width="9.140625" style="925"/>
    <col min="12033" max="12034" width="11.85546875" style="925" customWidth="1"/>
    <col min="12035" max="12035" width="18.140625" style="925" customWidth="1"/>
    <col min="12036" max="12036" width="17.85546875" style="925" customWidth="1"/>
    <col min="12037" max="12037" width="15.28515625" style="925" customWidth="1"/>
    <col min="12038" max="12039" width="17.85546875" style="925" customWidth="1"/>
    <col min="12040" max="12042" width="17.5703125" style="925" customWidth="1"/>
    <col min="12043" max="12284" width="9.140625" style="925"/>
    <col min="12285" max="12285" width="34.140625" style="925" customWidth="1"/>
    <col min="12286" max="12286" width="56.85546875" style="925" customWidth="1"/>
    <col min="12287" max="12287" width="59.42578125" style="925" customWidth="1"/>
    <col min="12288" max="12288" width="9.140625" style="925"/>
    <col min="12289" max="12290" width="11.85546875" style="925" customWidth="1"/>
    <col min="12291" max="12291" width="18.140625" style="925" customWidth="1"/>
    <col min="12292" max="12292" width="17.85546875" style="925" customWidth="1"/>
    <col min="12293" max="12293" width="15.28515625" style="925" customWidth="1"/>
    <col min="12294" max="12295" width="17.85546875" style="925" customWidth="1"/>
    <col min="12296" max="12298" width="17.5703125" style="925" customWidth="1"/>
    <col min="12299" max="12540" width="9.140625" style="925"/>
    <col min="12541" max="12541" width="34.140625" style="925" customWidth="1"/>
    <col min="12542" max="12542" width="56.85546875" style="925" customWidth="1"/>
    <col min="12543" max="12543" width="59.42578125" style="925" customWidth="1"/>
    <col min="12544" max="12544" width="9.140625" style="925"/>
    <col min="12545" max="12546" width="11.85546875" style="925" customWidth="1"/>
    <col min="12547" max="12547" width="18.140625" style="925" customWidth="1"/>
    <col min="12548" max="12548" width="17.85546875" style="925" customWidth="1"/>
    <col min="12549" max="12549" width="15.28515625" style="925" customWidth="1"/>
    <col min="12550" max="12551" width="17.85546875" style="925" customWidth="1"/>
    <col min="12552" max="12554" width="17.5703125" style="925" customWidth="1"/>
    <col min="12555" max="12796" width="9.140625" style="925"/>
    <col min="12797" max="12797" width="34.140625" style="925" customWidth="1"/>
    <col min="12798" max="12798" width="56.85546875" style="925" customWidth="1"/>
    <col min="12799" max="12799" width="59.42578125" style="925" customWidth="1"/>
    <col min="12800" max="12800" width="9.140625" style="925"/>
    <col min="12801" max="12802" width="11.85546875" style="925" customWidth="1"/>
    <col min="12803" max="12803" width="18.140625" style="925" customWidth="1"/>
    <col min="12804" max="12804" width="17.85546875" style="925" customWidth="1"/>
    <col min="12805" max="12805" width="15.28515625" style="925" customWidth="1"/>
    <col min="12806" max="12807" width="17.85546875" style="925" customWidth="1"/>
    <col min="12808" max="12810" width="17.5703125" style="925" customWidth="1"/>
    <col min="12811" max="13052" width="9.140625" style="925"/>
    <col min="13053" max="13053" width="34.140625" style="925" customWidth="1"/>
    <col min="13054" max="13054" width="56.85546875" style="925" customWidth="1"/>
    <col min="13055" max="13055" width="59.42578125" style="925" customWidth="1"/>
    <col min="13056" max="13056" width="9.140625" style="925"/>
    <col min="13057" max="13058" width="11.85546875" style="925" customWidth="1"/>
    <col min="13059" max="13059" width="18.140625" style="925" customWidth="1"/>
    <col min="13060" max="13060" width="17.85546875" style="925" customWidth="1"/>
    <col min="13061" max="13061" width="15.28515625" style="925" customWidth="1"/>
    <col min="13062" max="13063" width="17.85546875" style="925" customWidth="1"/>
    <col min="13064" max="13066" width="17.5703125" style="925" customWidth="1"/>
    <col min="13067" max="13308" width="9.140625" style="925"/>
    <col min="13309" max="13309" width="34.140625" style="925" customWidth="1"/>
    <col min="13310" max="13310" width="56.85546875" style="925" customWidth="1"/>
    <col min="13311" max="13311" width="59.42578125" style="925" customWidth="1"/>
    <col min="13312" max="13312" width="9.140625" style="925"/>
    <col min="13313" max="13314" width="11.85546875" style="925" customWidth="1"/>
    <col min="13315" max="13315" width="18.140625" style="925" customWidth="1"/>
    <col min="13316" max="13316" width="17.85546875" style="925" customWidth="1"/>
    <col min="13317" max="13317" width="15.28515625" style="925" customWidth="1"/>
    <col min="13318" max="13319" width="17.85546875" style="925" customWidth="1"/>
    <col min="13320" max="13322" width="17.5703125" style="925" customWidth="1"/>
    <col min="13323" max="13564" width="9.140625" style="925"/>
    <col min="13565" max="13565" width="34.140625" style="925" customWidth="1"/>
    <col min="13566" max="13566" width="56.85546875" style="925" customWidth="1"/>
    <col min="13567" max="13567" width="59.42578125" style="925" customWidth="1"/>
    <col min="13568" max="13568" width="9.140625" style="925"/>
    <col min="13569" max="13570" width="11.85546875" style="925" customWidth="1"/>
    <col min="13571" max="13571" width="18.140625" style="925" customWidth="1"/>
    <col min="13572" max="13572" width="17.85546875" style="925" customWidth="1"/>
    <col min="13573" max="13573" width="15.28515625" style="925" customWidth="1"/>
    <col min="13574" max="13575" width="17.85546875" style="925" customWidth="1"/>
    <col min="13576" max="13578" width="17.5703125" style="925" customWidth="1"/>
    <col min="13579" max="13820" width="9.140625" style="925"/>
    <col min="13821" max="13821" width="34.140625" style="925" customWidth="1"/>
    <col min="13822" max="13822" width="56.85546875" style="925" customWidth="1"/>
    <col min="13823" max="13823" width="59.42578125" style="925" customWidth="1"/>
    <col min="13824" max="13824" width="9.140625" style="925"/>
    <col min="13825" max="13826" width="11.85546875" style="925" customWidth="1"/>
    <col min="13827" max="13827" width="18.140625" style="925" customWidth="1"/>
    <col min="13828" max="13828" width="17.85546875" style="925" customWidth="1"/>
    <col min="13829" max="13829" width="15.28515625" style="925" customWidth="1"/>
    <col min="13830" max="13831" width="17.85546875" style="925" customWidth="1"/>
    <col min="13832" max="13834" width="17.5703125" style="925" customWidth="1"/>
    <col min="13835" max="14076" width="9.140625" style="925"/>
    <col min="14077" max="14077" width="34.140625" style="925" customWidth="1"/>
    <col min="14078" max="14078" width="56.85546875" style="925" customWidth="1"/>
    <col min="14079" max="14079" width="59.42578125" style="925" customWidth="1"/>
    <col min="14080" max="14080" width="9.140625" style="925"/>
    <col min="14081" max="14082" width="11.85546875" style="925" customWidth="1"/>
    <col min="14083" max="14083" width="18.140625" style="925" customWidth="1"/>
    <col min="14084" max="14084" width="17.85546875" style="925" customWidth="1"/>
    <col min="14085" max="14085" width="15.28515625" style="925" customWidth="1"/>
    <col min="14086" max="14087" width="17.85546875" style="925" customWidth="1"/>
    <col min="14088" max="14090" width="17.5703125" style="925" customWidth="1"/>
    <col min="14091" max="14332" width="9.140625" style="925"/>
    <col min="14333" max="14333" width="34.140625" style="925" customWidth="1"/>
    <col min="14334" max="14334" width="56.85546875" style="925" customWidth="1"/>
    <col min="14335" max="14335" width="59.42578125" style="925" customWidth="1"/>
    <col min="14336" max="14336" width="9.140625" style="925"/>
    <col min="14337" max="14338" width="11.85546875" style="925" customWidth="1"/>
    <col min="14339" max="14339" width="18.140625" style="925" customWidth="1"/>
    <col min="14340" max="14340" width="17.85546875" style="925" customWidth="1"/>
    <col min="14341" max="14341" width="15.28515625" style="925" customWidth="1"/>
    <col min="14342" max="14343" width="17.85546875" style="925" customWidth="1"/>
    <col min="14344" max="14346" width="17.5703125" style="925" customWidth="1"/>
    <col min="14347" max="14588" width="9.140625" style="925"/>
    <col min="14589" max="14589" width="34.140625" style="925" customWidth="1"/>
    <col min="14590" max="14590" width="56.85546875" style="925" customWidth="1"/>
    <col min="14591" max="14591" width="59.42578125" style="925" customWidth="1"/>
    <col min="14592" max="14592" width="9.140625" style="925"/>
    <col min="14593" max="14594" width="11.85546875" style="925" customWidth="1"/>
    <col min="14595" max="14595" width="18.140625" style="925" customWidth="1"/>
    <col min="14596" max="14596" width="17.85546875" style="925" customWidth="1"/>
    <col min="14597" max="14597" width="15.28515625" style="925" customWidth="1"/>
    <col min="14598" max="14599" width="17.85546875" style="925" customWidth="1"/>
    <col min="14600" max="14602" width="17.5703125" style="925" customWidth="1"/>
    <col min="14603" max="14844" width="9.140625" style="925"/>
    <col min="14845" max="14845" width="34.140625" style="925" customWidth="1"/>
    <col min="14846" max="14846" width="56.85546875" style="925" customWidth="1"/>
    <col min="14847" max="14847" width="59.42578125" style="925" customWidth="1"/>
    <col min="14848" max="14848" width="9.140625" style="925"/>
    <col min="14849" max="14850" width="11.85546875" style="925" customWidth="1"/>
    <col min="14851" max="14851" width="18.140625" style="925" customWidth="1"/>
    <col min="14852" max="14852" width="17.85546875" style="925" customWidth="1"/>
    <col min="14853" max="14853" width="15.28515625" style="925" customWidth="1"/>
    <col min="14854" max="14855" width="17.85546875" style="925" customWidth="1"/>
    <col min="14856" max="14858" width="17.5703125" style="925" customWidth="1"/>
    <col min="14859" max="15100" width="9.140625" style="925"/>
    <col min="15101" max="15101" width="34.140625" style="925" customWidth="1"/>
    <col min="15102" max="15102" width="56.85546875" style="925" customWidth="1"/>
    <col min="15103" max="15103" width="59.42578125" style="925" customWidth="1"/>
    <col min="15104" max="15104" width="9.140625" style="925"/>
    <col min="15105" max="15106" width="11.85546875" style="925" customWidth="1"/>
    <col min="15107" max="15107" width="18.140625" style="925" customWidth="1"/>
    <col min="15108" max="15108" width="17.85546875" style="925" customWidth="1"/>
    <col min="15109" max="15109" width="15.28515625" style="925" customWidth="1"/>
    <col min="15110" max="15111" width="17.85546875" style="925" customWidth="1"/>
    <col min="15112" max="15114" width="17.5703125" style="925" customWidth="1"/>
    <col min="15115" max="15356" width="9.140625" style="925"/>
    <col min="15357" max="15357" width="34.140625" style="925" customWidth="1"/>
    <col min="15358" max="15358" width="56.85546875" style="925" customWidth="1"/>
    <col min="15359" max="15359" width="59.42578125" style="925" customWidth="1"/>
    <col min="15360" max="15360" width="9.140625" style="925"/>
    <col min="15361" max="15362" width="11.85546875" style="925" customWidth="1"/>
    <col min="15363" max="15363" width="18.140625" style="925" customWidth="1"/>
    <col min="15364" max="15364" width="17.85546875" style="925" customWidth="1"/>
    <col min="15365" max="15365" width="15.28515625" style="925" customWidth="1"/>
    <col min="15366" max="15367" width="17.85546875" style="925" customWidth="1"/>
    <col min="15368" max="15370" width="17.5703125" style="925" customWidth="1"/>
    <col min="15371" max="15612" width="9.140625" style="925"/>
    <col min="15613" max="15613" width="34.140625" style="925" customWidth="1"/>
    <col min="15614" max="15614" width="56.85546875" style="925" customWidth="1"/>
    <col min="15615" max="15615" width="59.42578125" style="925" customWidth="1"/>
    <col min="15616" max="15616" width="9.140625" style="925"/>
    <col min="15617" max="15618" width="11.85546875" style="925" customWidth="1"/>
    <col min="15619" max="15619" width="18.140625" style="925" customWidth="1"/>
    <col min="15620" max="15620" width="17.85546875" style="925" customWidth="1"/>
    <col min="15621" max="15621" width="15.28515625" style="925" customWidth="1"/>
    <col min="15622" max="15623" width="17.85546875" style="925" customWidth="1"/>
    <col min="15624" max="15626" width="17.5703125" style="925" customWidth="1"/>
    <col min="15627" max="15868" width="9.140625" style="925"/>
    <col min="15869" max="15869" width="34.140625" style="925" customWidth="1"/>
    <col min="15870" max="15870" width="56.85546875" style="925" customWidth="1"/>
    <col min="15871" max="15871" width="59.42578125" style="925" customWidth="1"/>
    <col min="15872" max="15872" width="9.140625" style="925"/>
    <col min="15873" max="15874" width="11.85546875" style="925" customWidth="1"/>
    <col min="15875" max="15875" width="18.140625" style="925" customWidth="1"/>
    <col min="15876" max="15876" width="17.85546875" style="925" customWidth="1"/>
    <col min="15877" max="15877" width="15.28515625" style="925" customWidth="1"/>
    <col min="15878" max="15879" width="17.85546875" style="925" customWidth="1"/>
    <col min="15880" max="15882" width="17.5703125" style="925" customWidth="1"/>
    <col min="15883" max="16124" width="9.140625" style="925"/>
    <col min="16125" max="16125" width="34.140625" style="925" customWidth="1"/>
    <col min="16126" max="16126" width="56.85546875" style="925" customWidth="1"/>
    <col min="16127" max="16127" width="59.42578125" style="925" customWidth="1"/>
    <col min="16128" max="16128" width="9.140625" style="925"/>
    <col min="16129" max="16130" width="11.85546875" style="925" customWidth="1"/>
    <col min="16131" max="16131" width="18.140625" style="925" customWidth="1"/>
    <col min="16132" max="16132" width="17.85546875" style="925" customWidth="1"/>
    <col min="16133" max="16133" width="15.28515625" style="925" customWidth="1"/>
    <col min="16134" max="16135" width="17.85546875" style="925" customWidth="1"/>
    <col min="16136" max="16138" width="17.5703125" style="925" customWidth="1"/>
    <col min="16139" max="16384" width="9.140625" style="925"/>
  </cols>
  <sheetData>
    <row r="2" spans="1:11" ht="25.5">
      <c r="A2" s="922" t="s">
        <v>996</v>
      </c>
      <c r="B2" s="922"/>
      <c r="C2" s="922"/>
      <c r="D2" s="923"/>
      <c r="E2" s="922"/>
      <c r="F2" s="924"/>
      <c r="G2" s="924"/>
      <c r="H2" s="924"/>
      <c r="I2" s="924"/>
      <c r="J2" s="924"/>
      <c r="K2" s="924"/>
    </row>
    <row r="3" spans="1:11" ht="15.75">
      <c r="A3" s="926" t="s">
        <v>997</v>
      </c>
      <c r="B3" s="927"/>
      <c r="C3" s="928"/>
      <c r="D3" s="929"/>
      <c r="E3" s="928"/>
      <c r="F3" s="930"/>
      <c r="G3" s="930"/>
      <c r="H3" s="930"/>
      <c r="I3" s="930"/>
      <c r="J3" s="930"/>
      <c r="K3" s="930"/>
    </row>
    <row r="4" spans="1:11" ht="15.75">
      <c r="A4" s="926" t="s">
        <v>998</v>
      </c>
      <c r="B4" s="928"/>
      <c r="C4" s="928"/>
      <c r="D4" s="929"/>
      <c r="E4" s="928"/>
      <c r="F4" s="930"/>
      <c r="G4" s="930"/>
      <c r="H4" s="930"/>
      <c r="I4" s="930"/>
      <c r="J4" s="930"/>
      <c r="K4" s="930"/>
    </row>
    <row r="5" spans="1:11" ht="15.75">
      <c r="A5" s="931"/>
      <c r="B5" s="931"/>
      <c r="C5" s="931"/>
      <c r="D5" s="929"/>
      <c r="E5" s="931"/>
      <c r="F5" s="932"/>
      <c r="G5" s="932"/>
      <c r="H5" s="932"/>
      <c r="I5" s="932"/>
      <c r="J5" s="932"/>
      <c r="K5" s="932"/>
    </row>
    <row r="6" spans="1:11" s="938" customFormat="1" ht="31.5">
      <c r="A6" s="933" t="s">
        <v>51</v>
      </c>
      <c r="B6" s="933" t="s">
        <v>614</v>
      </c>
      <c r="C6" s="933" t="s">
        <v>1000</v>
      </c>
      <c r="D6" s="933" t="s">
        <v>1001</v>
      </c>
      <c r="E6" s="933" t="s">
        <v>1002</v>
      </c>
      <c r="F6" s="934" t="s">
        <v>768</v>
      </c>
      <c r="G6" s="935" t="s">
        <v>1003</v>
      </c>
      <c r="H6" s="936" t="s">
        <v>769</v>
      </c>
      <c r="I6" s="936" t="s">
        <v>1004</v>
      </c>
      <c r="J6" s="936" t="s">
        <v>769</v>
      </c>
      <c r="K6" s="937" t="s">
        <v>1005</v>
      </c>
    </row>
    <row r="7" spans="1:11" s="938" customFormat="1" ht="15.75">
      <c r="A7" s="933"/>
      <c r="B7" s="933"/>
      <c r="C7" s="933"/>
      <c r="D7" s="933"/>
      <c r="E7" s="933"/>
      <c r="F7" s="936" t="s">
        <v>1007</v>
      </c>
      <c r="G7" s="939"/>
      <c r="H7" s="936" t="s">
        <v>1007</v>
      </c>
      <c r="I7" s="936" t="s">
        <v>1008</v>
      </c>
      <c r="J7" s="936" t="s">
        <v>1009</v>
      </c>
      <c r="K7" s="937"/>
    </row>
    <row r="8" spans="1:11" ht="15.75">
      <c r="A8" s="940">
        <v>1</v>
      </c>
      <c r="B8" s="941" t="s">
        <v>1010</v>
      </c>
      <c r="C8" s="942"/>
      <c r="D8" s="940" t="s">
        <v>1011</v>
      </c>
      <c r="E8" s="940">
        <v>45</v>
      </c>
      <c r="F8" s="943"/>
      <c r="G8" s="943"/>
      <c r="H8" s="943"/>
      <c r="I8" s="943"/>
      <c r="J8" s="943"/>
      <c r="K8" s="937"/>
    </row>
    <row r="9" spans="1:11" ht="112.5" customHeight="1" outlineLevel="1">
      <c r="A9" s="940">
        <v>1</v>
      </c>
      <c r="B9" s="944" t="s">
        <v>1012</v>
      </c>
      <c r="C9" s="945" t="s">
        <v>1013</v>
      </c>
      <c r="D9" s="946" t="s">
        <v>1014</v>
      </c>
      <c r="E9" s="947">
        <f>23*E8</f>
        <v>1035</v>
      </c>
      <c r="F9" s="948">
        <v>1830000</v>
      </c>
      <c r="G9" s="949">
        <v>0.1</v>
      </c>
      <c r="H9" s="950">
        <f t="shared" ref="H9:H72" si="0">E9*F9</f>
        <v>1894050000</v>
      </c>
      <c r="I9" s="950">
        <v>1800000</v>
      </c>
      <c r="J9" s="950">
        <f>+ROUND(I9*E9,0)</f>
        <v>1863000000</v>
      </c>
      <c r="K9" s="948"/>
    </row>
    <row r="10" spans="1:11" ht="101.25" customHeight="1" outlineLevel="1">
      <c r="A10" s="940">
        <f t="shared" ref="A10:A19" si="1">A9+1</f>
        <v>2</v>
      </c>
      <c r="B10" s="944" t="s">
        <v>1015</v>
      </c>
      <c r="C10" s="951" t="s">
        <v>1016</v>
      </c>
      <c r="D10" s="946" t="s">
        <v>1014</v>
      </c>
      <c r="E10" s="952">
        <f>E8*45</f>
        <v>2025</v>
      </c>
      <c r="F10" s="948">
        <v>485000</v>
      </c>
      <c r="G10" s="949">
        <v>0.1</v>
      </c>
      <c r="H10" s="950">
        <f t="shared" si="0"/>
        <v>982125000</v>
      </c>
      <c r="I10" s="950">
        <f t="shared" ref="I10:I73" si="2">+ROUND(F10*1.1,0)</f>
        <v>533500</v>
      </c>
      <c r="J10" s="950">
        <f t="shared" ref="J10:J73" si="3">+ROUND(I10*E10,0)</f>
        <v>1080337500</v>
      </c>
      <c r="K10" s="948"/>
    </row>
    <row r="11" spans="1:11" ht="78.75" outlineLevel="1">
      <c r="A11" s="940">
        <f t="shared" si="1"/>
        <v>3</v>
      </c>
      <c r="B11" s="944" t="s">
        <v>1017</v>
      </c>
      <c r="C11" s="953" t="s">
        <v>1018</v>
      </c>
      <c r="D11" s="954" t="s">
        <v>680</v>
      </c>
      <c r="E11" s="947">
        <f>E8</f>
        <v>45</v>
      </c>
      <c r="F11" s="955">
        <v>3740000</v>
      </c>
      <c r="G11" s="949">
        <v>0.1</v>
      </c>
      <c r="H11" s="950">
        <f t="shared" si="0"/>
        <v>168300000</v>
      </c>
      <c r="I11" s="950">
        <f t="shared" si="2"/>
        <v>4114000</v>
      </c>
      <c r="J11" s="950">
        <f t="shared" si="3"/>
        <v>185130000</v>
      </c>
      <c r="K11" s="956"/>
    </row>
    <row r="12" spans="1:11" ht="94.5" customHeight="1" outlineLevel="1">
      <c r="A12" s="940">
        <f t="shared" si="1"/>
        <v>4</v>
      </c>
      <c r="B12" s="944" t="s">
        <v>1019</v>
      </c>
      <c r="C12" s="944" t="s">
        <v>1020</v>
      </c>
      <c r="D12" s="957"/>
      <c r="E12" s="958"/>
      <c r="F12" s="959"/>
      <c r="G12" s="949"/>
      <c r="H12" s="950">
        <f t="shared" si="0"/>
        <v>0</v>
      </c>
      <c r="I12" s="950">
        <f t="shared" si="2"/>
        <v>0</v>
      </c>
      <c r="J12" s="950">
        <f t="shared" si="3"/>
        <v>0</v>
      </c>
      <c r="K12" s="960"/>
    </row>
    <row r="13" spans="1:11" ht="153" customHeight="1" outlineLevel="1">
      <c r="A13" s="940">
        <f t="shared" si="1"/>
        <v>5</v>
      </c>
      <c r="B13" s="944" t="s">
        <v>1021</v>
      </c>
      <c r="C13" s="953" t="s">
        <v>1022</v>
      </c>
      <c r="D13" s="961" t="s">
        <v>627</v>
      </c>
      <c r="E13" s="962">
        <f>E8</f>
        <v>45</v>
      </c>
      <c r="F13" s="948">
        <v>5600000</v>
      </c>
      <c r="G13" s="949">
        <v>0.1</v>
      </c>
      <c r="H13" s="950">
        <f t="shared" si="0"/>
        <v>252000000</v>
      </c>
      <c r="I13" s="950">
        <f t="shared" si="2"/>
        <v>6160000</v>
      </c>
      <c r="J13" s="950">
        <f t="shared" si="3"/>
        <v>277200000</v>
      </c>
      <c r="K13" s="948"/>
    </row>
    <row r="14" spans="1:11" ht="187.5" customHeight="1" outlineLevel="1">
      <c r="A14" s="940">
        <f t="shared" si="1"/>
        <v>6</v>
      </c>
      <c r="B14" s="944" t="s">
        <v>1023</v>
      </c>
      <c r="C14" s="963" t="s">
        <v>1024</v>
      </c>
      <c r="D14" s="961" t="s">
        <v>680</v>
      </c>
      <c r="E14" s="962">
        <f t="shared" ref="E14:E16" si="4">E13</f>
        <v>45</v>
      </c>
      <c r="F14" s="948">
        <v>8880000</v>
      </c>
      <c r="G14" s="949">
        <v>0.1</v>
      </c>
      <c r="H14" s="950">
        <f t="shared" si="0"/>
        <v>399600000</v>
      </c>
      <c r="I14" s="950">
        <f t="shared" si="2"/>
        <v>9768000</v>
      </c>
      <c r="J14" s="950">
        <f t="shared" si="3"/>
        <v>439560000</v>
      </c>
      <c r="K14" s="948"/>
    </row>
    <row r="15" spans="1:11" ht="63" customHeight="1" outlineLevel="1">
      <c r="A15" s="940">
        <f t="shared" si="1"/>
        <v>7</v>
      </c>
      <c r="B15" s="944" t="s">
        <v>1025</v>
      </c>
      <c r="C15" s="964" t="s">
        <v>1026</v>
      </c>
      <c r="D15" s="961" t="s">
        <v>1028</v>
      </c>
      <c r="E15" s="962">
        <f t="shared" si="4"/>
        <v>45</v>
      </c>
      <c r="F15" s="948">
        <v>650000</v>
      </c>
      <c r="G15" s="949">
        <v>0.1</v>
      </c>
      <c r="H15" s="950">
        <f t="shared" si="0"/>
        <v>29250000</v>
      </c>
      <c r="I15" s="950">
        <f t="shared" si="2"/>
        <v>715000</v>
      </c>
      <c r="J15" s="950">
        <f t="shared" si="3"/>
        <v>32175000</v>
      </c>
      <c r="K15" s="948"/>
    </row>
    <row r="16" spans="1:11" ht="63" customHeight="1" outlineLevel="1">
      <c r="A16" s="940">
        <f t="shared" si="1"/>
        <v>8</v>
      </c>
      <c r="B16" s="944" t="s">
        <v>1029</v>
      </c>
      <c r="C16" s="965" t="s">
        <v>1030</v>
      </c>
      <c r="D16" s="961" t="s">
        <v>627</v>
      </c>
      <c r="E16" s="962">
        <f t="shared" si="4"/>
        <v>45</v>
      </c>
      <c r="F16" s="948">
        <v>130000</v>
      </c>
      <c r="G16" s="949">
        <v>0.1</v>
      </c>
      <c r="H16" s="950">
        <f t="shared" si="0"/>
        <v>5850000</v>
      </c>
      <c r="I16" s="950">
        <f t="shared" si="2"/>
        <v>143000</v>
      </c>
      <c r="J16" s="950">
        <f t="shared" si="3"/>
        <v>6435000</v>
      </c>
      <c r="K16" s="948"/>
    </row>
    <row r="17" spans="1:11" ht="175.5" customHeight="1" outlineLevel="1">
      <c r="A17" s="940">
        <f t="shared" si="1"/>
        <v>9</v>
      </c>
      <c r="B17" s="944" t="s">
        <v>1031</v>
      </c>
      <c r="C17" s="953" t="s">
        <v>1032</v>
      </c>
      <c r="D17" s="940" t="s">
        <v>1033</v>
      </c>
      <c r="E17" s="962">
        <f>E8</f>
        <v>45</v>
      </c>
      <c r="F17" s="948">
        <v>6800000</v>
      </c>
      <c r="G17" s="949">
        <v>0.05</v>
      </c>
      <c r="H17" s="950">
        <f t="shared" si="0"/>
        <v>306000000</v>
      </c>
      <c r="I17" s="950">
        <f t="shared" si="2"/>
        <v>7480000</v>
      </c>
      <c r="J17" s="950">
        <f t="shared" si="3"/>
        <v>336600000</v>
      </c>
      <c r="K17" s="948"/>
    </row>
    <row r="18" spans="1:11" ht="59.25" customHeight="1" outlineLevel="1">
      <c r="A18" s="940">
        <f t="shared" si="1"/>
        <v>10</v>
      </c>
      <c r="B18" s="944" t="s">
        <v>1034</v>
      </c>
      <c r="C18" s="966" t="s">
        <v>1035</v>
      </c>
      <c r="D18" s="940" t="s">
        <v>1033</v>
      </c>
      <c r="E18" s="962">
        <f>E8</f>
        <v>45</v>
      </c>
      <c r="F18" s="948">
        <v>130000</v>
      </c>
      <c r="G18" s="949">
        <v>0.1</v>
      </c>
      <c r="H18" s="950">
        <f t="shared" si="0"/>
        <v>5850000</v>
      </c>
      <c r="I18" s="950">
        <f t="shared" si="2"/>
        <v>143000</v>
      </c>
      <c r="J18" s="950">
        <f t="shared" si="3"/>
        <v>6435000</v>
      </c>
      <c r="K18" s="948"/>
    </row>
    <row r="19" spans="1:11" ht="177" customHeight="1" outlineLevel="1">
      <c r="A19" s="940">
        <f t="shared" si="1"/>
        <v>11</v>
      </c>
      <c r="B19" s="967" t="s">
        <v>1036</v>
      </c>
      <c r="C19" s="964" t="s">
        <v>1037</v>
      </c>
      <c r="D19" s="940" t="s">
        <v>627</v>
      </c>
      <c r="E19" s="962">
        <v>37</v>
      </c>
      <c r="F19" s="948">
        <v>19500000</v>
      </c>
      <c r="G19" s="949">
        <v>0.1</v>
      </c>
      <c r="H19" s="950">
        <f t="shared" si="0"/>
        <v>721500000</v>
      </c>
      <c r="I19" s="950">
        <f t="shared" si="2"/>
        <v>21450000</v>
      </c>
      <c r="J19" s="950">
        <f t="shared" si="3"/>
        <v>793650000</v>
      </c>
      <c r="K19" s="948" t="s">
        <v>1039</v>
      </c>
    </row>
    <row r="20" spans="1:11" ht="15.75">
      <c r="A20" s="940">
        <v>2</v>
      </c>
      <c r="B20" s="941" t="s">
        <v>1041</v>
      </c>
      <c r="C20" s="942"/>
      <c r="D20" s="968" t="s">
        <v>1011</v>
      </c>
      <c r="E20" s="968">
        <v>1</v>
      </c>
      <c r="F20" s="948"/>
      <c r="G20" s="949"/>
      <c r="H20" s="950">
        <f t="shared" si="0"/>
        <v>0</v>
      </c>
      <c r="I20" s="950">
        <f t="shared" si="2"/>
        <v>0</v>
      </c>
      <c r="J20" s="950">
        <f t="shared" si="3"/>
        <v>0</v>
      </c>
      <c r="K20" s="948"/>
    </row>
    <row r="21" spans="1:11" ht="103.5" customHeight="1" outlineLevel="1">
      <c r="A21" s="940">
        <v>1</v>
      </c>
      <c r="B21" s="944" t="s">
        <v>1042</v>
      </c>
      <c r="C21" s="944" t="s">
        <v>1044</v>
      </c>
      <c r="D21" s="940" t="s">
        <v>680</v>
      </c>
      <c r="E21" s="962">
        <v>1</v>
      </c>
      <c r="F21" s="948">
        <v>6550000</v>
      </c>
      <c r="G21" s="949">
        <v>0.1</v>
      </c>
      <c r="H21" s="950">
        <f t="shared" si="0"/>
        <v>6550000</v>
      </c>
      <c r="I21" s="950">
        <f t="shared" si="2"/>
        <v>7205000</v>
      </c>
      <c r="J21" s="950">
        <f t="shared" si="3"/>
        <v>7205000</v>
      </c>
      <c r="K21" s="948"/>
    </row>
    <row r="22" spans="1:11" ht="110.25" customHeight="1" outlineLevel="1">
      <c r="A22" s="940">
        <f t="shared" ref="A22:A32" si="5">A21+1</f>
        <v>2</v>
      </c>
      <c r="B22" s="944" t="s">
        <v>1045</v>
      </c>
      <c r="C22" s="963" t="s">
        <v>1046</v>
      </c>
      <c r="D22" s="940" t="s">
        <v>627</v>
      </c>
      <c r="E22" s="962">
        <v>1</v>
      </c>
      <c r="F22" s="948">
        <v>2700000</v>
      </c>
      <c r="G22" s="949">
        <v>0.1</v>
      </c>
      <c r="H22" s="950">
        <f t="shared" si="0"/>
        <v>2700000</v>
      </c>
      <c r="I22" s="950">
        <f t="shared" si="2"/>
        <v>2970000</v>
      </c>
      <c r="J22" s="950">
        <f t="shared" si="3"/>
        <v>2970000</v>
      </c>
      <c r="K22" s="948"/>
    </row>
    <row r="23" spans="1:11" ht="63" customHeight="1" outlineLevel="1">
      <c r="A23" s="940">
        <f t="shared" si="5"/>
        <v>3</v>
      </c>
      <c r="B23" s="944" t="s">
        <v>1047</v>
      </c>
      <c r="C23" s="969" t="s">
        <v>1048</v>
      </c>
      <c r="D23" s="940" t="s">
        <v>627</v>
      </c>
      <c r="E23" s="962">
        <v>2</v>
      </c>
      <c r="F23" s="948">
        <v>480000</v>
      </c>
      <c r="G23" s="949">
        <v>0.1</v>
      </c>
      <c r="H23" s="950">
        <f t="shared" si="0"/>
        <v>960000</v>
      </c>
      <c r="I23" s="950">
        <f t="shared" si="2"/>
        <v>528000</v>
      </c>
      <c r="J23" s="950">
        <f t="shared" si="3"/>
        <v>1056000</v>
      </c>
      <c r="K23" s="948"/>
    </row>
    <row r="24" spans="1:11" ht="156" customHeight="1" outlineLevel="1">
      <c r="A24" s="940">
        <f t="shared" si="5"/>
        <v>4</v>
      </c>
      <c r="B24" s="944" t="s">
        <v>1021</v>
      </c>
      <c r="C24" s="953" t="s">
        <v>1022</v>
      </c>
      <c r="D24" s="940" t="s">
        <v>627</v>
      </c>
      <c r="E24" s="962">
        <v>1</v>
      </c>
      <c r="F24" s="948">
        <v>5600000</v>
      </c>
      <c r="G24" s="949">
        <v>0.1</v>
      </c>
      <c r="H24" s="950">
        <f t="shared" si="0"/>
        <v>5600000</v>
      </c>
      <c r="I24" s="950">
        <f t="shared" si="2"/>
        <v>6160000</v>
      </c>
      <c r="J24" s="950">
        <f t="shared" si="3"/>
        <v>6160000</v>
      </c>
      <c r="K24" s="948"/>
    </row>
    <row r="25" spans="1:11" ht="106.5" customHeight="1" outlineLevel="1">
      <c r="A25" s="940">
        <f t="shared" si="5"/>
        <v>5</v>
      </c>
      <c r="B25" s="944" t="s">
        <v>1052</v>
      </c>
      <c r="C25" s="970" t="s">
        <v>1080</v>
      </c>
      <c r="D25" s="940" t="s">
        <v>680</v>
      </c>
      <c r="E25" s="962">
        <v>1</v>
      </c>
      <c r="F25" s="948">
        <v>14016000</v>
      </c>
      <c r="G25" s="949">
        <v>0.1</v>
      </c>
      <c r="H25" s="950">
        <f t="shared" si="0"/>
        <v>14016000</v>
      </c>
      <c r="I25" s="950">
        <f t="shared" si="2"/>
        <v>15417600</v>
      </c>
      <c r="J25" s="950">
        <f t="shared" si="3"/>
        <v>15417600</v>
      </c>
      <c r="K25" s="948"/>
    </row>
    <row r="26" spans="1:11" ht="120.75" customHeight="1" outlineLevel="1">
      <c r="A26" s="940">
        <f t="shared" si="5"/>
        <v>6</v>
      </c>
      <c r="B26" s="944" t="s">
        <v>1054</v>
      </c>
      <c r="C26" s="971" t="s">
        <v>1055</v>
      </c>
      <c r="D26" s="940" t="s">
        <v>627</v>
      </c>
      <c r="E26" s="962">
        <v>2</v>
      </c>
      <c r="F26" s="948">
        <v>2400000</v>
      </c>
      <c r="G26" s="949">
        <v>0.05</v>
      </c>
      <c r="H26" s="950">
        <f t="shared" si="0"/>
        <v>4800000</v>
      </c>
      <c r="I26" s="950">
        <f t="shared" si="2"/>
        <v>2640000</v>
      </c>
      <c r="J26" s="950">
        <f t="shared" si="3"/>
        <v>5280000</v>
      </c>
      <c r="K26" s="948"/>
    </row>
    <row r="27" spans="1:11" ht="63" outlineLevel="1">
      <c r="A27" s="940">
        <f t="shared" si="5"/>
        <v>7</v>
      </c>
      <c r="B27" s="944" t="s">
        <v>1056</v>
      </c>
      <c r="C27" s="972" t="s">
        <v>1057</v>
      </c>
      <c r="D27" s="940" t="s">
        <v>627</v>
      </c>
      <c r="E27" s="962">
        <v>1</v>
      </c>
      <c r="F27" s="948">
        <v>1200000</v>
      </c>
      <c r="G27" s="949">
        <v>0.1</v>
      </c>
      <c r="H27" s="950">
        <f t="shared" si="0"/>
        <v>1200000</v>
      </c>
      <c r="I27" s="950">
        <f t="shared" si="2"/>
        <v>1320000</v>
      </c>
      <c r="J27" s="950">
        <f t="shared" si="3"/>
        <v>1320000</v>
      </c>
      <c r="K27" s="948"/>
    </row>
    <row r="28" spans="1:11" ht="409.5" customHeight="1" outlineLevel="1">
      <c r="A28" s="940">
        <f t="shared" si="5"/>
        <v>8</v>
      </c>
      <c r="B28" s="973" t="s">
        <v>1058</v>
      </c>
      <c r="C28" s="974" t="s">
        <v>1059</v>
      </c>
      <c r="D28" s="940" t="s">
        <v>627</v>
      </c>
      <c r="E28" s="962">
        <v>1</v>
      </c>
      <c r="F28" s="948">
        <v>15000000</v>
      </c>
      <c r="G28" s="949">
        <v>0.1</v>
      </c>
      <c r="H28" s="950">
        <f t="shared" si="0"/>
        <v>15000000</v>
      </c>
      <c r="I28" s="950">
        <f t="shared" si="2"/>
        <v>16500000</v>
      </c>
      <c r="J28" s="950">
        <f t="shared" si="3"/>
        <v>16500000</v>
      </c>
      <c r="K28" s="948"/>
    </row>
    <row r="29" spans="1:11" ht="189" customHeight="1" outlineLevel="1">
      <c r="A29" s="940">
        <f t="shared" si="5"/>
        <v>9</v>
      </c>
      <c r="B29" s="975" t="s">
        <v>1062</v>
      </c>
      <c r="C29" s="976" t="s">
        <v>1063</v>
      </c>
      <c r="D29" s="961" t="s">
        <v>627</v>
      </c>
      <c r="E29" s="962">
        <v>1</v>
      </c>
      <c r="F29" s="948">
        <v>5200000</v>
      </c>
      <c r="G29" s="949">
        <v>0.1</v>
      </c>
      <c r="H29" s="950">
        <f t="shared" si="0"/>
        <v>5200000</v>
      </c>
      <c r="I29" s="950">
        <f t="shared" si="2"/>
        <v>5720000</v>
      </c>
      <c r="J29" s="950">
        <f t="shared" si="3"/>
        <v>5720000</v>
      </c>
      <c r="K29" s="948"/>
    </row>
    <row r="30" spans="1:11" ht="47.25" outlineLevel="1">
      <c r="A30" s="940">
        <f t="shared" si="5"/>
        <v>10</v>
      </c>
      <c r="B30" s="944" t="s">
        <v>1066</v>
      </c>
      <c r="C30" s="944" t="s">
        <v>1067</v>
      </c>
      <c r="D30" s="940" t="s">
        <v>627</v>
      </c>
      <c r="E30" s="962">
        <v>1</v>
      </c>
      <c r="F30" s="948">
        <v>300000</v>
      </c>
      <c r="G30" s="949">
        <v>0.1</v>
      </c>
      <c r="H30" s="950">
        <f t="shared" si="0"/>
        <v>300000</v>
      </c>
      <c r="I30" s="950">
        <f t="shared" si="2"/>
        <v>330000</v>
      </c>
      <c r="J30" s="950">
        <f t="shared" si="3"/>
        <v>330000</v>
      </c>
      <c r="K30" s="948"/>
    </row>
    <row r="31" spans="1:11" ht="47.25" customHeight="1" outlineLevel="1">
      <c r="A31" s="940">
        <f t="shared" si="5"/>
        <v>11</v>
      </c>
      <c r="B31" s="944" t="s">
        <v>1034</v>
      </c>
      <c r="C31" s="966" t="s">
        <v>1035</v>
      </c>
      <c r="D31" s="940" t="s">
        <v>1068</v>
      </c>
      <c r="E31" s="962">
        <v>1</v>
      </c>
      <c r="F31" s="948">
        <v>130000</v>
      </c>
      <c r="G31" s="949">
        <v>0.1</v>
      </c>
      <c r="H31" s="950">
        <f t="shared" si="0"/>
        <v>130000</v>
      </c>
      <c r="I31" s="950">
        <f t="shared" si="2"/>
        <v>143000</v>
      </c>
      <c r="J31" s="950">
        <f t="shared" si="3"/>
        <v>143000</v>
      </c>
      <c r="K31" s="948"/>
    </row>
    <row r="32" spans="1:11" s="985" customFormat="1" ht="63" customHeight="1" outlineLevel="1">
      <c r="A32" s="977">
        <f t="shared" si="5"/>
        <v>12</v>
      </c>
      <c r="B32" s="978" t="s">
        <v>1069</v>
      </c>
      <c r="C32" s="979" t="s">
        <v>1070</v>
      </c>
      <c r="D32" s="980" t="s">
        <v>1071</v>
      </c>
      <c r="E32" s="981">
        <v>1</v>
      </c>
      <c r="F32" s="982">
        <v>21990000</v>
      </c>
      <c r="G32" s="983">
        <v>0.1</v>
      </c>
      <c r="H32" s="984">
        <f t="shared" si="0"/>
        <v>21990000</v>
      </c>
      <c r="I32" s="984">
        <f t="shared" si="2"/>
        <v>24189000</v>
      </c>
      <c r="J32" s="984">
        <f t="shared" si="3"/>
        <v>24189000</v>
      </c>
      <c r="K32" s="982"/>
    </row>
    <row r="33" spans="1:11" ht="15.75">
      <c r="A33" s="940">
        <v>3</v>
      </c>
      <c r="B33" s="941" t="s">
        <v>1072</v>
      </c>
      <c r="C33" s="942"/>
      <c r="D33" s="968" t="s">
        <v>1011</v>
      </c>
      <c r="E33" s="968">
        <v>2</v>
      </c>
      <c r="F33" s="948"/>
      <c r="G33" s="949"/>
      <c r="H33" s="950">
        <f t="shared" si="0"/>
        <v>0</v>
      </c>
      <c r="I33" s="950">
        <f t="shared" si="2"/>
        <v>0</v>
      </c>
      <c r="J33" s="950">
        <f t="shared" si="3"/>
        <v>0</v>
      </c>
      <c r="K33" s="948"/>
    </row>
    <row r="34" spans="1:11" ht="87" customHeight="1" outlineLevel="1">
      <c r="A34" s="940">
        <v>1</v>
      </c>
      <c r="B34" s="944" t="s">
        <v>1073</v>
      </c>
      <c r="C34" s="944" t="s">
        <v>1074</v>
      </c>
      <c r="D34" s="940" t="s">
        <v>680</v>
      </c>
      <c r="E34" s="962">
        <v>2</v>
      </c>
      <c r="F34" s="948">
        <v>6350000</v>
      </c>
      <c r="G34" s="949">
        <v>0.1</v>
      </c>
      <c r="H34" s="950">
        <f t="shared" si="0"/>
        <v>12700000</v>
      </c>
      <c r="I34" s="950">
        <f t="shared" si="2"/>
        <v>6985000</v>
      </c>
      <c r="J34" s="950">
        <f t="shared" si="3"/>
        <v>13970000</v>
      </c>
      <c r="K34" s="948"/>
    </row>
    <row r="35" spans="1:11" ht="73.5" customHeight="1" outlineLevel="1">
      <c r="A35" s="940">
        <f>A34+1</f>
        <v>2</v>
      </c>
      <c r="B35" s="944" t="s">
        <v>1075</v>
      </c>
      <c r="C35" s="963" t="s">
        <v>1076</v>
      </c>
      <c r="D35" s="940" t="s">
        <v>627</v>
      </c>
      <c r="E35" s="962">
        <v>2</v>
      </c>
      <c r="F35" s="948">
        <v>2400000</v>
      </c>
      <c r="G35" s="949">
        <v>0.1</v>
      </c>
      <c r="H35" s="950">
        <f t="shared" si="0"/>
        <v>4800000</v>
      </c>
      <c r="I35" s="950">
        <f t="shared" si="2"/>
        <v>2640000</v>
      </c>
      <c r="J35" s="950">
        <f t="shared" si="3"/>
        <v>5280000</v>
      </c>
      <c r="K35" s="948"/>
    </row>
    <row r="36" spans="1:11" ht="57" customHeight="1" outlineLevel="1">
      <c r="A36" s="940">
        <f t="shared" ref="A36:A43" si="6">A35+1</f>
        <v>3</v>
      </c>
      <c r="B36" s="944" t="s">
        <v>1077</v>
      </c>
      <c r="C36" s="969" t="s">
        <v>1048</v>
      </c>
      <c r="D36" s="940" t="s">
        <v>627</v>
      </c>
      <c r="E36" s="962">
        <v>4</v>
      </c>
      <c r="F36" s="948">
        <v>480000</v>
      </c>
      <c r="G36" s="949">
        <v>0.1</v>
      </c>
      <c r="H36" s="950">
        <f t="shared" si="0"/>
        <v>1920000</v>
      </c>
      <c r="I36" s="950">
        <f t="shared" si="2"/>
        <v>528000</v>
      </c>
      <c r="J36" s="950">
        <f t="shared" si="3"/>
        <v>2112000</v>
      </c>
      <c r="K36" s="948"/>
    </row>
    <row r="37" spans="1:11" ht="152.25" customHeight="1" outlineLevel="1">
      <c r="A37" s="940">
        <f t="shared" si="6"/>
        <v>4</v>
      </c>
      <c r="B37" s="944" t="s">
        <v>1021</v>
      </c>
      <c r="C37" s="953" t="s">
        <v>1022</v>
      </c>
      <c r="D37" s="940" t="s">
        <v>627</v>
      </c>
      <c r="E37" s="962">
        <v>2</v>
      </c>
      <c r="F37" s="948">
        <v>5600000</v>
      </c>
      <c r="G37" s="949">
        <v>0.1</v>
      </c>
      <c r="H37" s="950">
        <f t="shared" si="0"/>
        <v>11200000</v>
      </c>
      <c r="I37" s="950">
        <f t="shared" si="2"/>
        <v>6160000</v>
      </c>
      <c r="J37" s="950">
        <f t="shared" si="3"/>
        <v>12320000</v>
      </c>
      <c r="K37" s="948"/>
    </row>
    <row r="38" spans="1:11" ht="63" outlineLevel="1">
      <c r="A38" s="940">
        <f t="shared" si="6"/>
        <v>5</v>
      </c>
      <c r="B38" s="944" t="s">
        <v>1056</v>
      </c>
      <c r="C38" s="972" t="s">
        <v>1057</v>
      </c>
      <c r="D38" s="940" t="s">
        <v>627</v>
      </c>
      <c r="E38" s="962">
        <v>2</v>
      </c>
      <c r="F38" s="948">
        <v>1200000</v>
      </c>
      <c r="G38" s="949">
        <v>0.1</v>
      </c>
      <c r="H38" s="950">
        <f t="shared" si="0"/>
        <v>2400000</v>
      </c>
      <c r="I38" s="950">
        <f t="shared" si="2"/>
        <v>1320000</v>
      </c>
      <c r="J38" s="950">
        <f t="shared" si="3"/>
        <v>2640000</v>
      </c>
      <c r="K38" s="948"/>
    </row>
    <row r="39" spans="1:11" ht="123.75" customHeight="1" outlineLevel="1">
      <c r="A39" s="940">
        <f t="shared" si="6"/>
        <v>6</v>
      </c>
      <c r="B39" s="944" t="s">
        <v>1054</v>
      </c>
      <c r="C39" s="971" t="s">
        <v>1055</v>
      </c>
      <c r="D39" s="940" t="s">
        <v>627</v>
      </c>
      <c r="E39" s="962">
        <v>2</v>
      </c>
      <c r="F39" s="948">
        <v>2400000</v>
      </c>
      <c r="G39" s="949">
        <v>0.05</v>
      </c>
      <c r="H39" s="950">
        <f t="shared" si="0"/>
        <v>4800000</v>
      </c>
      <c r="I39" s="950">
        <f t="shared" si="2"/>
        <v>2640000</v>
      </c>
      <c r="J39" s="950">
        <f t="shared" si="3"/>
        <v>5280000</v>
      </c>
      <c r="K39" s="948"/>
    </row>
    <row r="40" spans="1:11" ht="409.5" customHeight="1" outlineLevel="1">
      <c r="A40" s="940">
        <f t="shared" si="6"/>
        <v>7</v>
      </c>
      <c r="B40" s="944" t="s">
        <v>1058</v>
      </c>
      <c r="C40" s="974" t="s">
        <v>1059</v>
      </c>
      <c r="D40" s="940" t="s">
        <v>627</v>
      </c>
      <c r="E40" s="962">
        <v>2</v>
      </c>
      <c r="F40" s="948">
        <v>15000000</v>
      </c>
      <c r="G40" s="949">
        <v>0.1</v>
      </c>
      <c r="H40" s="950">
        <f t="shared" si="0"/>
        <v>30000000</v>
      </c>
      <c r="I40" s="950">
        <f t="shared" si="2"/>
        <v>16500000</v>
      </c>
      <c r="J40" s="950">
        <f t="shared" si="3"/>
        <v>33000000</v>
      </c>
      <c r="K40" s="948"/>
    </row>
    <row r="41" spans="1:11" ht="189" customHeight="1" outlineLevel="1">
      <c r="A41" s="940">
        <f t="shared" si="6"/>
        <v>8</v>
      </c>
      <c r="B41" s="967" t="s">
        <v>1062</v>
      </c>
      <c r="C41" s="976" t="s">
        <v>1063</v>
      </c>
      <c r="D41" s="961" t="str">
        <f>D63</f>
        <v>Cái</v>
      </c>
      <c r="E41" s="986">
        <v>2</v>
      </c>
      <c r="F41" s="948">
        <v>5200000</v>
      </c>
      <c r="G41" s="949">
        <v>0.1</v>
      </c>
      <c r="H41" s="950">
        <f t="shared" si="0"/>
        <v>10400000</v>
      </c>
      <c r="I41" s="950">
        <f t="shared" si="2"/>
        <v>5720000</v>
      </c>
      <c r="J41" s="950">
        <f t="shared" si="3"/>
        <v>11440000</v>
      </c>
      <c r="K41" s="948"/>
    </row>
    <row r="42" spans="1:11" ht="47.25" outlineLevel="1">
      <c r="A42" s="940">
        <f t="shared" si="6"/>
        <v>9</v>
      </c>
      <c r="B42" s="944" t="s">
        <v>1066</v>
      </c>
      <c r="C42" s="944" t="s">
        <v>1067</v>
      </c>
      <c r="D42" s="940" t="s">
        <v>627</v>
      </c>
      <c r="E42" s="962">
        <v>2</v>
      </c>
      <c r="F42" s="948">
        <v>300000</v>
      </c>
      <c r="G42" s="949">
        <v>0.1</v>
      </c>
      <c r="H42" s="950">
        <f t="shared" si="0"/>
        <v>600000</v>
      </c>
      <c r="I42" s="950">
        <f t="shared" si="2"/>
        <v>330000</v>
      </c>
      <c r="J42" s="950">
        <f t="shared" si="3"/>
        <v>660000</v>
      </c>
      <c r="K42" s="948"/>
    </row>
    <row r="43" spans="1:11" ht="47.25" customHeight="1" outlineLevel="1">
      <c r="A43" s="940">
        <f t="shared" si="6"/>
        <v>10</v>
      </c>
      <c r="B43" s="944" t="s">
        <v>1034</v>
      </c>
      <c r="C43" s="966" t="s">
        <v>1035</v>
      </c>
      <c r="D43" s="940" t="s">
        <v>1068</v>
      </c>
      <c r="E43" s="962">
        <f>E33</f>
        <v>2</v>
      </c>
      <c r="F43" s="948">
        <v>130000</v>
      </c>
      <c r="G43" s="949">
        <v>0.1</v>
      </c>
      <c r="H43" s="950">
        <f t="shared" si="0"/>
        <v>260000</v>
      </c>
      <c r="I43" s="950">
        <f t="shared" si="2"/>
        <v>143000</v>
      </c>
      <c r="J43" s="950">
        <f t="shared" si="3"/>
        <v>286000</v>
      </c>
      <c r="K43" s="948"/>
    </row>
    <row r="44" spans="1:11" ht="15.75">
      <c r="A44" s="940">
        <v>4</v>
      </c>
      <c r="B44" s="987" t="s">
        <v>1079</v>
      </c>
      <c r="C44" s="942"/>
      <c r="D44" s="968" t="s">
        <v>1011</v>
      </c>
      <c r="E44" s="968">
        <v>1</v>
      </c>
      <c r="F44" s="948"/>
      <c r="G44" s="949"/>
      <c r="H44" s="950">
        <f t="shared" si="0"/>
        <v>0</v>
      </c>
      <c r="I44" s="950">
        <f t="shared" si="2"/>
        <v>0</v>
      </c>
      <c r="J44" s="950">
        <f t="shared" si="3"/>
        <v>0</v>
      </c>
      <c r="K44" s="948"/>
    </row>
    <row r="45" spans="1:11" ht="141.75" customHeight="1" outlineLevel="1">
      <c r="A45" s="940">
        <v>1</v>
      </c>
      <c r="B45" s="944" t="s">
        <v>1052</v>
      </c>
      <c r="C45" s="970" t="s">
        <v>1080</v>
      </c>
      <c r="D45" s="961" t="s">
        <v>680</v>
      </c>
      <c r="E45" s="962">
        <v>1</v>
      </c>
      <c r="F45" s="948">
        <v>14016000</v>
      </c>
      <c r="G45" s="949">
        <v>0.1</v>
      </c>
      <c r="H45" s="950">
        <f t="shared" si="0"/>
        <v>14016000</v>
      </c>
      <c r="I45" s="950">
        <f t="shared" si="2"/>
        <v>15417600</v>
      </c>
      <c r="J45" s="950">
        <f t="shared" si="3"/>
        <v>15417600</v>
      </c>
      <c r="K45" s="948"/>
    </row>
    <row r="46" spans="1:11" ht="47.25" outlineLevel="1">
      <c r="A46" s="940">
        <f>A45+1</f>
        <v>2</v>
      </c>
      <c r="B46" s="944" t="s">
        <v>1066</v>
      </c>
      <c r="C46" s="944" t="s">
        <v>1067</v>
      </c>
      <c r="D46" s="940" t="s">
        <v>627</v>
      </c>
      <c r="E46" s="962">
        <v>1</v>
      </c>
      <c r="F46" s="948">
        <v>300000</v>
      </c>
      <c r="G46" s="949">
        <v>0.1</v>
      </c>
      <c r="H46" s="950">
        <f t="shared" si="0"/>
        <v>300000</v>
      </c>
      <c r="I46" s="950">
        <f t="shared" si="2"/>
        <v>330000</v>
      </c>
      <c r="J46" s="950">
        <f t="shared" si="3"/>
        <v>330000</v>
      </c>
      <c r="K46" s="948"/>
    </row>
    <row r="47" spans="1:11" ht="47.25" customHeight="1" outlineLevel="1">
      <c r="A47" s="940">
        <f>A46+1</f>
        <v>3</v>
      </c>
      <c r="B47" s="944" t="s">
        <v>1034</v>
      </c>
      <c r="C47" s="966" t="s">
        <v>1035</v>
      </c>
      <c r="D47" s="940" t="s">
        <v>1068</v>
      </c>
      <c r="E47" s="962">
        <f>E44</f>
        <v>1</v>
      </c>
      <c r="F47" s="948">
        <v>130000</v>
      </c>
      <c r="G47" s="949">
        <v>0.1</v>
      </c>
      <c r="H47" s="950">
        <f t="shared" si="0"/>
        <v>130000</v>
      </c>
      <c r="I47" s="950">
        <f t="shared" si="2"/>
        <v>143000</v>
      </c>
      <c r="J47" s="950">
        <f t="shared" si="3"/>
        <v>143000</v>
      </c>
      <c r="K47" s="948"/>
    </row>
    <row r="48" spans="1:11" ht="15.75">
      <c r="A48" s="940">
        <v>5</v>
      </c>
      <c r="B48" s="941" t="s">
        <v>1081</v>
      </c>
      <c r="C48" s="944"/>
      <c r="D48" s="968" t="s">
        <v>1011</v>
      </c>
      <c r="E48" s="968">
        <v>1</v>
      </c>
      <c r="F48" s="948"/>
      <c r="G48" s="949"/>
      <c r="H48" s="950">
        <f t="shared" si="0"/>
        <v>0</v>
      </c>
      <c r="I48" s="950">
        <f t="shared" si="2"/>
        <v>0</v>
      </c>
      <c r="J48" s="950">
        <f t="shared" si="3"/>
        <v>0</v>
      </c>
      <c r="K48" s="948"/>
    </row>
    <row r="49" spans="1:11" ht="99.75" customHeight="1" outlineLevel="1">
      <c r="A49" s="940">
        <v>1</v>
      </c>
      <c r="B49" s="944" t="s">
        <v>1082</v>
      </c>
      <c r="C49" s="953" t="s">
        <v>1083</v>
      </c>
      <c r="D49" s="961" t="s">
        <v>627</v>
      </c>
      <c r="E49" s="962">
        <v>3</v>
      </c>
      <c r="F49" s="948">
        <v>3150000</v>
      </c>
      <c r="G49" s="949">
        <v>0.1</v>
      </c>
      <c r="H49" s="950">
        <f t="shared" si="0"/>
        <v>9450000</v>
      </c>
      <c r="I49" s="950">
        <f t="shared" si="2"/>
        <v>3465000</v>
      </c>
      <c r="J49" s="950">
        <f t="shared" si="3"/>
        <v>10395000</v>
      </c>
      <c r="K49" s="948"/>
    </row>
    <row r="50" spans="1:11" ht="78.75" customHeight="1" outlineLevel="1">
      <c r="A50" s="940">
        <f>A49+1</f>
        <v>2</v>
      </c>
      <c r="B50" s="944" t="s">
        <v>1077</v>
      </c>
      <c r="C50" s="972" t="s">
        <v>1084</v>
      </c>
      <c r="D50" s="961" t="s">
        <v>627</v>
      </c>
      <c r="E50" s="962">
        <v>9</v>
      </c>
      <c r="F50" s="948">
        <v>1250000</v>
      </c>
      <c r="G50" s="949">
        <v>0.1</v>
      </c>
      <c r="H50" s="950">
        <f t="shared" si="0"/>
        <v>11250000</v>
      </c>
      <c r="I50" s="950">
        <f t="shared" si="2"/>
        <v>1375000</v>
      </c>
      <c r="J50" s="950">
        <f t="shared" si="3"/>
        <v>12375000</v>
      </c>
      <c r="K50" s="948"/>
    </row>
    <row r="51" spans="1:11" ht="155.25" customHeight="1" outlineLevel="1">
      <c r="A51" s="940">
        <f t="shared" ref="A51:A56" si="7">A50+1</f>
        <v>3</v>
      </c>
      <c r="B51" s="944" t="s">
        <v>1021</v>
      </c>
      <c r="C51" s="953" t="s">
        <v>1022</v>
      </c>
      <c r="D51" s="961" t="s">
        <v>627</v>
      </c>
      <c r="E51" s="962">
        <v>3</v>
      </c>
      <c r="F51" s="948">
        <v>5600000</v>
      </c>
      <c r="G51" s="949">
        <v>0.1</v>
      </c>
      <c r="H51" s="950">
        <f t="shared" si="0"/>
        <v>16800000</v>
      </c>
      <c r="I51" s="950">
        <f t="shared" si="2"/>
        <v>6160000</v>
      </c>
      <c r="J51" s="950">
        <f t="shared" si="3"/>
        <v>18480000</v>
      </c>
      <c r="K51" s="948"/>
    </row>
    <row r="52" spans="1:11" ht="160.5" customHeight="1" outlineLevel="1">
      <c r="A52" s="940">
        <f t="shared" si="7"/>
        <v>4</v>
      </c>
      <c r="B52" s="944" t="s">
        <v>1054</v>
      </c>
      <c r="C52" s="944" t="s">
        <v>1086</v>
      </c>
      <c r="D52" s="961" t="s">
        <v>627</v>
      </c>
      <c r="E52" s="962">
        <v>3</v>
      </c>
      <c r="F52" s="948">
        <v>2400000</v>
      </c>
      <c r="G52" s="949">
        <v>0.05</v>
      </c>
      <c r="H52" s="950">
        <f t="shared" si="0"/>
        <v>7200000</v>
      </c>
      <c r="I52" s="950">
        <f t="shared" si="2"/>
        <v>2640000</v>
      </c>
      <c r="J52" s="950">
        <f t="shared" si="3"/>
        <v>7920000</v>
      </c>
      <c r="K52" s="948"/>
    </row>
    <row r="53" spans="1:11" ht="393.75" outlineLevel="1">
      <c r="A53" s="940">
        <f t="shared" si="7"/>
        <v>5</v>
      </c>
      <c r="B53" s="975" t="s">
        <v>1058</v>
      </c>
      <c r="C53" s="974" t="s">
        <v>1059</v>
      </c>
      <c r="D53" s="961" t="s">
        <v>627</v>
      </c>
      <c r="E53" s="962">
        <v>3</v>
      </c>
      <c r="F53" s="948">
        <v>15000000</v>
      </c>
      <c r="G53" s="949">
        <v>0.1</v>
      </c>
      <c r="H53" s="950">
        <f t="shared" si="0"/>
        <v>45000000</v>
      </c>
      <c r="I53" s="950">
        <f t="shared" si="2"/>
        <v>16500000</v>
      </c>
      <c r="J53" s="950">
        <f t="shared" si="3"/>
        <v>49500000</v>
      </c>
      <c r="K53" s="948"/>
    </row>
    <row r="54" spans="1:11" ht="189" customHeight="1" outlineLevel="1">
      <c r="A54" s="940">
        <f t="shared" si="7"/>
        <v>6</v>
      </c>
      <c r="B54" s="975" t="s">
        <v>1062</v>
      </c>
      <c r="C54" s="976" t="s">
        <v>1063</v>
      </c>
      <c r="D54" s="961" t="s">
        <v>627</v>
      </c>
      <c r="E54" s="962">
        <v>1</v>
      </c>
      <c r="F54" s="948">
        <v>5200000</v>
      </c>
      <c r="G54" s="949">
        <v>0.1</v>
      </c>
      <c r="H54" s="950">
        <f t="shared" si="0"/>
        <v>5200000</v>
      </c>
      <c r="I54" s="950">
        <f t="shared" si="2"/>
        <v>5720000</v>
      </c>
      <c r="J54" s="950">
        <f t="shared" si="3"/>
        <v>5720000</v>
      </c>
      <c r="K54" s="948"/>
    </row>
    <row r="55" spans="1:11" ht="15.75" customHeight="1" outlineLevel="1">
      <c r="A55" s="940">
        <f t="shared" si="7"/>
        <v>7</v>
      </c>
      <c r="B55" s="944" t="s">
        <v>1066</v>
      </c>
      <c r="C55" s="944" t="s">
        <v>1067</v>
      </c>
      <c r="D55" s="961" t="s">
        <v>627</v>
      </c>
      <c r="E55" s="962">
        <v>1</v>
      </c>
      <c r="F55" s="948">
        <v>300000</v>
      </c>
      <c r="G55" s="949">
        <v>0.1</v>
      </c>
      <c r="H55" s="950">
        <f t="shared" si="0"/>
        <v>300000</v>
      </c>
      <c r="I55" s="950">
        <f t="shared" si="2"/>
        <v>330000</v>
      </c>
      <c r="J55" s="950">
        <f t="shared" si="3"/>
        <v>330000</v>
      </c>
      <c r="K55" s="948"/>
    </row>
    <row r="56" spans="1:11" ht="47.25" customHeight="1" outlineLevel="1">
      <c r="A56" s="940">
        <f t="shared" si="7"/>
        <v>8</v>
      </c>
      <c r="B56" s="944" t="s">
        <v>1034</v>
      </c>
      <c r="C56" s="966" t="s">
        <v>1035</v>
      </c>
      <c r="D56" s="961" t="s">
        <v>627</v>
      </c>
      <c r="E56" s="962">
        <v>1</v>
      </c>
      <c r="F56" s="948">
        <v>130000</v>
      </c>
      <c r="G56" s="949">
        <v>0.1</v>
      </c>
      <c r="H56" s="950">
        <f t="shared" si="0"/>
        <v>130000</v>
      </c>
      <c r="I56" s="950">
        <f t="shared" si="2"/>
        <v>143000</v>
      </c>
      <c r="J56" s="950">
        <f t="shared" si="3"/>
        <v>143000</v>
      </c>
      <c r="K56" s="948"/>
    </row>
    <row r="57" spans="1:11" ht="21" customHeight="1">
      <c r="A57" s="940">
        <v>6</v>
      </c>
      <c r="B57" s="941" t="s">
        <v>1087</v>
      </c>
      <c r="C57" s="942"/>
      <c r="D57" s="968" t="s">
        <v>1011</v>
      </c>
      <c r="E57" s="968">
        <v>1</v>
      </c>
      <c r="F57" s="948"/>
      <c r="G57" s="949"/>
      <c r="H57" s="950">
        <f t="shared" si="0"/>
        <v>0</v>
      </c>
      <c r="I57" s="950">
        <f t="shared" si="2"/>
        <v>0</v>
      </c>
      <c r="J57" s="950">
        <f t="shared" si="3"/>
        <v>0</v>
      </c>
      <c r="K57" s="948"/>
    </row>
    <row r="58" spans="1:11" ht="105.75" customHeight="1" outlineLevel="1">
      <c r="A58" s="940">
        <v>1</v>
      </c>
      <c r="B58" s="944" t="s">
        <v>1082</v>
      </c>
      <c r="C58" s="953" t="s">
        <v>1083</v>
      </c>
      <c r="D58" s="961" t="s">
        <v>627</v>
      </c>
      <c r="E58" s="962">
        <v>3</v>
      </c>
      <c r="F58" s="948">
        <v>3150000</v>
      </c>
      <c r="G58" s="949">
        <v>0.1</v>
      </c>
      <c r="H58" s="950">
        <f t="shared" si="0"/>
        <v>9450000</v>
      </c>
      <c r="I58" s="950">
        <f t="shared" si="2"/>
        <v>3465000</v>
      </c>
      <c r="J58" s="950">
        <f t="shared" si="3"/>
        <v>10395000</v>
      </c>
      <c r="K58" s="948"/>
    </row>
    <row r="59" spans="1:11" ht="63" customHeight="1" outlineLevel="1">
      <c r="A59" s="940">
        <f>A58+1</f>
        <v>2</v>
      </c>
      <c r="B59" s="944" t="s">
        <v>1077</v>
      </c>
      <c r="C59" s="972" t="s">
        <v>1084</v>
      </c>
      <c r="D59" s="961" t="s">
        <v>627</v>
      </c>
      <c r="E59" s="962">
        <v>9</v>
      </c>
      <c r="F59" s="948">
        <v>1250000</v>
      </c>
      <c r="G59" s="949">
        <v>0.1</v>
      </c>
      <c r="H59" s="950">
        <f t="shared" si="0"/>
        <v>11250000</v>
      </c>
      <c r="I59" s="950">
        <f t="shared" si="2"/>
        <v>1375000</v>
      </c>
      <c r="J59" s="950">
        <f t="shared" si="3"/>
        <v>12375000</v>
      </c>
      <c r="K59" s="948"/>
    </row>
    <row r="60" spans="1:11" ht="161.25" customHeight="1" outlineLevel="1">
      <c r="A60" s="940">
        <f t="shared" ref="A60:A66" si="8">A59+1</f>
        <v>3</v>
      </c>
      <c r="B60" s="944" t="s">
        <v>1021</v>
      </c>
      <c r="C60" s="953" t="s">
        <v>1022</v>
      </c>
      <c r="D60" s="961" t="s">
        <v>627</v>
      </c>
      <c r="E60" s="962">
        <v>3</v>
      </c>
      <c r="F60" s="948">
        <v>5600000</v>
      </c>
      <c r="G60" s="949">
        <v>0.1</v>
      </c>
      <c r="H60" s="950">
        <f t="shared" si="0"/>
        <v>16800000</v>
      </c>
      <c r="I60" s="950">
        <f t="shared" si="2"/>
        <v>6160000</v>
      </c>
      <c r="J60" s="950">
        <f t="shared" si="3"/>
        <v>18480000</v>
      </c>
      <c r="K60" s="948"/>
    </row>
    <row r="61" spans="1:11" ht="120" customHeight="1" outlineLevel="1">
      <c r="A61" s="940">
        <f t="shared" si="8"/>
        <v>4</v>
      </c>
      <c r="B61" s="944" t="s">
        <v>1054</v>
      </c>
      <c r="C61" s="971" t="s">
        <v>1055</v>
      </c>
      <c r="D61" s="961" t="s">
        <v>627</v>
      </c>
      <c r="E61" s="962">
        <v>1</v>
      </c>
      <c r="F61" s="948">
        <v>2400000</v>
      </c>
      <c r="G61" s="949">
        <v>0.05</v>
      </c>
      <c r="H61" s="950">
        <f t="shared" si="0"/>
        <v>2400000</v>
      </c>
      <c r="I61" s="950">
        <f t="shared" si="2"/>
        <v>2640000</v>
      </c>
      <c r="J61" s="950">
        <f t="shared" si="3"/>
        <v>2640000</v>
      </c>
      <c r="K61" s="948"/>
    </row>
    <row r="62" spans="1:11" ht="409.5" customHeight="1" outlineLevel="1">
      <c r="A62" s="940">
        <f>A61+1</f>
        <v>5</v>
      </c>
      <c r="B62" s="975" t="s">
        <v>1058</v>
      </c>
      <c r="C62" s="974" t="s">
        <v>1059</v>
      </c>
      <c r="D62" s="961" t="s">
        <v>627</v>
      </c>
      <c r="E62" s="962">
        <v>3</v>
      </c>
      <c r="F62" s="948">
        <v>15000000</v>
      </c>
      <c r="G62" s="949">
        <v>0.1</v>
      </c>
      <c r="H62" s="950">
        <f t="shared" si="0"/>
        <v>45000000</v>
      </c>
      <c r="I62" s="950">
        <f t="shared" si="2"/>
        <v>16500000</v>
      </c>
      <c r="J62" s="950">
        <f t="shared" si="3"/>
        <v>49500000</v>
      </c>
      <c r="K62" s="948"/>
    </row>
    <row r="63" spans="1:11" ht="189" customHeight="1" outlineLevel="1">
      <c r="A63" s="940">
        <f t="shared" si="8"/>
        <v>6</v>
      </c>
      <c r="B63" s="975" t="s">
        <v>1062</v>
      </c>
      <c r="C63" s="976" t="s">
        <v>1063</v>
      </c>
      <c r="D63" s="961" t="s">
        <v>627</v>
      </c>
      <c r="E63" s="962">
        <v>1</v>
      </c>
      <c r="F63" s="948">
        <v>5200000</v>
      </c>
      <c r="G63" s="949">
        <v>0.1</v>
      </c>
      <c r="H63" s="950">
        <f t="shared" si="0"/>
        <v>5200000</v>
      </c>
      <c r="I63" s="950">
        <f t="shared" si="2"/>
        <v>5720000</v>
      </c>
      <c r="J63" s="950">
        <f t="shared" si="3"/>
        <v>5720000</v>
      </c>
      <c r="K63" s="948"/>
    </row>
    <row r="64" spans="1:11" ht="252" outlineLevel="1">
      <c r="A64" s="940">
        <f t="shared" si="8"/>
        <v>7</v>
      </c>
      <c r="B64" s="975" t="s">
        <v>1092</v>
      </c>
      <c r="C64" s="974" t="s">
        <v>1093</v>
      </c>
      <c r="D64" s="961" t="s">
        <v>627</v>
      </c>
      <c r="E64" s="962">
        <v>1</v>
      </c>
      <c r="F64" s="948">
        <v>48360000</v>
      </c>
      <c r="G64" s="949">
        <v>0.1</v>
      </c>
      <c r="H64" s="950">
        <f t="shared" si="0"/>
        <v>48360000</v>
      </c>
      <c r="I64" s="950">
        <f t="shared" si="2"/>
        <v>53196000</v>
      </c>
      <c r="J64" s="950">
        <f t="shared" si="3"/>
        <v>53196000</v>
      </c>
      <c r="K64" s="948"/>
    </row>
    <row r="65" spans="1:11" ht="15.75" customHeight="1" outlineLevel="1">
      <c r="A65" s="940">
        <f t="shared" si="8"/>
        <v>8</v>
      </c>
      <c r="B65" s="944" t="s">
        <v>1066</v>
      </c>
      <c r="C65" s="944" t="s">
        <v>1067</v>
      </c>
      <c r="D65" s="940" t="s">
        <v>627</v>
      </c>
      <c r="E65" s="962">
        <v>1</v>
      </c>
      <c r="F65" s="948">
        <v>300000</v>
      </c>
      <c r="G65" s="949">
        <v>0.1</v>
      </c>
      <c r="H65" s="950">
        <f t="shared" si="0"/>
        <v>300000</v>
      </c>
      <c r="I65" s="950">
        <f t="shared" si="2"/>
        <v>330000</v>
      </c>
      <c r="J65" s="950">
        <f t="shared" si="3"/>
        <v>330000</v>
      </c>
      <c r="K65" s="948"/>
    </row>
    <row r="66" spans="1:11" ht="47.25" customHeight="1" outlineLevel="1">
      <c r="A66" s="940">
        <f t="shared" si="8"/>
        <v>9</v>
      </c>
      <c r="B66" s="944" t="s">
        <v>1034</v>
      </c>
      <c r="C66" s="966" t="s">
        <v>1035</v>
      </c>
      <c r="D66" s="940" t="s">
        <v>1068</v>
      </c>
      <c r="E66" s="962">
        <f>E57</f>
        <v>1</v>
      </c>
      <c r="F66" s="948">
        <v>130000</v>
      </c>
      <c r="G66" s="949">
        <v>0.1</v>
      </c>
      <c r="H66" s="950">
        <f t="shared" si="0"/>
        <v>130000</v>
      </c>
      <c r="I66" s="950">
        <f t="shared" si="2"/>
        <v>143000</v>
      </c>
      <c r="J66" s="950">
        <f t="shared" si="3"/>
        <v>143000</v>
      </c>
      <c r="K66" s="948"/>
    </row>
    <row r="67" spans="1:11" ht="15.75">
      <c r="A67" s="940">
        <v>7</v>
      </c>
      <c r="B67" s="988" t="s">
        <v>1097</v>
      </c>
      <c r="C67" s="989"/>
      <c r="D67" s="968" t="s">
        <v>1011</v>
      </c>
      <c r="E67" s="968">
        <v>1</v>
      </c>
      <c r="F67" s="948"/>
      <c r="G67" s="949"/>
      <c r="H67" s="950">
        <f t="shared" si="0"/>
        <v>0</v>
      </c>
      <c r="I67" s="950">
        <f t="shared" si="2"/>
        <v>0</v>
      </c>
      <c r="J67" s="950">
        <f t="shared" si="3"/>
        <v>0</v>
      </c>
      <c r="K67" s="948"/>
    </row>
    <row r="68" spans="1:11" ht="150.75" customHeight="1" outlineLevel="1">
      <c r="A68" s="940">
        <v>1</v>
      </c>
      <c r="B68" s="944" t="s">
        <v>1098</v>
      </c>
      <c r="C68" s="969" t="s">
        <v>1551</v>
      </c>
      <c r="D68" s="940" t="s">
        <v>627</v>
      </c>
      <c r="E68" s="962">
        <v>1</v>
      </c>
      <c r="F68" s="948">
        <v>19800000</v>
      </c>
      <c r="G68" s="949">
        <v>0.1</v>
      </c>
      <c r="H68" s="950">
        <f t="shared" si="0"/>
        <v>19800000</v>
      </c>
      <c r="I68" s="950">
        <f t="shared" si="2"/>
        <v>21780000</v>
      </c>
      <c r="J68" s="950">
        <f t="shared" si="3"/>
        <v>21780000</v>
      </c>
      <c r="K68" s="948"/>
    </row>
    <row r="69" spans="1:11" ht="63" customHeight="1" outlineLevel="1">
      <c r="A69" s="940">
        <f>A68+1</f>
        <v>2</v>
      </c>
      <c r="B69" s="944" t="s">
        <v>1077</v>
      </c>
      <c r="C69" s="944" t="s">
        <v>1100</v>
      </c>
      <c r="D69" s="940" t="s">
        <v>627</v>
      </c>
      <c r="E69" s="962">
        <v>20</v>
      </c>
      <c r="F69" s="948">
        <v>480000</v>
      </c>
      <c r="G69" s="949">
        <v>0.1</v>
      </c>
      <c r="H69" s="950">
        <f t="shared" si="0"/>
        <v>9600000</v>
      </c>
      <c r="I69" s="950">
        <f t="shared" si="2"/>
        <v>528000</v>
      </c>
      <c r="J69" s="950">
        <f t="shared" si="3"/>
        <v>10560000</v>
      </c>
      <c r="K69" s="948"/>
    </row>
    <row r="70" spans="1:11" ht="126" customHeight="1" outlineLevel="1">
      <c r="A70" s="940">
        <f>A69+1</f>
        <v>3</v>
      </c>
      <c r="B70" s="944" t="s">
        <v>1101</v>
      </c>
      <c r="C70" s="990" t="s">
        <v>1161</v>
      </c>
      <c r="D70" s="940" t="str">
        <f>D98</f>
        <v>Cái</v>
      </c>
      <c r="E70" s="962">
        <v>4</v>
      </c>
      <c r="F70" s="948">
        <v>6000000</v>
      </c>
      <c r="G70" s="949">
        <v>0.1</v>
      </c>
      <c r="H70" s="950">
        <f t="shared" si="0"/>
        <v>24000000</v>
      </c>
      <c r="I70" s="950">
        <f t="shared" si="2"/>
        <v>6600000</v>
      </c>
      <c r="J70" s="950">
        <f t="shared" si="3"/>
        <v>26400000</v>
      </c>
      <c r="K70" s="982" t="s">
        <v>1103</v>
      </c>
    </row>
    <row r="71" spans="1:11" ht="137.25" customHeight="1" outlineLevel="1">
      <c r="A71" s="940">
        <f>A70+1</f>
        <v>4</v>
      </c>
      <c r="B71" s="944" t="s">
        <v>1104</v>
      </c>
      <c r="C71" s="991" t="s">
        <v>1105</v>
      </c>
      <c r="D71" s="940" t="s">
        <v>680</v>
      </c>
      <c r="E71" s="962">
        <v>1</v>
      </c>
      <c r="F71" s="948">
        <v>35000000</v>
      </c>
      <c r="G71" s="949">
        <v>0.1</v>
      </c>
      <c r="H71" s="950">
        <f t="shared" si="0"/>
        <v>35000000</v>
      </c>
      <c r="I71" s="950">
        <f t="shared" si="2"/>
        <v>38500000</v>
      </c>
      <c r="J71" s="950">
        <f t="shared" si="3"/>
        <v>38500000</v>
      </c>
      <c r="K71" s="948"/>
    </row>
    <row r="72" spans="1:11" ht="47.25" customHeight="1" outlineLevel="1">
      <c r="A72" s="940">
        <f>A71+1</f>
        <v>5</v>
      </c>
      <c r="B72" s="944" t="s">
        <v>1034</v>
      </c>
      <c r="C72" s="966" t="s">
        <v>1035</v>
      </c>
      <c r="D72" s="940" t="s">
        <v>1068</v>
      </c>
      <c r="E72" s="962">
        <f>E67</f>
        <v>1</v>
      </c>
      <c r="F72" s="948">
        <v>130000</v>
      </c>
      <c r="G72" s="949">
        <v>0.1</v>
      </c>
      <c r="H72" s="950">
        <f t="shared" si="0"/>
        <v>130000</v>
      </c>
      <c r="I72" s="950">
        <f t="shared" si="2"/>
        <v>143000</v>
      </c>
      <c r="J72" s="950">
        <f t="shared" si="3"/>
        <v>143000</v>
      </c>
      <c r="K72" s="948"/>
    </row>
    <row r="73" spans="1:11" ht="22.5" customHeight="1">
      <c r="A73" s="940">
        <v>8</v>
      </c>
      <c r="B73" s="941" t="s">
        <v>1106</v>
      </c>
      <c r="C73" s="942"/>
      <c r="D73" s="968" t="s">
        <v>1011</v>
      </c>
      <c r="E73" s="968">
        <v>1</v>
      </c>
      <c r="F73" s="948"/>
      <c r="G73" s="949"/>
      <c r="H73" s="950">
        <f t="shared" ref="H73:H136" si="9">E73*F73</f>
        <v>0</v>
      </c>
      <c r="I73" s="950">
        <f t="shared" si="2"/>
        <v>0</v>
      </c>
      <c r="J73" s="950">
        <f t="shared" si="3"/>
        <v>0</v>
      </c>
      <c r="K73" s="948"/>
    </row>
    <row r="74" spans="1:11" ht="105.75" customHeight="1" outlineLevel="1">
      <c r="A74" s="940">
        <v>1</v>
      </c>
      <c r="B74" s="944" t="s">
        <v>1082</v>
      </c>
      <c r="C74" s="953" t="s">
        <v>1083</v>
      </c>
      <c r="D74" s="940" t="s">
        <v>627</v>
      </c>
      <c r="E74" s="962">
        <v>1</v>
      </c>
      <c r="F74" s="948">
        <v>3150000</v>
      </c>
      <c r="G74" s="949">
        <v>0.1</v>
      </c>
      <c r="H74" s="950">
        <f t="shared" si="9"/>
        <v>3150000</v>
      </c>
      <c r="I74" s="950">
        <f t="shared" ref="I74:I137" si="10">+ROUND(F74*1.1,0)</f>
        <v>3465000</v>
      </c>
      <c r="J74" s="950">
        <f t="shared" ref="J74:J137" si="11">+ROUND(I74*E74,0)</f>
        <v>3465000</v>
      </c>
      <c r="K74" s="948"/>
    </row>
    <row r="75" spans="1:11" ht="63" customHeight="1" outlineLevel="1">
      <c r="A75" s="940">
        <f t="shared" ref="A75:A80" si="12">A74+1</f>
        <v>2</v>
      </c>
      <c r="B75" s="944" t="s">
        <v>1077</v>
      </c>
      <c r="C75" s="944" t="s">
        <v>1100</v>
      </c>
      <c r="D75" s="992" t="s">
        <v>655</v>
      </c>
      <c r="E75" s="993">
        <v>11</v>
      </c>
      <c r="F75" s="948">
        <v>480000</v>
      </c>
      <c r="G75" s="949">
        <v>0.1</v>
      </c>
      <c r="H75" s="950">
        <f t="shared" si="9"/>
        <v>5280000</v>
      </c>
      <c r="I75" s="950">
        <f t="shared" si="10"/>
        <v>528000</v>
      </c>
      <c r="J75" s="950">
        <f t="shared" si="11"/>
        <v>5808000</v>
      </c>
      <c r="K75" s="948"/>
    </row>
    <row r="76" spans="1:11" ht="90.75" customHeight="1" outlineLevel="1">
      <c r="A76" s="940">
        <f t="shared" si="12"/>
        <v>3</v>
      </c>
      <c r="B76" s="944" t="s">
        <v>1107</v>
      </c>
      <c r="C76" s="969" t="s">
        <v>1552</v>
      </c>
      <c r="D76" s="940" t="s">
        <v>627</v>
      </c>
      <c r="E76" s="962">
        <v>1</v>
      </c>
      <c r="F76" s="948">
        <v>10800000</v>
      </c>
      <c r="G76" s="949">
        <v>0.1</v>
      </c>
      <c r="H76" s="950">
        <f t="shared" si="9"/>
        <v>10800000</v>
      </c>
      <c r="I76" s="950">
        <f t="shared" si="10"/>
        <v>11880000</v>
      </c>
      <c r="J76" s="950">
        <f t="shared" si="11"/>
        <v>11880000</v>
      </c>
      <c r="K76" s="948"/>
    </row>
    <row r="77" spans="1:11" ht="110.25" outlineLevel="1">
      <c r="A77" s="940">
        <f t="shared" si="12"/>
        <v>4</v>
      </c>
      <c r="B77" s="944" t="s">
        <v>1021</v>
      </c>
      <c r="C77" s="953" t="s">
        <v>1022</v>
      </c>
      <c r="D77" s="994" t="s">
        <v>627</v>
      </c>
      <c r="E77" s="995">
        <v>1</v>
      </c>
      <c r="F77" s="948">
        <v>5600000</v>
      </c>
      <c r="G77" s="949">
        <v>0.1</v>
      </c>
      <c r="H77" s="950">
        <f t="shared" si="9"/>
        <v>5600000</v>
      </c>
      <c r="I77" s="950">
        <f t="shared" si="10"/>
        <v>6160000</v>
      </c>
      <c r="J77" s="950">
        <f t="shared" si="11"/>
        <v>6160000</v>
      </c>
      <c r="K77" s="948"/>
    </row>
    <row r="78" spans="1:11" ht="94.5" outlineLevel="1">
      <c r="A78" s="940">
        <f t="shared" si="12"/>
        <v>5</v>
      </c>
      <c r="B78" s="996" t="s">
        <v>1054</v>
      </c>
      <c r="C78" s="971" t="s">
        <v>1055</v>
      </c>
      <c r="D78" s="961" t="s">
        <v>627</v>
      </c>
      <c r="E78" s="962">
        <v>1</v>
      </c>
      <c r="F78" s="948">
        <v>2400000</v>
      </c>
      <c r="G78" s="949">
        <v>0.05</v>
      </c>
      <c r="H78" s="950">
        <f t="shared" si="9"/>
        <v>2400000</v>
      </c>
      <c r="I78" s="950">
        <f t="shared" si="10"/>
        <v>2640000</v>
      </c>
      <c r="J78" s="950">
        <f t="shared" si="11"/>
        <v>2640000</v>
      </c>
      <c r="K78" s="948"/>
    </row>
    <row r="79" spans="1:11" ht="47.25" customHeight="1" outlineLevel="1">
      <c r="A79" s="940">
        <f t="shared" si="12"/>
        <v>6</v>
      </c>
      <c r="B79" s="996" t="s">
        <v>1034</v>
      </c>
      <c r="C79" s="966" t="s">
        <v>1035</v>
      </c>
      <c r="D79" s="961" t="s">
        <v>1553</v>
      </c>
      <c r="E79" s="962">
        <f>E73</f>
        <v>1</v>
      </c>
      <c r="F79" s="948">
        <v>130000</v>
      </c>
      <c r="G79" s="949">
        <v>0.1</v>
      </c>
      <c r="H79" s="950">
        <f t="shared" si="9"/>
        <v>130000</v>
      </c>
      <c r="I79" s="950">
        <f t="shared" si="10"/>
        <v>143000</v>
      </c>
      <c r="J79" s="950">
        <f t="shared" si="11"/>
        <v>143000</v>
      </c>
      <c r="K79" s="948"/>
    </row>
    <row r="80" spans="1:11" ht="15.75" customHeight="1" outlineLevel="1">
      <c r="A80" s="940">
        <f t="shared" si="12"/>
        <v>7</v>
      </c>
      <c r="B80" s="944" t="s">
        <v>1066</v>
      </c>
      <c r="C80" s="944" t="s">
        <v>1067</v>
      </c>
      <c r="D80" s="940" t="s">
        <v>627</v>
      </c>
      <c r="E80" s="962">
        <v>1</v>
      </c>
      <c r="F80" s="948">
        <v>300000</v>
      </c>
      <c r="G80" s="949">
        <v>0.1</v>
      </c>
      <c r="H80" s="950">
        <f t="shared" si="9"/>
        <v>300000</v>
      </c>
      <c r="I80" s="950">
        <f t="shared" si="10"/>
        <v>330000</v>
      </c>
      <c r="J80" s="950">
        <f t="shared" si="11"/>
        <v>330000</v>
      </c>
      <c r="K80" s="948"/>
    </row>
    <row r="81" spans="1:11" ht="15.75">
      <c r="A81" s="940">
        <v>9</v>
      </c>
      <c r="B81" s="941" t="s">
        <v>1110</v>
      </c>
      <c r="C81" s="942"/>
      <c r="D81" s="968" t="s">
        <v>1011</v>
      </c>
      <c r="E81" s="968">
        <v>1</v>
      </c>
      <c r="F81" s="948"/>
      <c r="G81" s="949"/>
      <c r="H81" s="950">
        <f t="shared" si="9"/>
        <v>0</v>
      </c>
      <c r="I81" s="950">
        <f t="shared" si="10"/>
        <v>0</v>
      </c>
      <c r="J81" s="950">
        <f t="shared" si="11"/>
        <v>0</v>
      </c>
      <c r="K81" s="948"/>
    </row>
    <row r="82" spans="1:11" ht="78.75" outlineLevel="1">
      <c r="A82" s="940">
        <v>1</v>
      </c>
      <c r="B82" s="944" t="s">
        <v>1082</v>
      </c>
      <c r="C82" s="953" t="s">
        <v>1083</v>
      </c>
      <c r="D82" s="940" t="s">
        <v>627</v>
      </c>
      <c r="E82" s="962">
        <v>1</v>
      </c>
      <c r="F82" s="948">
        <v>3150000</v>
      </c>
      <c r="G82" s="949">
        <v>0.1</v>
      </c>
      <c r="H82" s="950">
        <f t="shared" si="9"/>
        <v>3150000</v>
      </c>
      <c r="I82" s="950">
        <f t="shared" si="10"/>
        <v>3465000</v>
      </c>
      <c r="J82" s="950">
        <f t="shared" si="11"/>
        <v>3465000</v>
      </c>
      <c r="K82" s="948"/>
    </row>
    <row r="83" spans="1:11" ht="63" customHeight="1" outlineLevel="1">
      <c r="A83" s="940">
        <f>A82+1</f>
        <v>2</v>
      </c>
      <c r="B83" s="944" t="s">
        <v>1077</v>
      </c>
      <c r="C83" s="944" t="s">
        <v>1100</v>
      </c>
      <c r="D83" s="940" t="s">
        <v>695</v>
      </c>
      <c r="E83" s="962">
        <v>3</v>
      </c>
      <c r="F83" s="948">
        <v>480000</v>
      </c>
      <c r="G83" s="949">
        <v>0.1</v>
      </c>
      <c r="H83" s="950">
        <f t="shared" si="9"/>
        <v>1440000</v>
      </c>
      <c r="I83" s="950">
        <f t="shared" si="10"/>
        <v>528000</v>
      </c>
      <c r="J83" s="950">
        <f t="shared" si="11"/>
        <v>1584000</v>
      </c>
      <c r="K83" s="948"/>
    </row>
    <row r="84" spans="1:11" ht="110.25" outlineLevel="1">
      <c r="A84" s="940">
        <f>A83+1</f>
        <v>3</v>
      </c>
      <c r="B84" s="944" t="s">
        <v>1021</v>
      </c>
      <c r="C84" s="953" t="s">
        <v>1022</v>
      </c>
      <c r="D84" s="997" t="s">
        <v>655</v>
      </c>
      <c r="E84" s="993">
        <v>1</v>
      </c>
      <c r="F84" s="948">
        <v>5600000</v>
      </c>
      <c r="G84" s="949">
        <v>0.1</v>
      </c>
      <c r="H84" s="950">
        <f t="shared" si="9"/>
        <v>5600000</v>
      </c>
      <c r="I84" s="950">
        <f t="shared" si="10"/>
        <v>6160000</v>
      </c>
      <c r="J84" s="950">
        <f t="shared" si="11"/>
        <v>6160000</v>
      </c>
      <c r="K84" s="948"/>
    </row>
    <row r="85" spans="1:11" ht="141.75" outlineLevel="1">
      <c r="A85" s="940">
        <f>A84+1</f>
        <v>4</v>
      </c>
      <c r="B85" s="944" t="s">
        <v>1112</v>
      </c>
      <c r="C85" s="970" t="s">
        <v>1554</v>
      </c>
      <c r="D85" s="940" t="s">
        <v>627</v>
      </c>
      <c r="E85" s="962">
        <v>2</v>
      </c>
      <c r="F85" s="948">
        <v>3500000</v>
      </c>
      <c r="G85" s="949">
        <v>0.1</v>
      </c>
      <c r="H85" s="950">
        <f t="shared" si="9"/>
        <v>7000000</v>
      </c>
      <c r="I85" s="950">
        <f t="shared" si="10"/>
        <v>3850000</v>
      </c>
      <c r="J85" s="950">
        <f t="shared" si="11"/>
        <v>7700000</v>
      </c>
      <c r="K85" s="948"/>
    </row>
    <row r="86" spans="1:11" ht="252" customHeight="1" outlineLevel="1">
      <c r="A86" s="940">
        <f t="shared" ref="A86:A93" si="13">A85+1</f>
        <v>5</v>
      </c>
      <c r="B86" s="998" t="s">
        <v>1114</v>
      </c>
      <c r="C86" s="970" t="s">
        <v>1115</v>
      </c>
      <c r="D86" s="999" t="s">
        <v>680</v>
      </c>
      <c r="E86" s="1000">
        <v>1</v>
      </c>
      <c r="F86" s="948">
        <v>25150000</v>
      </c>
      <c r="G86" s="949">
        <v>0.1</v>
      </c>
      <c r="H86" s="950">
        <f t="shared" si="9"/>
        <v>25150000</v>
      </c>
      <c r="I86" s="950">
        <f t="shared" si="10"/>
        <v>27665000</v>
      </c>
      <c r="J86" s="950">
        <f t="shared" si="11"/>
        <v>27665000</v>
      </c>
      <c r="K86" s="948"/>
    </row>
    <row r="87" spans="1:11" ht="15.75" customHeight="1" outlineLevel="1">
      <c r="A87" s="940">
        <f t="shared" si="13"/>
        <v>6</v>
      </c>
      <c r="B87" s="944" t="s">
        <v>1116</v>
      </c>
      <c r="C87" s="971" t="s">
        <v>1117</v>
      </c>
      <c r="D87" s="940" t="s">
        <v>627</v>
      </c>
      <c r="E87" s="962">
        <v>1</v>
      </c>
      <c r="F87" s="948">
        <v>3080000</v>
      </c>
      <c r="G87" s="949">
        <v>0.1</v>
      </c>
      <c r="H87" s="950">
        <f t="shared" si="9"/>
        <v>3080000</v>
      </c>
      <c r="I87" s="950">
        <f t="shared" si="10"/>
        <v>3388000</v>
      </c>
      <c r="J87" s="950">
        <f t="shared" si="11"/>
        <v>3388000</v>
      </c>
      <c r="K87" s="948"/>
    </row>
    <row r="88" spans="1:11" ht="94.5" customHeight="1" outlineLevel="1">
      <c r="A88" s="940">
        <f>A87+1</f>
        <v>7</v>
      </c>
      <c r="B88" s="944" t="s">
        <v>1118</v>
      </c>
      <c r="C88" s="971" t="s">
        <v>1119</v>
      </c>
      <c r="D88" s="940" t="s">
        <v>1028</v>
      </c>
      <c r="E88" s="1000">
        <v>1</v>
      </c>
      <c r="F88" s="948">
        <v>5000000</v>
      </c>
      <c r="G88" s="949">
        <v>0.1</v>
      </c>
      <c r="H88" s="950">
        <f t="shared" si="9"/>
        <v>5000000</v>
      </c>
      <c r="I88" s="950">
        <f t="shared" si="10"/>
        <v>5500000</v>
      </c>
      <c r="J88" s="950">
        <f t="shared" si="11"/>
        <v>5500000</v>
      </c>
      <c r="K88" s="948" t="s">
        <v>1120</v>
      </c>
    </row>
    <row r="89" spans="1:11" ht="30.75" customHeight="1" outlineLevel="1">
      <c r="A89" s="940">
        <f t="shared" si="13"/>
        <v>8</v>
      </c>
      <c r="B89" s="944" t="s">
        <v>1121</v>
      </c>
      <c r="C89" s="971" t="s">
        <v>1122</v>
      </c>
      <c r="D89" s="940" t="s">
        <v>627</v>
      </c>
      <c r="E89" s="962">
        <v>1</v>
      </c>
      <c r="F89" s="948">
        <v>4130000</v>
      </c>
      <c r="G89" s="949">
        <v>0.1</v>
      </c>
      <c r="H89" s="950">
        <f t="shared" si="9"/>
        <v>4130000</v>
      </c>
      <c r="I89" s="950">
        <f t="shared" si="10"/>
        <v>4543000</v>
      </c>
      <c r="J89" s="950">
        <f t="shared" si="11"/>
        <v>4543000</v>
      </c>
      <c r="K89" s="948"/>
    </row>
    <row r="90" spans="1:11" ht="15.75" customHeight="1" outlineLevel="1">
      <c r="A90" s="940">
        <f t="shared" si="13"/>
        <v>9</v>
      </c>
      <c r="B90" s="944" t="s">
        <v>1066</v>
      </c>
      <c r="C90" s="944" t="s">
        <v>1067</v>
      </c>
      <c r="D90" s="940" t="s">
        <v>627</v>
      </c>
      <c r="E90" s="962">
        <v>1</v>
      </c>
      <c r="F90" s="948">
        <v>300000</v>
      </c>
      <c r="G90" s="949">
        <v>0.1</v>
      </c>
      <c r="H90" s="950">
        <f t="shared" si="9"/>
        <v>300000</v>
      </c>
      <c r="I90" s="950">
        <f t="shared" si="10"/>
        <v>330000</v>
      </c>
      <c r="J90" s="950">
        <f t="shared" si="11"/>
        <v>330000</v>
      </c>
      <c r="K90" s="948"/>
    </row>
    <row r="91" spans="1:11" ht="105" customHeight="1" outlineLevel="1">
      <c r="A91" s="940">
        <f t="shared" si="13"/>
        <v>10</v>
      </c>
      <c r="B91" s="1001" t="s">
        <v>1123</v>
      </c>
      <c r="C91" s="998" t="s">
        <v>1124</v>
      </c>
      <c r="D91" s="1002" t="s">
        <v>627</v>
      </c>
      <c r="E91" s="1000">
        <v>1</v>
      </c>
      <c r="F91" s="948">
        <v>4900000</v>
      </c>
      <c r="G91" s="949">
        <v>0.1</v>
      </c>
      <c r="H91" s="950">
        <f t="shared" si="9"/>
        <v>4900000</v>
      </c>
      <c r="I91" s="950">
        <f t="shared" si="10"/>
        <v>5390000</v>
      </c>
      <c r="J91" s="950">
        <f t="shared" si="11"/>
        <v>5390000</v>
      </c>
      <c r="K91" s="948"/>
    </row>
    <row r="92" spans="1:11" ht="141.75" outlineLevel="1">
      <c r="A92" s="940">
        <f t="shared" si="13"/>
        <v>11</v>
      </c>
      <c r="B92" s="944" t="s">
        <v>1125</v>
      </c>
      <c r="C92" s="953" t="s">
        <v>1555</v>
      </c>
      <c r="D92" s="940" t="s">
        <v>627</v>
      </c>
      <c r="E92" s="962">
        <v>1</v>
      </c>
      <c r="F92" s="948">
        <v>850000</v>
      </c>
      <c r="G92" s="949">
        <v>0.1</v>
      </c>
      <c r="H92" s="950">
        <f t="shared" si="9"/>
        <v>850000</v>
      </c>
      <c r="I92" s="950">
        <f t="shared" si="10"/>
        <v>935000</v>
      </c>
      <c r="J92" s="950">
        <f t="shared" si="11"/>
        <v>935000</v>
      </c>
      <c r="K92" s="948"/>
    </row>
    <row r="93" spans="1:11" ht="47.25" customHeight="1" outlineLevel="1">
      <c r="A93" s="940">
        <f t="shared" si="13"/>
        <v>12</v>
      </c>
      <c r="B93" s="944" t="s">
        <v>1034</v>
      </c>
      <c r="C93" s="966" t="s">
        <v>1035</v>
      </c>
      <c r="D93" s="940" t="s">
        <v>1068</v>
      </c>
      <c r="E93" s="962">
        <f>E81</f>
        <v>1</v>
      </c>
      <c r="F93" s="948">
        <v>130000</v>
      </c>
      <c r="G93" s="949">
        <v>0.1</v>
      </c>
      <c r="H93" s="950">
        <f t="shared" si="9"/>
        <v>130000</v>
      </c>
      <c r="I93" s="950">
        <f t="shared" si="10"/>
        <v>143000</v>
      </c>
      <c r="J93" s="950">
        <f t="shared" si="11"/>
        <v>143000</v>
      </c>
      <c r="K93" s="948"/>
    </row>
    <row r="94" spans="1:11" ht="15.75">
      <c r="A94" s="940">
        <v>10</v>
      </c>
      <c r="B94" s="941" t="s">
        <v>1127</v>
      </c>
      <c r="C94" s="942"/>
      <c r="D94" s="968" t="s">
        <v>1011</v>
      </c>
      <c r="E94" s="968">
        <v>1</v>
      </c>
      <c r="F94" s="948"/>
      <c r="G94" s="949"/>
      <c r="H94" s="950">
        <f t="shared" si="9"/>
        <v>0</v>
      </c>
      <c r="I94" s="950">
        <f t="shared" si="10"/>
        <v>0</v>
      </c>
      <c r="J94" s="950">
        <f t="shared" si="11"/>
        <v>0</v>
      </c>
      <c r="K94" s="948"/>
    </row>
    <row r="95" spans="1:11" ht="78.75" outlineLevel="1">
      <c r="A95" s="940">
        <v>1</v>
      </c>
      <c r="B95" s="944" t="s">
        <v>1082</v>
      </c>
      <c r="C95" s="953" t="s">
        <v>1083</v>
      </c>
      <c r="D95" s="940" t="s">
        <v>627</v>
      </c>
      <c r="E95" s="962">
        <v>1</v>
      </c>
      <c r="F95" s="948">
        <v>3150000</v>
      </c>
      <c r="G95" s="949">
        <v>0.1</v>
      </c>
      <c r="H95" s="950">
        <f t="shared" si="9"/>
        <v>3150000</v>
      </c>
      <c r="I95" s="950">
        <f t="shared" si="10"/>
        <v>3465000</v>
      </c>
      <c r="J95" s="950">
        <f t="shared" si="11"/>
        <v>3465000</v>
      </c>
      <c r="K95" s="948"/>
    </row>
    <row r="96" spans="1:11" ht="94.5" customHeight="1" outlineLevel="1">
      <c r="A96" s="940">
        <f t="shared" ref="A96:A101" si="14">A95+1</f>
        <v>2</v>
      </c>
      <c r="B96" s="944" t="s">
        <v>1128</v>
      </c>
      <c r="C96" s="969" t="s">
        <v>1129</v>
      </c>
      <c r="D96" s="940" t="s">
        <v>627</v>
      </c>
      <c r="E96" s="962">
        <v>1</v>
      </c>
      <c r="F96" s="948">
        <v>7800000</v>
      </c>
      <c r="G96" s="949">
        <v>0.1</v>
      </c>
      <c r="H96" s="950">
        <f t="shared" si="9"/>
        <v>7800000</v>
      </c>
      <c r="I96" s="950">
        <f t="shared" si="10"/>
        <v>8580000</v>
      </c>
      <c r="J96" s="950">
        <f t="shared" si="11"/>
        <v>8580000</v>
      </c>
      <c r="K96" s="948"/>
    </row>
    <row r="97" spans="1:11" ht="63" customHeight="1" outlineLevel="1">
      <c r="A97" s="940">
        <f t="shared" si="14"/>
        <v>3</v>
      </c>
      <c r="B97" s="944" t="s">
        <v>1077</v>
      </c>
      <c r="C97" s="944" t="s">
        <v>1100</v>
      </c>
      <c r="D97" s="940" t="s">
        <v>627</v>
      </c>
      <c r="E97" s="962">
        <v>11</v>
      </c>
      <c r="F97" s="948">
        <v>480000</v>
      </c>
      <c r="G97" s="949">
        <v>0.1</v>
      </c>
      <c r="H97" s="950">
        <f t="shared" si="9"/>
        <v>5280000</v>
      </c>
      <c r="I97" s="950">
        <f t="shared" si="10"/>
        <v>528000</v>
      </c>
      <c r="J97" s="950">
        <f t="shared" si="11"/>
        <v>5808000</v>
      </c>
      <c r="K97" s="948"/>
    </row>
    <row r="98" spans="1:11" ht="110.25" outlineLevel="1">
      <c r="A98" s="940">
        <f t="shared" si="14"/>
        <v>4</v>
      </c>
      <c r="B98" s="944" t="s">
        <v>1021</v>
      </c>
      <c r="C98" s="953" t="s">
        <v>1022</v>
      </c>
      <c r="D98" s="940" t="s">
        <v>627</v>
      </c>
      <c r="E98" s="962">
        <v>2</v>
      </c>
      <c r="F98" s="948">
        <v>5600000</v>
      </c>
      <c r="G98" s="949">
        <v>0.1</v>
      </c>
      <c r="H98" s="950">
        <f t="shared" si="9"/>
        <v>11200000</v>
      </c>
      <c r="I98" s="950">
        <f t="shared" si="10"/>
        <v>6160000</v>
      </c>
      <c r="J98" s="950">
        <f t="shared" si="11"/>
        <v>12320000</v>
      </c>
      <c r="K98" s="948"/>
    </row>
    <row r="99" spans="1:11" ht="94.5" outlineLevel="1">
      <c r="A99" s="940">
        <f t="shared" si="14"/>
        <v>5</v>
      </c>
      <c r="B99" s="944" t="s">
        <v>1054</v>
      </c>
      <c r="C99" s="971" t="s">
        <v>1055</v>
      </c>
      <c r="D99" s="940" t="s">
        <v>627</v>
      </c>
      <c r="E99" s="962">
        <v>1</v>
      </c>
      <c r="F99" s="948">
        <v>2400000</v>
      </c>
      <c r="G99" s="949">
        <v>0.05</v>
      </c>
      <c r="H99" s="950">
        <f t="shared" si="9"/>
        <v>2400000</v>
      </c>
      <c r="I99" s="950">
        <f t="shared" si="10"/>
        <v>2640000</v>
      </c>
      <c r="J99" s="950">
        <f t="shared" si="11"/>
        <v>2640000</v>
      </c>
      <c r="K99" s="948"/>
    </row>
    <row r="100" spans="1:11" ht="47.25" customHeight="1" outlineLevel="1">
      <c r="A100" s="940">
        <f t="shared" si="14"/>
        <v>6</v>
      </c>
      <c r="B100" s="944" t="s">
        <v>1034</v>
      </c>
      <c r="C100" s="966" t="s">
        <v>1035</v>
      </c>
      <c r="D100" s="940" t="s">
        <v>1068</v>
      </c>
      <c r="E100" s="962">
        <f>E94</f>
        <v>1</v>
      </c>
      <c r="F100" s="948">
        <v>130000</v>
      </c>
      <c r="G100" s="949">
        <v>0.1</v>
      </c>
      <c r="H100" s="950">
        <f t="shared" si="9"/>
        <v>130000</v>
      </c>
      <c r="I100" s="950">
        <f t="shared" si="10"/>
        <v>143000</v>
      </c>
      <c r="J100" s="950">
        <f t="shared" si="11"/>
        <v>143000</v>
      </c>
      <c r="K100" s="948"/>
    </row>
    <row r="101" spans="1:11" ht="15.75" customHeight="1" outlineLevel="1">
      <c r="A101" s="940">
        <f t="shared" si="14"/>
        <v>7</v>
      </c>
      <c r="B101" s="944" t="s">
        <v>1066</v>
      </c>
      <c r="C101" s="944" t="s">
        <v>1067</v>
      </c>
      <c r="D101" s="940" t="s">
        <v>627</v>
      </c>
      <c r="E101" s="962">
        <v>1</v>
      </c>
      <c r="F101" s="948">
        <v>300000</v>
      </c>
      <c r="G101" s="949">
        <v>0.1</v>
      </c>
      <c r="H101" s="950">
        <f t="shared" si="9"/>
        <v>300000</v>
      </c>
      <c r="I101" s="950">
        <f t="shared" si="10"/>
        <v>330000</v>
      </c>
      <c r="J101" s="950">
        <f t="shared" si="11"/>
        <v>330000</v>
      </c>
      <c r="K101" s="948"/>
    </row>
    <row r="102" spans="1:11" ht="15.75">
      <c r="A102" s="940">
        <v>11</v>
      </c>
      <c r="B102" s="941" t="s">
        <v>1130</v>
      </c>
      <c r="C102" s="942"/>
      <c r="D102" s="968" t="s">
        <v>1011</v>
      </c>
      <c r="E102" s="968">
        <v>1</v>
      </c>
      <c r="F102" s="948"/>
      <c r="G102" s="949"/>
      <c r="H102" s="950">
        <f t="shared" si="9"/>
        <v>0</v>
      </c>
      <c r="I102" s="950">
        <f t="shared" si="10"/>
        <v>0</v>
      </c>
      <c r="J102" s="950">
        <f t="shared" si="11"/>
        <v>0</v>
      </c>
      <c r="K102" s="948"/>
    </row>
    <row r="103" spans="1:11" ht="78.75" outlineLevel="1">
      <c r="A103" s="940">
        <v>1</v>
      </c>
      <c r="B103" s="944" t="s">
        <v>1082</v>
      </c>
      <c r="C103" s="953" t="s">
        <v>1083</v>
      </c>
      <c r="D103" s="940" t="s">
        <v>627</v>
      </c>
      <c r="E103" s="962">
        <v>1</v>
      </c>
      <c r="F103" s="948">
        <v>3150000</v>
      </c>
      <c r="G103" s="949">
        <v>0.1</v>
      </c>
      <c r="H103" s="950">
        <f t="shared" si="9"/>
        <v>3150000</v>
      </c>
      <c r="I103" s="950">
        <f t="shared" si="10"/>
        <v>3465000</v>
      </c>
      <c r="J103" s="950">
        <f t="shared" si="11"/>
        <v>3465000</v>
      </c>
      <c r="K103" s="948"/>
    </row>
    <row r="104" spans="1:11" ht="94.5" customHeight="1" outlineLevel="1">
      <c r="A104" s="940">
        <f t="shared" ref="A104:A109" si="15">A103+1</f>
        <v>2</v>
      </c>
      <c r="B104" s="944" t="s">
        <v>1128</v>
      </c>
      <c r="C104" s="969" t="s">
        <v>1129</v>
      </c>
      <c r="D104" s="940" t="s">
        <v>627</v>
      </c>
      <c r="E104" s="962">
        <v>1</v>
      </c>
      <c r="F104" s="948">
        <v>7800000</v>
      </c>
      <c r="G104" s="949">
        <v>0.1</v>
      </c>
      <c r="H104" s="950">
        <f t="shared" si="9"/>
        <v>7800000</v>
      </c>
      <c r="I104" s="950">
        <f t="shared" si="10"/>
        <v>8580000</v>
      </c>
      <c r="J104" s="950">
        <f t="shared" si="11"/>
        <v>8580000</v>
      </c>
      <c r="K104" s="948"/>
    </row>
    <row r="105" spans="1:11" ht="63" customHeight="1" outlineLevel="1">
      <c r="A105" s="940">
        <f t="shared" si="15"/>
        <v>3</v>
      </c>
      <c r="B105" s="944" t="s">
        <v>1077</v>
      </c>
      <c r="C105" s="944" t="s">
        <v>1100</v>
      </c>
      <c r="D105" s="940" t="s">
        <v>627</v>
      </c>
      <c r="E105" s="962">
        <v>11</v>
      </c>
      <c r="F105" s="948">
        <v>480000</v>
      </c>
      <c r="G105" s="949">
        <v>0.1</v>
      </c>
      <c r="H105" s="950">
        <f t="shared" si="9"/>
        <v>5280000</v>
      </c>
      <c r="I105" s="950">
        <f t="shared" si="10"/>
        <v>528000</v>
      </c>
      <c r="J105" s="950">
        <f t="shared" si="11"/>
        <v>5808000</v>
      </c>
      <c r="K105" s="948"/>
    </row>
    <row r="106" spans="1:11" ht="138.75" customHeight="1" outlineLevel="1">
      <c r="A106" s="940">
        <f t="shared" si="15"/>
        <v>4</v>
      </c>
      <c r="B106" s="944" t="s">
        <v>1021</v>
      </c>
      <c r="C106" s="953" t="s">
        <v>1022</v>
      </c>
      <c r="D106" s="940" t="s">
        <v>627</v>
      </c>
      <c r="E106" s="962">
        <v>1</v>
      </c>
      <c r="F106" s="948">
        <v>5600000</v>
      </c>
      <c r="G106" s="949">
        <v>0.1</v>
      </c>
      <c r="H106" s="950">
        <f t="shared" si="9"/>
        <v>5600000</v>
      </c>
      <c r="I106" s="950">
        <f t="shared" si="10"/>
        <v>6160000</v>
      </c>
      <c r="J106" s="950">
        <f t="shared" si="11"/>
        <v>6160000</v>
      </c>
      <c r="K106" s="948"/>
    </row>
    <row r="107" spans="1:11" ht="94.5" outlineLevel="1">
      <c r="A107" s="940">
        <f t="shared" si="15"/>
        <v>5</v>
      </c>
      <c r="B107" s="944" t="s">
        <v>1054</v>
      </c>
      <c r="C107" s="971" t="s">
        <v>1055</v>
      </c>
      <c r="D107" s="940" t="s">
        <v>627</v>
      </c>
      <c r="E107" s="962">
        <v>1</v>
      </c>
      <c r="F107" s="948">
        <v>2400000</v>
      </c>
      <c r="G107" s="949">
        <v>0.05</v>
      </c>
      <c r="H107" s="950">
        <f t="shared" si="9"/>
        <v>2400000</v>
      </c>
      <c r="I107" s="950">
        <f t="shared" si="10"/>
        <v>2640000</v>
      </c>
      <c r="J107" s="950">
        <f t="shared" si="11"/>
        <v>2640000</v>
      </c>
      <c r="K107" s="948"/>
    </row>
    <row r="108" spans="1:11" ht="47.25" customHeight="1" outlineLevel="1">
      <c r="A108" s="940">
        <f t="shared" si="15"/>
        <v>6</v>
      </c>
      <c r="B108" s="944" t="s">
        <v>1034</v>
      </c>
      <c r="C108" s="966" t="s">
        <v>1035</v>
      </c>
      <c r="D108" s="940" t="s">
        <v>1068</v>
      </c>
      <c r="E108" s="962">
        <f>E101</f>
        <v>1</v>
      </c>
      <c r="F108" s="948">
        <v>130000</v>
      </c>
      <c r="G108" s="949">
        <v>0.1</v>
      </c>
      <c r="H108" s="950">
        <f t="shared" si="9"/>
        <v>130000</v>
      </c>
      <c r="I108" s="950">
        <f t="shared" si="10"/>
        <v>143000</v>
      </c>
      <c r="J108" s="950">
        <f t="shared" si="11"/>
        <v>143000</v>
      </c>
      <c r="K108" s="948"/>
    </row>
    <row r="109" spans="1:11" ht="15.75" customHeight="1" outlineLevel="1">
      <c r="A109" s="940">
        <f t="shared" si="15"/>
        <v>7</v>
      </c>
      <c r="B109" s="944" t="s">
        <v>1066</v>
      </c>
      <c r="C109" s="944" t="s">
        <v>1067</v>
      </c>
      <c r="D109" s="940" t="s">
        <v>627</v>
      </c>
      <c r="E109" s="962">
        <v>1</v>
      </c>
      <c r="F109" s="948">
        <v>300000</v>
      </c>
      <c r="G109" s="949">
        <v>0.1</v>
      </c>
      <c r="H109" s="950">
        <f t="shared" si="9"/>
        <v>300000</v>
      </c>
      <c r="I109" s="950">
        <f t="shared" si="10"/>
        <v>330000</v>
      </c>
      <c r="J109" s="950">
        <f t="shared" si="11"/>
        <v>330000</v>
      </c>
      <c r="K109" s="948"/>
    </row>
    <row r="110" spans="1:11" ht="15.75">
      <c r="A110" s="940">
        <v>12</v>
      </c>
      <c r="B110" s="1003" t="s">
        <v>1133</v>
      </c>
      <c r="C110" s="944"/>
      <c r="D110" s="940" t="s">
        <v>1134</v>
      </c>
      <c r="E110" s="940">
        <v>2</v>
      </c>
      <c r="F110" s="948"/>
      <c r="G110" s="949"/>
      <c r="H110" s="950">
        <f t="shared" si="9"/>
        <v>0</v>
      </c>
      <c r="I110" s="950">
        <f t="shared" si="10"/>
        <v>0</v>
      </c>
      <c r="J110" s="950">
        <f t="shared" si="11"/>
        <v>0</v>
      </c>
      <c r="K110" s="948"/>
    </row>
    <row r="111" spans="1:11" ht="78.75" outlineLevel="1">
      <c r="A111" s="940">
        <v>1</v>
      </c>
      <c r="B111" s="944" t="s">
        <v>1082</v>
      </c>
      <c r="C111" s="953" t="s">
        <v>1083</v>
      </c>
      <c r="D111" s="940" t="s">
        <v>627</v>
      </c>
      <c r="E111" s="962">
        <v>1</v>
      </c>
      <c r="F111" s="948">
        <v>3150000</v>
      </c>
      <c r="G111" s="949">
        <v>0.1</v>
      </c>
      <c r="H111" s="950">
        <f t="shared" si="9"/>
        <v>3150000</v>
      </c>
      <c r="I111" s="950">
        <f t="shared" si="10"/>
        <v>3465000</v>
      </c>
      <c r="J111" s="950">
        <f t="shared" si="11"/>
        <v>3465000</v>
      </c>
      <c r="K111" s="948"/>
    </row>
    <row r="112" spans="1:11" ht="94.5" customHeight="1" outlineLevel="1">
      <c r="A112" s="940">
        <f>A111+1</f>
        <v>2</v>
      </c>
      <c r="B112" s="944" t="s">
        <v>1128</v>
      </c>
      <c r="C112" s="969" t="s">
        <v>1129</v>
      </c>
      <c r="D112" s="940" t="s">
        <v>627</v>
      </c>
      <c r="E112" s="962">
        <v>1</v>
      </c>
      <c r="F112" s="948">
        <v>7800000</v>
      </c>
      <c r="G112" s="949">
        <v>0.1</v>
      </c>
      <c r="H112" s="950">
        <f t="shared" si="9"/>
        <v>7800000</v>
      </c>
      <c r="I112" s="950">
        <f t="shared" si="10"/>
        <v>8580000</v>
      </c>
      <c r="J112" s="950">
        <f t="shared" si="11"/>
        <v>8580000</v>
      </c>
      <c r="K112" s="948"/>
    </row>
    <row r="113" spans="1:11" ht="63" customHeight="1" outlineLevel="1">
      <c r="A113" s="940">
        <f>A112+1</f>
        <v>3</v>
      </c>
      <c r="B113" s="944" t="s">
        <v>1077</v>
      </c>
      <c r="C113" s="944" t="s">
        <v>1100</v>
      </c>
      <c r="D113" s="940" t="s">
        <v>627</v>
      </c>
      <c r="E113" s="962">
        <v>11</v>
      </c>
      <c r="F113" s="948">
        <v>480000</v>
      </c>
      <c r="G113" s="949">
        <v>0.1</v>
      </c>
      <c r="H113" s="950">
        <f t="shared" si="9"/>
        <v>5280000</v>
      </c>
      <c r="I113" s="950">
        <f t="shared" si="10"/>
        <v>528000</v>
      </c>
      <c r="J113" s="950">
        <f t="shared" si="11"/>
        <v>5808000</v>
      </c>
      <c r="K113" s="948"/>
    </row>
    <row r="114" spans="1:11" ht="47.25" customHeight="1" outlineLevel="1">
      <c r="A114" s="940">
        <f>A113+1</f>
        <v>4</v>
      </c>
      <c r="B114" s="944" t="s">
        <v>1034</v>
      </c>
      <c r="C114" s="966" t="s">
        <v>1035</v>
      </c>
      <c r="D114" s="940" t="s">
        <v>627</v>
      </c>
      <c r="E114" s="962">
        <v>1</v>
      </c>
      <c r="F114" s="948">
        <v>130000</v>
      </c>
      <c r="G114" s="949">
        <v>0.1</v>
      </c>
      <c r="H114" s="950">
        <f t="shared" si="9"/>
        <v>130000</v>
      </c>
      <c r="I114" s="950">
        <f t="shared" si="10"/>
        <v>143000</v>
      </c>
      <c r="J114" s="950">
        <f t="shared" si="11"/>
        <v>143000</v>
      </c>
      <c r="K114" s="948"/>
    </row>
    <row r="115" spans="1:11" ht="15.75" customHeight="1" outlineLevel="1">
      <c r="A115" s="940">
        <f>A114+1</f>
        <v>5</v>
      </c>
      <c r="B115" s="944" t="s">
        <v>1066</v>
      </c>
      <c r="C115" s="944" t="s">
        <v>1067</v>
      </c>
      <c r="D115" s="940" t="s">
        <v>627</v>
      </c>
      <c r="E115" s="962">
        <v>1</v>
      </c>
      <c r="F115" s="948">
        <v>300000</v>
      </c>
      <c r="G115" s="949">
        <v>0.1</v>
      </c>
      <c r="H115" s="950">
        <f t="shared" si="9"/>
        <v>300000</v>
      </c>
      <c r="I115" s="950">
        <f t="shared" si="10"/>
        <v>330000</v>
      </c>
      <c r="J115" s="950">
        <f t="shared" si="11"/>
        <v>330000</v>
      </c>
      <c r="K115" s="948"/>
    </row>
    <row r="116" spans="1:11" ht="36" customHeight="1">
      <c r="A116" s="940">
        <v>13</v>
      </c>
      <c r="B116" s="941" t="s">
        <v>1135</v>
      </c>
      <c r="C116" s="942"/>
      <c r="D116" s="968" t="s">
        <v>1011</v>
      </c>
      <c r="E116" s="968">
        <v>1</v>
      </c>
      <c r="F116" s="948"/>
      <c r="G116" s="949"/>
      <c r="H116" s="950">
        <f t="shared" si="9"/>
        <v>0</v>
      </c>
      <c r="I116" s="950">
        <f t="shared" si="10"/>
        <v>0</v>
      </c>
      <c r="J116" s="950">
        <f t="shared" si="11"/>
        <v>0</v>
      </c>
      <c r="K116" s="948"/>
    </row>
    <row r="117" spans="1:11" ht="78.75" outlineLevel="1">
      <c r="A117" s="940">
        <v>1</v>
      </c>
      <c r="B117" s="944" t="s">
        <v>1128</v>
      </c>
      <c r="C117" s="969" t="s">
        <v>1129</v>
      </c>
      <c r="D117" s="940" t="s">
        <v>627</v>
      </c>
      <c r="E117" s="962">
        <v>1</v>
      </c>
      <c r="F117" s="948">
        <v>7800000</v>
      </c>
      <c r="G117" s="949">
        <v>0.1</v>
      </c>
      <c r="H117" s="950">
        <f t="shared" si="9"/>
        <v>7800000</v>
      </c>
      <c r="I117" s="950">
        <f t="shared" si="10"/>
        <v>8580000</v>
      </c>
      <c r="J117" s="950">
        <f t="shared" si="11"/>
        <v>8580000</v>
      </c>
      <c r="K117" s="948"/>
    </row>
    <row r="118" spans="1:11" ht="63" customHeight="1" outlineLevel="1">
      <c r="A118" s="940">
        <f>A117+1</f>
        <v>2</v>
      </c>
      <c r="B118" s="944" t="s">
        <v>1077</v>
      </c>
      <c r="C118" s="944" t="s">
        <v>1100</v>
      </c>
      <c r="D118" s="940" t="s">
        <v>627</v>
      </c>
      <c r="E118" s="962">
        <v>10</v>
      </c>
      <c r="F118" s="948">
        <v>480000</v>
      </c>
      <c r="G118" s="949">
        <v>0.1</v>
      </c>
      <c r="H118" s="950">
        <f t="shared" si="9"/>
        <v>4800000</v>
      </c>
      <c r="I118" s="950">
        <f t="shared" si="10"/>
        <v>528000</v>
      </c>
      <c r="J118" s="950">
        <f t="shared" si="11"/>
        <v>5280000</v>
      </c>
      <c r="K118" s="948"/>
    </row>
    <row r="119" spans="1:11" ht="78.75" customHeight="1" outlineLevel="1">
      <c r="A119" s="940">
        <f>A118+1</f>
        <v>3</v>
      </c>
      <c r="B119" s="944" t="s">
        <v>1136</v>
      </c>
      <c r="C119" s="952" t="s">
        <v>1137</v>
      </c>
      <c r="D119" s="940" t="s">
        <v>627</v>
      </c>
      <c r="E119" s="962">
        <v>4</v>
      </c>
      <c r="F119" s="948">
        <v>3740000</v>
      </c>
      <c r="G119" s="949">
        <v>0.1</v>
      </c>
      <c r="H119" s="950">
        <f t="shared" si="9"/>
        <v>14960000</v>
      </c>
      <c r="I119" s="950">
        <f t="shared" si="10"/>
        <v>4114000</v>
      </c>
      <c r="J119" s="950">
        <f t="shared" si="11"/>
        <v>16456000</v>
      </c>
      <c r="K119" s="948"/>
    </row>
    <row r="120" spans="1:11" ht="94.5" customHeight="1" outlineLevel="1">
      <c r="A120" s="940">
        <f t="shared" ref="A120:A123" si="16">A119+1</f>
        <v>4</v>
      </c>
      <c r="B120" s="944" t="s">
        <v>1138</v>
      </c>
      <c r="C120" s="998" t="s">
        <v>1124</v>
      </c>
      <c r="D120" s="940" t="s">
        <v>627</v>
      </c>
      <c r="E120" s="962">
        <v>1</v>
      </c>
      <c r="F120" s="948">
        <v>4900000</v>
      </c>
      <c r="G120" s="949">
        <v>0.1</v>
      </c>
      <c r="H120" s="950">
        <f t="shared" si="9"/>
        <v>4900000</v>
      </c>
      <c r="I120" s="950">
        <f t="shared" si="10"/>
        <v>5390000</v>
      </c>
      <c r="J120" s="950">
        <f t="shared" si="11"/>
        <v>5390000</v>
      </c>
      <c r="K120" s="948"/>
    </row>
    <row r="121" spans="1:11" s="985" customFormat="1" ht="47.25" customHeight="1" outlineLevel="1">
      <c r="A121" s="977">
        <f t="shared" si="16"/>
        <v>5</v>
      </c>
      <c r="B121" s="978" t="s">
        <v>1139</v>
      </c>
      <c r="C121" s="1004" t="s">
        <v>1140</v>
      </c>
      <c r="D121" s="977" t="s">
        <v>627</v>
      </c>
      <c r="E121" s="1005">
        <v>1</v>
      </c>
      <c r="F121" s="982">
        <v>21990000</v>
      </c>
      <c r="G121" s="983">
        <v>0.1</v>
      </c>
      <c r="H121" s="984">
        <f t="shared" si="9"/>
        <v>21990000</v>
      </c>
      <c r="I121" s="984">
        <f t="shared" si="10"/>
        <v>24189000</v>
      </c>
      <c r="J121" s="984">
        <f t="shared" si="11"/>
        <v>24189000</v>
      </c>
      <c r="K121" s="982"/>
    </row>
    <row r="122" spans="1:11" ht="47.25" customHeight="1" outlineLevel="1">
      <c r="A122" s="940">
        <f t="shared" si="16"/>
        <v>6</v>
      </c>
      <c r="B122" s="944" t="s">
        <v>1034</v>
      </c>
      <c r="C122" s="966" t="s">
        <v>1035</v>
      </c>
      <c r="D122" s="940" t="s">
        <v>1068</v>
      </c>
      <c r="E122" s="962">
        <v>1</v>
      </c>
      <c r="F122" s="948">
        <v>130000</v>
      </c>
      <c r="G122" s="949">
        <v>0.1</v>
      </c>
      <c r="H122" s="950">
        <f t="shared" si="9"/>
        <v>130000</v>
      </c>
      <c r="I122" s="950">
        <f t="shared" si="10"/>
        <v>143000</v>
      </c>
      <c r="J122" s="950">
        <f t="shared" si="11"/>
        <v>143000</v>
      </c>
      <c r="K122" s="948"/>
    </row>
    <row r="123" spans="1:11" ht="15.75" customHeight="1" outlineLevel="1">
      <c r="A123" s="940">
        <f t="shared" si="16"/>
        <v>7</v>
      </c>
      <c r="B123" s="944" t="s">
        <v>1066</v>
      </c>
      <c r="C123" s="944" t="s">
        <v>1067</v>
      </c>
      <c r="D123" s="940" t="s">
        <v>627</v>
      </c>
      <c r="E123" s="962">
        <v>1</v>
      </c>
      <c r="F123" s="948">
        <v>300000</v>
      </c>
      <c r="G123" s="949">
        <v>0.1</v>
      </c>
      <c r="H123" s="950">
        <f t="shared" si="9"/>
        <v>300000</v>
      </c>
      <c r="I123" s="950">
        <f t="shared" si="10"/>
        <v>330000</v>
      </c>
      <c r="J123" s="950">
        <f t="shared" si="11"/>
        <v>330000</v>
      </c>
      <c r="K123" s="948"/>
    </row>
    <row r="124" spans="1:11" ht="15.75">
      <c r="A124" s="940">
        <v>14</v>
      </c>
      <c r="B124" s="941" t="s">
        <v>1141</v>
      </c>
      <c r="C124" s="942"/>
      <c r="D124" s="968" t="s">
        <v>1011</v>
      </c>
      <c r="E124" s="968">
        <v>2</v>
      </c>
      <c r="F124" s="948"/>
      <c r="G124" s="949"/>
      <c r="H124" s="950">
        <f t="shared" si="9"/>
        <v>0</v>
      </c>
      <c r="I124" s="950">
        <f t="shared" si="10"/>
        <v>0</v>
      </c>
      <c r="J124" s="950">
        <f t="shared" si="11"/>
        <v>0</v>
      </c>
      <c r="K124" s="948"/>
    </row>
    <row r="125" spans="1:11" ht="78.75" outlineLevel="1">
      <c r="A125" s="940">
        <v>1</v>
      </c>
      <c r="B125" s="944" t="s">
        <v>1128</v>
      </c>
      <c r="C125" s="969" t="s">
        <v>1129</v>
      </c>
      <c r="D125" s="940" t="s">
        <v>627</v>
      </c>
      <c r="E125" s="962">
        <v>1</v>
      </c>
      <c r="F125" s="948">
        <v>7800000</v>
      </c>
      <c r="G125" s="949">
        <v>0.1</v>
      </c>
      <c r="H125" s="950">
        <f t="shared" si="9"/>
        <v>7800000</v>
      </c>
      <c r="I125" s="950">
        <f t="shared" si="10"/>
        <v>8580000</v>
      </c>
      <c r="J125" s="950">
        <f t="shared" si="11"/>
        <v>8580000</v>
      </c>
      <c r="K125" s="948"/>
    </row>
    <row r="126" spans="1:11" ht="63" customHeight="1" outlineLevel="1">
      <c r="A126" s="940">
        <f>A125+1</f>
        <v>2</v>
      </c>
      <c r="B126" s="944" t="s">
        <v>1077</v>
      </c>
      <c r="C126" s="944" t="s">
        <v>1100</v>
      </c>
      <c r="D126" s="940" t="s">
        <v>627</v>
      </c>
      <c r="E126" s="962">
        <v>10</v>
      </c>
      <c r="F126" s="948">
        <v>480000</v>
      </c>
      <c r="G126" s="949">
        <v>0.1</v>
      </c>
      <c r="H126" s="950">
        <f t="shared" si="9"/>
        <v>4800000</v>
      </c>
      <c r="I126" s="950">
        <f t="shared" si="10"/>
        <v>528000</v>
      </c>
      <c r="J126" s="950">
        <f t="shared" si="11"/>
        <v>5280000</v>
      </c>
      <c r="K126" s="948"/>
    </row>
    <row r="127" spans="1:11" ht="63" outlineLevel="1">
      <c r="A127" s="940">
        <f t="shared" ref="A127:A131" si="17">A126+1</f>
        <v>3</v>
      </c>
      <c r="B127" s="944" t="s">
        <v>1136</v>
      </c>
      <c r="C127" s="952" t="s">
        <v>1137</v>
      </c>
      <c r="D127" s="940" t="s">
        <v>627</v>
      </c>
      <c r="E127" s="962">
        <v>4</v>
      </c>
      <c r="F127" s="948">
        <v>3740000</v>
      </c>
      <c r="G127" s="949">
        <v>0.1</v>
      </c>
      <c r="H127" s="950">
        <f t="shared" si="9"/>
        <v>14960000</v>
      </c>
      <c r="I127" s="950">
        <f t="shared" si="10"/>
        <v>4114000</v>
      </c>
      <c r="J127" s="950">
        <f t="shared" si="11"/>
        <v>16456000</v>
      </c>
      <c r="K127" s="948"/>
    </row>
    <row r="128" spans="1:11" ht="94.5" customHeight="1" outlineLevel="1">
      <c r="A128" s="940">
        <f t="shared" si="17"/>
        <v>4</v>
      </c>
      <c r="B128" s="944" t="s">
        <v>1138</v>
      </c>
      <c r="C128" s="998" t="s">
        <v>1124</v>
      </c>
      <c r="D128" s="940" t="s">
        <v>627</v>
      </c>
      <c r="E128" s="962">
        <v>1</v>
      </c>
      <c r="F128" s="948">
        <v>4900000</v>
      </c>
      <c r="G128" s="949">
        <v>0.1</v>
      </c>
      <c r="H128" s="950">
        <f t="shared" si="9"/>
        <v>4900000</v>
      </c>
      <c r="I128" s="950">
        <f t="shared" si="10"/>
        <v>5390000</v>
      </c>
      <c r="J128" s="950">
        <f t="shared" si="11"/>
        <v>5390000</v>
      </c>
      <c r="K128" s="948"/>
    </row>
    <row r="129" spans="1:11" s="985" customFormat="1" ht="47.25" customHeight="1" outlineLevel="1">
      <c r="A129" s="977">
        <f t="shared" si="17"/>
        <v>5</v>
      </c>
      <c r="B129" s="978" t="s">
        <v>1139</v>
      </c>
      <c r="C129" s="1004" t="s">
        <v>1140</v>
      </c>
      <c r="D129" s="977" t="s">
        <v>627</v>
      </c>
      <c r="E129" s="1005">
        <v>1</v>
      </c>
      <c r="F129" s="982">
        <v>21990000</v>
      </c>
      <c r="G129" s="983">
        <v>0.1</v>
      </c>
      <c r="H129" s="984">
        <f t="shared" si="9"/>
        <v>21990000</v>
      </c>
      <c r="I129" s="984">
        <f t="shared" si="10"/>
        <v>24189000</v>
      </c>
      <c r="J129" s="984">
        <f t="shared" si="11"/>
        <v>24189000</v>
      </c>
      <c r="K129" s="982"/>
    </row>
    <row r="130" spans="1:11" ht="47.25" customHeight="1" outlineLevel="1">
      <c r="A130" s="940">
        <f t="shared" si="17"/>
        <v>6</v>
      </c>
      <c r="B130" s="944" t="s">
        <v>1034</v>
      </c>
      <c r="C130" s="966" t="s">
        <v>1035</v>
      </c>
      <c r="D130" s="940" t="s">
        <v>1068</v>
      </c>
      <c r="E130" s="962">
        <f>E124</f>
        <v>2</v>
      </c>
      <c r="F130" s="948">
        <v>130000</v>
      </c>
      <c r="G130" s="949">
        <v>0.1</v>
      </c>
      <c r="H130" s="950">
        <f t="shared" si="9"/>
        <v>260000</v>
      </c>
      <c r="I130" s="950">
        <f t="shared" si="10"/>
        <v>143000</v>
      </c>
      <c r="J130" s="950">
        <f t="shared" si="11"/>
        <v>286000</v>
      </c>
      <c r="K130" s="948"/>
    </row>
    <row r="131" spans="1:11" ht="15.75" customHeight="1" outlineLevel="1">
      <c r="A131" s="940">
        <f t="shared" si="17"/>
        <v>7</v>
      </c>
      <c r="B131" s="944" t="s">
        <v>1066</v>
      </c>
      <c r="C131" s="944" t="s">
        <v>1067</v>
      </c>
      <c r="D131" s="940" t="s">
        <v>627</v>
      </c>
      <c r="E131" s="962">
        <v>1</v>
      </c>
      <c r="F131" s="948">
        <v>300000</v>
      </c>
      <c r="G131" s="949">
        <v>0.1</v>
      </c>
      <c r="H131" s="950">
        <f t="shared" si="9"/>
        <v>300000</v>
      </c>
      <c r="I131" s="950">
        <f t="shared" si="10"/>
        <v>330000</v>
      </c>
      <c r="J131" s="950">
        <f t="shared" si="11"/>
        <v>330000</v>
      </c>
      <c r="K131" s="948"/>
    </row>
    <row r="132" spans="1:11" ht="15.75">
      <c r="A132" s="940">
        <v>15</v>
      </c>
      <c r="B132" s="987" t="s">
        <v>1142</v>
      </c>
      <c r="C132" s="987"/>
      <c r="D132" s="968" t="s">
        <v>1011</v>
      </c>
      <c r="E132" s="968">
        <v>1</v>
      </c>
      <c r="F132" s="948"/>
      <c r="G132" s="949"/>
      <c r="H132" s="950">
        <f t="shared" si="9"/>
        <v>0</v>
      </c>
      <c r="I132" s="950">
        <f t="shared" si="10"/>
        <v>0</v>
      </c>
      <c r="J132" s="950">
        <f t="shared" si="11"/>
        <v>0</v>
      </c>
      <c r="K132" s="948"/>
    </row>
    <row r="133" spans="1:11" ht="94.5" outlineLevel="1">
      <c r="A133" s="940">
        <v>1</v>
      </c>
      <c r="B133" s="944" t="s">
        <v>1143</v>
      </c>
      <c r="C133" s="953" t="s">
        <v>1144</v>
      </c>
      <c r="D133" s="940" t="s">
        <v>627</v>
      </c>
      <c r="E133" s="962">
        <v>6</v>
      </c>
      <c r="F133" s="948">
        <v>5600000</v>
      </c>
      <c r="G133" s="949">
        <v>0.1</v>
      </c>
      <c r="H133" s="950">
        <f t="shared" si="9"/>
        <v>33600000</v>
      </c>
      <c r="I133" s="950">
        <f t="shared" si="10"/>
        <v>6160000</v>
      </c>
      <c r="J133" s="950">
        <f t="shared" si="11"/>
        <v>36960000</v>
      </c>
      <c r="K133" s="982" t="s">
        <v>1103</v>
      </c>
    </row>
    <row r="134" spans="1:11" ht="47.25" customHeight="1" outlineLevel="1">
      <c r="A134" s="940">
        <f>A133+1</f>
        <v>2</v>
      </c>
      <c r="B134" s="944" t="s">
        <v>1034</v>
      </c>
      <c r="C134" s="966" t="s">
        <v>1035</v>
      </c>
      <c r="D134" s="940" t="s">
        <v>1068</v>
      </c>
      <c r="E134" s="962">
        <f>E132</f>
        <v>1</v>
      </c>
      <c r="F134" s="948">
        <v>130000</v>
      </c>
      <c r="G134" s="949">
        <v>0.1</v>
      </c>
      <c r="H134" s="950">
        <f t="shared" si="9"/>
        <v>130000</v>
      </c>
      <c r="I134" s="950">
        <f t="shared" si="10"/>
        <v>143000</v>
      </c>
      <c r="J134" s="950">
        <f t="shared" si="11"/>
        <v>143000</v>
      </c>
      <c r="K134" s="948"/>
    </row>
    <row r="135" spans="1:11" ht="15.75">
      <c r="A135" s="940">
        <v>16</v>
      </c>
      <c r="B135" s="941" t="s">
        <v>1145</v>
      </c>
      <c r="C135" s="987"/>
      <c r="D135" s="968" t="s">
        <v>1011</v>
      </c>
      <c r="E135" s="968">
        <v>1</v>
      </c>
      <c r="F135" s="948"/>
      <c r="G135" s="949"/>
      <c r="H135" s="950">
        <f t="shared" si="9"/>
        <v>0</v>
      </c>
      <c r="I135" s="950">
        <f t="shared" si="10"/>
        <v>0</v>
      </c>
      <c r="J135" s="950">
        <f t="shared" si="11"/>
        <v>0</v>
      </c>
      <c r="K135" s="948"/>
    </row>
    <row r="136" spans="1:11" ht="78.75" outlineLevel="1">
      <c r="A136" s="940">
        <v>1</v>
      </c>
      <c r="B136" s="944" t="s">
        <v>1146</v>
      </c>
      <c r="C136" s="991" t="s">
        <v>1556</v>
      </c>
      <c r="D136" s="940" t="s">
        <v>627</v>
      </c>
      <c r="E136" s="962">
        <v>15</v>
      </c>
      <c r="F136" s="948">
        <v>2200000</v>
      </c>
      <c r="G136" s="949">
        <v>0.1</v>
      </c>
      <c r="H136" s="950">
        <f t="shared" si="9"/>
        <v>33000000</v>
      </c>
      <c r="I136" s="950">
        <f t="shared" si="10"/>
        <v>2420000</v>
      </c>
      <c r="J136" s="950">
        <f t="shared" si="11"/>
        <v>36300000</v>
      </c>
      <c r="K136" s="948"/>
    </row>
    <row r="137" spans="1:11" ht="63" customHeight="1" outlineLevel="1">
      <c r="A137" s="940">
        <f>A136+1</f>
        <v>2</v>
      </c>
      <c r="B137" s="944" t="s">
        <v>1077</v>
      </c>
      <c r="C137" s="944" t="s">
        <v>1100</v>
      </c>
      <c r="D137" s="940" t="s">
        <v>627</v>
      </c>
      <c r="E137" s="962">
        <v>30</v>
      </c>
      <c r="F137" s="948">
        <v>480000</v>
      </c>
      <c r="G137" s="949">
        <v>0.1</v>
      </c>
      <c r="H137" s="950">
        <f t="shared" ref="H137:H140" si="18">E137*F137</f>
        <v>14400000</v>
      </c>
      <c r="I137" s="950">
        <f t="shared" si="10"/>
        <v>528000</v>
      </c>
      <c r="J137" s="950">
        <f t="shared" si="11"/>
        <v>15840000</v>
      </c>
      <c r="K137" s="948"/>
    </row>
    <row r="138" spans="1:11" ht="94.5" outlineLevel="1">
      <c r="A138" s="940">
        <f t="shared" ref="A138:A145" si="19">A137+1</f>
        <v>3</v>
      </c>
      <c r="B138" s="944" t="s">
        <v>1054</v>
      </c>
      <c r="C138" s="971" t="s">
        <v>1055</v>
      </c>
      <c r="D138" s="940" t="s">
        <v>627</v>
      </c>
      <c r="E138" s="962">
        <v>3</v>
      </c>
      <c r="F138" s="948">
        <v>2400000</v>
      </c>
      <c r="G138" s="949">
        <v>0.05</v>
      </c>
      <c r="H138" s="950">
        <f t="shared" si="18"/>
        <v>7200000</v>
      </c>
      <c r="I138" s="950">
        <f t="shared" ref="I138:I201" si="20">+ROUND(F138*1.1,0)</f>
        <v>2640000</v>
      </c>
      <c r="J138" s="950">
        <f t="shared" ref="J138:J201" si="21">+ROUND(I138*E138,0)</f>
        <v>7920000</v>
      </c>
      <c r="K138" s="948"/>
    </row>
    <row r="139" spans="1:11" ht="47.25" outlineLevel="1">
      <c r="A139" s="940">
        <f t="shared" si="19"/>
        <v>4</v>
      </c>
      <c r="B139" s="944" t="s">
        <v>1148</v>
      </c>
      <c r="C139" s="974" t="s">
        <v>1149</v>
      </c>
      <c r="D139" s="940" t="s">
        <v>627</v>
      </c>
      <c r="E139" s="962">
        <v>1</v>
      </c>
      <c r="F139" s="948">
        <v>5060000</v>
      </c>
      <c r="G139" s="949">
        <v>0.1</v>
      </c>
      <c r="H139" s="950">
        <f t="shared" si="18"/>
        <v>5060000</v>
      </c>
      <c r="I139" s="950">
        <f t="shared" si="20"/>
        <v>5566000</v>
      </c>
      <c r="J139" s="950">
        <f t="shared" si="21"/>
        <v>5566000</v>
      </c>
      <c r="K139" s="948"/>
    </row>
    <row r="140" spans="1:11" ht="378" outlineLevel="1">
      <c r="A140" s="1006">
        <f t="shared" si="19"/>
        <v>5</v>
      </c>
      <c r="B140" s="1007" t="s">
        <v>1036</v>
      </c>
      <c r="C140" s="1008" t="s">
        <v>1150</v>
      </c>
      <c r="D140" s="1006" t="s">
        <v>627</v>
      </c>
      <c r="E140" s="947">
        <v>1</v>
      </c>
      <c r="F140" s="948">
        <v>65640000</v>
      </c>
      <c r="G140" s="949">
        <v>0.1</v>
      </c>
      <c r="H140" s="950">
        <f t="shared" si="18"/>
        <v>65640000</v>
      </c>
      <c r="I140" s="950">
        <f t="shared" si="20"/>
        <v>72204000</v>
      </c>
      <c r="J140" s="950">
        <f t="shared" si="21"/>
        <v>72204000</v>
      </c>
      <c r="K140" s="948"/>
    </row>
    <row r="141" spans="1:11" ht="189" outlineLevel="1">
      <c r="A141" s="1009"/>
      <c r="B141" s="1010"/>
      <c r="C141" s="1008" t="s">
        <v>1151</v>
      </c>
      <c r="D141" s="1009"/>
      <c r="E141" s="958"/>
      <c r="F141" s="948"/>
      <c r="G141" s="949"/>
      <c r="H141" s="950"/>
      <c r="I141" s="950">
        <f t="shared" si="20"/>
        <v>0</v>
      </c>
      <c r="J141" s="950">
        <f t="shared" si="21"/>
        <v>0</v>
      </c>
      <c r="K141" s="948"/>
    </row>
    <row r="142" spans="1:11" ht="381" customHeight="1" outlineLevel="1">
      <c r="A142" s="940">
        <f>A140+1</f>
        <v>6</v>
      </c>
      <c r="B142" s="944" t="s">
        <v>1152</v>
      </c>
      <c r="C142" s="1011" t="s">
        <v>1153</v>
      </c>
      <c r="D142" s="940" t="s">
        <v>627</v>
      </c>
      <c r="E142" s="962">
        <v>1</v>
      </c>
      <c r="F142" s="948">
        <v>27500000</v>
      </c>
      <c r="G142" s="949">
        <v>0.1</v>
      </c>
      <c r="H142" s="950">
        <f t="shared" ref="H142:H178" si="22">E142*F142</f>
        <v>27500000</v>
      </c>
      <c r="I142" s="950">
        <f t="shared" si="20"/>
        <v>30250000</v>
      </c>
      <c r="J142" s="950">
        <f t="shared" si="21"/>
        <v>30250000</v>
      </c>
      <c r="K142" s="982" t="s">
        <v>1155</v>
      </c>
    </row>
    <row r="143" spans="1:11" ht="31.5" customHeight="1" outlineLevel="1">
      <c r="A143" s="940">
        <f t="shared" si="19"/>
        <v>7</v>
      </c>
      <c r="B143" s="944" t="s">
        <v>1157</v>
      </c>
      <c r="C143" s="966" t="s">
        <v>1158</v>
      </c>
      <c r="D143" s="940" t="s">
        <v>627</v>
      </c>
      <c r="E143" s="962">
        <v>1</v>
      </c>
      <c r="F143" s="948">
        <v>2200000</v>
      </c>
      <c r="G143" s="949">
        <v>0.1</v>
      </c>
      <c r="H143" s="950">
        <f t="shared" si="22"/>
        <v>2200000</v>
      </c>
      <c r="I143" s="950">
        <f t="shared" si="20"/>
        <v>2420000</v>
      </c>
      <c r="J143" s="950">
        <f t="shared" si="21"/>
        <v>2420000</v>
      </c>
      <c r="K143" s="982" t="s">
        <v>1155</v>
      </c>
    </row>
    <row r="144" spans="1:11" ht="47.25" customHeight="1" outlineLevel="1">
      <c r="A144" s="940">
        <f t="shared" si="19"/>
        <v>8</v>
      </c>
      <c r="B144" s="944" t="s">
        <v>1034</v>
      </c>
      <c r="C144" s="966" t="s">
        <v>1035</v>
      </c>
      <c r="D144" s="940" t="s">
        <v>1068</v>
      </c>
      <c r="E144" s="962">
        <f>E135</f>
        <v>1</v>
      </c>
      <c r="F144" s="948">
        <v>130000</v>
      </c>
      <c r="G144" s="949">
        <v>0.1</v>
      </c>
      <c r="H144" s="950">
        <f t="shared" si="22"/>
        <v>130000</v>
      </c>
      <c r="I144" s="950">
        <f t="shared" si="20"/>
        <v>143000</v>
      </c>
      <c r="J144" s="950">
        <f t="shared" si="21"/>
        <v>143000</v>
      </c>
      <c r="K144" s="948"/>
    </row>
    <row r="145" spans="1:11" ht="15.75" customHeight="1" outlineLevel="1">
      <c r="A145" s="940">
        <f t="shared" si="19"/>
        <v>9</v>
      </c>
      <c r="B145" s="944" t="s">
        <v>1066</v>
      </c>
      <c r="C145" s="944" t="s">
        <v>1067</v>
      </c>
      <c r="D145" s="940" t="s">
        <v>627</v>
      </c>
      <c r="E145" s="962">
        <v>1</v>
      </c>
      <c r="F145" s="948">
        <v>300000</v>
      </c>
      <c r="G145" s="949">
        <v>0.1</v>
      </c>
      <c r="H145" s="950">
        <f t="shared" si="22"/>
        <v>300000</v>
      </c>
      <c r="I145" s="950">
        <f t="shared" si="20"/>
        <v>330000</v>
      </c>
      <c r="J145" s="950">
        <f t="shared" si="21"/>
        <v>330000</v>
      </c>
      <c r="K145" s="948"/>
    </row>
    <row r="146" spans="1:11" ht="15.75">
      <c r="A146" s="992">
        <v>17</v>
      </c>
      <c r="B146" s="941" t="s">
        <v>1159</v>
      </c>
      <c r="C146" s="987"/>
      <c r="D146" s="968" t="s">
        <v>1011</v>
      </c>
      <c r="E146" s="968">
        <v>1</v>
      </c>
      <c r="F146" s="948"/>
      <c r="G146" s="949"/>
      <c r="H146" s="950">
        <f t="shared" si="22"/>
        <v>0</v>
      </c>
      <c r="I146" s="950">
        <f t="shared" si="20"/>
        <v>0</v>
      </c>
      <c r="J146" s="950">
        <f t="shared" si="21"/>
        <v>0</v>
      </c>
      <c r="K146" s="948"/>
    </row>
    <row r="147" spans="1:11" ht="94.5" customHeight="1" outlineLevel="1">
      <c r="A147" s="940">
        <v>1</v>
      </c>
      <c r="B147" s="996" t="s">
        <v>1107</v>
      </c>
      <c r="C147" s="969" t="s">
        <v>1552</v>
      </c>
      <c r="D147" s="992" t="s">
        <v>627</v>
      </c>
      <c r="E147" s="993">
        <v>2</v>
      </c>
      <c r="F147" s="948">
        <v>10800000</v>
      </c>
      <c r="G147" s="949">
        <v>0.1</v>
      </c>
      <c r="H147" s="950">
        <f t="shared" si="22"/>
        <v>21600000</v>
      </c>
      <c r="I147" s="950">
        <f t="shared" si="20"/>
        <v>11880000</v>
      </c>
      <c r="J147" s="950">
        <f t="shared" si="21"/>
        <v>23760000</v>
      </c>
      <c r="K147" s="948"/>
    </row>
    <row r="148" spans="1:11" ht="63" customHeight="1" outlineLevel="1">
      <c r="A148" s="940">
        <f t="shared" ref="A148:A153" si="23">A147+1</f>
        <v>2</v>
      </c>
      <c r="B148" s="944" t="s">
        <v>1077</v>
      </c>
      <c r="C148" s="944" t="s">
        <v>1100</v>
      </c>
      <c r="D148" s="994" t="s">
        <v>627</v>
      </c>
      <c r="E148" s="993">
        <v>20</v>
      </c>
      <c r="F148" s="948">
        <v>480000</v>
      </c>
      <c r="G148" s="949">
        <v>0.1</v>
      </c>
      <c r="H148" s="950">
        <f t="shared" si="22"/>
        <v>9600000</v>
      </c>
      <c r="I148" s="950">
        <f t="shared" si="20"/>
        <v>528000</v>
      </c>
      <c r="J148" s="950">
        <f t="shared" si="21"/>
        <v>10560000</v>
      </c>
      <c r="K148" s="948"/>
    </row>
    <row r="149" spans="1:11" ht="126" customHeight="1" outlineLevel="1">
      <c r="A149" s="940">
        <f t="shared" si="23"/>
        <v>3</v>
      </c>
      <c r="B149" s="944" t="s">
        <v>1101</v>
      </c>
      <c r="C149" s="953" t="s">
        <v>1161</v>
      </c>
      <c r="D149" s="997" t="s">
        <v>655</v>
      </c>
      <c r="E149" s="993">
        <v>2</v>
      </c>
      <c r="F149" s="948">
        <v>6000000</v>
      </c>
      <c r="G149" s="949">
        <v>0.1</v>
      </c>
      <c r="H149" s="950">
        <f t="shared" si="22"/>
        <v>12000000</v>
      </c>
      <c r="I149" s="950">
        <f t="shared" si="20"/>
        <v>6600000</v>
      </c>
      <c r="J149" s="950">
        <f t="shared" si="21"/>
        <v>13200000</v>
      </c>
      <c r="K149" s="982" t="s">
        <v>1103</v>
      </c>
    </row>
    <row r="150" spans="1:11" ht="126" customHeight="1" outlineLevel="1">
      <c r="A150" s="940">
        <f t="shared" si="23"/>
        <v>4</v>
      </c>
      <c r="B150" s="996" t="s">
        <v>1162</v>
      </c>
      <c r="C150" s="953" t="s">
        <v>1163</v>
      </c>
      <c r="D150" s="992" t="s">
        <v>655</v>
      </c>
      <c r="E150" s="993">
        <v>3</v>
      </c>
      <c r="F150" s="948">
        <v>5760000</v>
      </c>
      <c r="G150" s="949">
        <v>0.1</v>
      </c>
      <c r="H150" s="950">
        <f t="shared" si="22"/>
        <v>17280000</v>
      </c>
      <c r="I150" s="950">
        <f t="shared" si="20"/>
        <v>6336000</v>
      </c>
      <c r="J150" s="950">
        <f t="shared" si="21"/>
        <v>19008000</v>
      </c>
      <c r="K150" s="948"/>
    </row>
    <row r="151" spans="1:11" ht="47.25" customHeight="1" outlineLevel="1">
      <c r="A151" s="940">
        <f t="shared" si="23"/>
        <v>5</v>
      </c>
      <c r="B151" s="944" t="s">
        <v>1164</v>
      </c>
      <c r="C151" s="944" t="s">
        <v>1165</v>
      </c>
      <c r="D151" s="940" t="s">
        <v>627</v>
      </c>
      <c r="E151" s="962">
        <v>1</v>
      </c>
      <c r="F151" s="948">
        <v>825000</v>
      </c>
      <c r="G151" s="949">
        <v>0.05</v>
      </c>
      <c r="H151" s="950">
        <f t="shared" si="22"/>
        <v>825000</v>
      </c>
      <c r="I151" s="950">
        <f t="shared" si="20"/>
        <v>907500</v>
      </c>
      <c r="J151" s="950">
        <f t="shared" si="21"/>
        <v>907500</v>
      </c>
      <c r="K151" s="948"/>
    </row>
    <row r="152" spans="1:11" ht="47.25" customHeight="1" outlineLevel="1">
      <c r="A152" s="940">
        <f t="shared" si="23"/>
        <v>6</v>
      </c>
      <c r="B152" s="1012" t="s">
        <v>1034</v>
      </c>
      <c r="C152" s="966" t="s">
        <v>1035</v>
      </c>
      <c r="D152" s="994" t="s">
        <v>627</v>
      </c>
      <c r="E152" s="995">
        <v>1</v>
      </c>
      <c r="F152" s="948">
        <v>130000</v>
      </c>
      <c r="G152" s="949">
        <v>0.1</v>
      </c>
      <c r="H152" s="950">
        <f t="shared" si="22"/>
        <v>130000</v>
      </c>
      <c r="I152" s="950">
        <f t="shared" si="20"/>
        <v>143000</v>
      </c>
      <c r="J152" s="950">
        <f t="shared" si="21"/>
        <v>143000</v>
      </c>
      <c r="K152" s="948"/>
    </row>
    <row r="153" spans="1:11" ht="15.75" customHeight="1" outlineLevel="1">
      <c r="A153" s="940">
        <f t="shared" si="23"/>
        <v>7</v>
      </c>
      <c r="B153" s="944" t="s">
        <v>1066</v>
      </c>
      <c r="C153" s="944" t="s">
        <v>1067</v>
      </c>
      <c r="D153" s="940" t="s">
        <v>627</v>
      </c>
      <c r="E153" s="962">
        <v>1</v>
      </c>
      <c r="F153" s="948">
        <v>300000</v>
      </c>
      <c r="G153" s="949">
        <v>0.1</v>
      </c>
      <c r="H153" s="950">
        <f t="shared" si="22"/>
        <v>300000</v>
      </c>
      <c r="I153" s="950">
        <f t="shared" si="20"/>
        <v>330000</v>
      </c>
      <c r="J153" s="950">
        <f t="shared" si="21"/>
        <v>330000</v>
      </c>
      <c r="K153" s="948"/>
    </row>
    <row r="154" spans="1:11" ht="15.75" customHeight="1" outlineLevel="1">
      <c r="A154" s="992" t="s">
        <v>1166</v>
      </c>
      <c r="B154" s="941" t="s">
        <v>1167</v>
      </c>
      <c r="C154" s="987"/>
      <c r="D154" s="994" t="s">
        <v>1134</v>
      </c>
      <c r="E154" s="994">
        <v>1</v>
      </c>
      <c r="F154" s="948"/>
      <c r="G154" s="949">
        <v>0.1</v>
      </c>
      <c r="H154" s="950">
        <f t="shared" si="22"/>
        <v>0</v>
      </c>
      <c r="I154" s="950">
        <f t="shared" si="20"/>
        <v>0</v>
      </c>
      <c r="J154" s="950">
        <f t="shared" si="21"/>
        <v>0</v>
      </c>
      <c r="K154" s="948"/>
    </row>
    <row r="155" spans="1:11" ht="110.25" customHeight="1" outlineLevel="1">
      <c r="A155" s="992">
        <v>1</v>
      </c>
      <c r="B155" s="944" t="s">
        <v>1168</v>
      </c>
      <c r="C155" s="953" t="s">
        <v>1557</v>
      </c>
      <c r="D155" s="992" t="s">
        <v>627</v>
      </c>
      <c r="E155" s="993">
        <v>8</v>
      </c>
      <c r="F155" s="948">
        <v>5960000</v>
      </c>
      <c r="G155" s="949">
        <v>0.1</v>
      </c>
      <c r="H155" s="950">
        <f t="shared" si="22"/>
        <v>47680000</v>
      </c>
      <c r="I155" s="950">
        <f t="shared" si="20"/>
        <v>6556000</v>
      </c>
      <c r="J155" s="950">
        <f t="shared" si="21"/>
        <v>52448000</v>
      </c>
      <c r="K155" s="948"/>
    </row>
    <row r="156" spans="1:11" ht="110.25" customHeight="1" outlineLevel="1">
      <c r="A156" s="994">
        <f>A155+1</f>
        <v>2</v>
      </c>
      <c r="B156" s="944" t="s">
        <v>1170</v>
      </c>
      <c r="C156" s="953" t="s">
        <v>1558</v>
      </c>
      <c r="D156" s="992" t="s">
        <v>627</v>
      </c>
      <c r="E156" s="993">
        <v>8</v>
      </c>
      <c r="F156" s="948">
        <v>6800000</v>
      </c>
      <c r="G156" s="949">
        <v>0.1</v>
      </c>
      <c r="H156" s="950">
        <f t="shared" si="22"/>
        <v>54400000</v>
      </c>
      <c r="I156" s="950">
        <f t="shared" si="20"/>
        <v>7480000</v>
      </c>
      <c r="J156" s="950">
        <f t="shared" si="21"/>
        <v>59840000</v>
      </c>
      <c r="K156" s="948"/>
    </row>
    <row r="157" spans="1:11" ht="47.25" customHeight="1" outlineLevel="1">
      <c r="A157" s="994">
        <f>A156+1</f>
        <v>3</v>
      </c>
      <c r="B157" s="944" t="s">
        <v>1034</v>
      </c>
      <c r="C157" s="966" t="s">
        <v>1035</v>
      </c>
      <c r="D157" s="992" t="s">
        <v>1068</v>
      </c>
      <c r="E157" s="993">
        <f>E154</f>
        <v>1</v>
      </c>
      <c r="F157" s="948">
        <v>130000</v>
      </c>
      <c r="G157" s="949">
        <v>0.1</v>
      </c>
      <c r="H157" s="950">
        <f t="shared" si="22"/>
        <v>130000</v>
      </c>
      <c r="I157" s="950">
        <f t="shared" si="20"/>
        <v>143000</v>
      </c>
      <c r="J157" s="950">
        <f t="shared" si="21"/>
        <v>143000</v>
      </c>
      <c r="K157" s="948"/>
    </row>
    <row r="158" spans="1:11" ht="15.75">
      <c r="A158" s="940">
        <v>18</v>
      </c>
      <c r="B158" s="987" t="s">
        <v>1172</v>
      </c>
      <c r="C158" s="987"/>
      <c r="D158" s="994" t="s">
        <v>1134</v>
      </c>
      <c r="E158" s="994">
        <v>1</v>
      </c>
      <c r="F158" s="948"/>
      <c r="G158" s="949"/>
      <c r="H158" s="950">
        <f t="shared" si="22"/>
        <v>0</v>
      </c>
      <c r="I158" s="950">
        <f t="shared" si="20"/>
        <v>0</v>
      </c>
      <c r="J158" s="950">
        <f t="shared" si="21"/>
        <v>0</v>
      </c>
      <c r="K158" s="948"/>
    </row>
    <row r="159" spans="1:11" ht="157.5" customHeight="1" outlineLevel="1">
      <c r="A159" s="940">
        <v>1</v>
      </c>
      <c r="B159" s="996" t="s">
        <v>1082</v>
      </c>
      <c r="C159" s="953" t="s">
        <v>1083</v>
      </c>
      <c r="D159" s="992" t="s">
        <v>655</v>
      </c>
      <c r="E159" s="993">
        <v>1</v>
      </c>
      <c r="F159" s="948">
        <v>3150000</v>
      </c>
      <c r="G159" s="949">
        <v>0.1</v>
      </c>
      <c r="H159" s="950">
        <f t="shared" si="22"/>
        <v>3150000</v>
      </c>
      <c r="I159" s="950">
        <f t="shared" si="20"/>
        <v>3465000</v>
      </c>
      <c r="J159" s="950">
        <f t="shared" si="21"/>
        <v>3465000</v>
      </c>
      <c r="K159" s="948"/>
    </row>
    <row r="160" spans="1:11" ht="409.5" customHeight="1" outlineLevel="1">
      <c r="A160" s="940">
        <f t="shared" ref="A160:A171" si="24">A159+1</f>
        <v>2</v>
      </c>
      <c r="B160" s="1013" t="s">
        <v>1173</v>
      </c>
      <c r="C160" s="974" t="s">
        <v>1059</v>
      </c>
      <c r="D160" s="994" t="s">
        <v>680</v>
      </c>
      <c r="E160" s="995">
        <v>1</v>
      </c>
      <c r="F160" s="948">
        <v>15000000</v>
      </c>
      <c r="G160" s="949">
        <v>0.1</v>
      </c>
      <c r="H160" s="950">
        <f t="shared" si="22"/>
        <v>15000000</v>
      </c>
      <c r="I160" s="950">
        <f t="shared" si="20"/>
        <v>16500000</v>
      </c>
      <c r="J160" s="950">
        <f t="shared" si="21"/>
        <v>16500000</v>
      </c>
      <c r="K160" s="948"/>
    </row>
    <row r="161" spans="1:11" ht="94.5" customHeight="1" outlineLevel="1">
      <c r="A161" s="940">
        <f t="shared" si="24"/>
        <v>3</v>
      </c>
      <c r="B161" s="996" t="s">
        <v>1128</v>
      </c>
      <c r="C161" s="969" t="s">
        <v>1129</v>
      </c>
      <c r="D161" s="992" t="s">
        <v>655</v>
      </c>
      <c r="E161" s="993">
        <v>5</v>
      </c>
      <c r="F161" s="948">
        <v>7800000</v>
      </c>
      <c r="G161" s="949">
        <v>0.1</v>
      </c>
      <c r="H161" s="950">
        <f t="shared" si="22"/>
        <v>39000000</v>
      </c>
      <c r="I161" s="950">
        <f t="shared" si="20"/>
        <v>8580000</v>
      </c>
      <c r="J161" s="950">
        <f t="shared" si="21"/>
        <v>42900000</v>
      </c>
      <c r="K161" s="948"/>
    </row>
    <row r="162" spans="1:11" ht="63" customHeight="1" outlineLevel="1">
      <c r="A162" s="940">
        <f t="shared" si="24"/>
        <v>4</v>
      </c>
      <c r="B162" s="996" t="s">
        <v>1077</v>
      </c>
      <c r="C162" s="944" t="s">
        <v>1100</v>
      </c>
      <c r="D162" s="992" t="s">
        <v>655</v>
      </c>
      <c r="E162" s="993">
        <v>40</v>
      </c>
      <c r="F162" s="948">
        <v>480000</v>
      </c>
      <c r="G162" s="949">
        <v>0.1</v>
      </c>
      <c r="H162" s="950">
        <f t="shared" si="22"/>
        <v>19200000</v>
      </c>
      <c r="I162" s="950">
        <f t="shared" si="20"/>
        <v>528000</v>
      </c>
      <c r="J162" s="950">
        <f t="shared" si="21"/>
        <v>21120000</v>
      </c>
      <c r="K162" s="948"/>
    </row>
    <row r="163" spans="1:11" ht="126" customHeight="1" outlineLevel="1">
      <c r="A163" s="940">
        <f t="shared" si="24"/>
        <v>5</v>
      </c>
      <c r="B163" s="944" t="s">
        <v>1101</v>
      </c>
      <c r="C163" s="953" t="s">
        <v>1161</v>
      </c>
      <c r="D163" s="997" t="s">
        <v>655</v>
      </c>
      <c r="E163" s="993">
        <v>4</v>
      </c>
      <c r="F163" s="948">
        <v>6000000</v>
      </c>
      <c r="G163" s="949">
        <v>0.1</v>
      </c>
      <c r="H163" s="950">
        <f t="shared" si="22"/>
        <v>24000000</v>
      </c>
      <c r="I163" s="950">
        <f t="shared" si="20"/>
        <v>6600000</v>
      </c>
      <c r="J163" s="950">
        <f t="shared" si="21"/>
        <v>26400000</v>
      </c>
      <c r="K163" s="982" t="s">
        <v>1103</v>
      </c>
    </row>
    <row r="164" spans="1:11" ht="126" customHeight="1" outlineLevel="1">
      <c r="A164" s="940">
        <f t="shared" si="24"/>
        <v>6</v>
      </c>
      <c r="B164" s="944" t="s">
        <v>1162</v>
      </c>
      <c r="C164" s="1014" t="s">
        <v>1163</v>
      </c>
      <c r="D164" s="992" t="s">
        <v>655</v>
      </c>
      <c r="E164" s="993">
        <v>4</v>
      </c>
      <c r="F164" s="948">
        <v>5760000</v>
      </c>
      <c r="G164" s="949">
        <v>0.1</v>
      </c>
      <c r="H164" s="950">
        <f t="shared" si="22"/>
        <v>23040000</v>
      </c>
      <c r="I164" s="950">
        <f t="shared" si="20"/>
        <v>6336000</v>
      </c>
      <c r="J164" s="950">
        <f t="shared" si="21"/>
        <v>25344000</v>
      </c>
      <c r="K164" s="948"/>
    </row>
    <row r="165" spans="1:11" ht="47.25" customHeight="1" outlineLevel="1">
      <c r="A165" s="940">
        <f t="shared" si="24"/>
        <v>7</v>
      </c>
      <c r="B165" s="996" t="s">
        <v>1176</v>
      </c>
      <c r="C165" s="953" t="s">
        <v>1559</v>
      </c>
      <c r="D165" s="992" t="s">
        <v>655</v>
      </c>
      <c r="E165" s="993">
        <v>1</v>
      </c>
      <c r="F165" s="948">
        <v>6800000</v>
      </c>
      <c r="G165" s="949">
        <v>0.1</v>
      </c>
      <c r="H165" s="950">
        <f t="shared" si="22"/>
        <v>6800000</v>
      </c>
      <c r="I165" s="950">
        <f t="shared" si="20"/>
        <v>7480000</v>
      </c>
      <c r="J165" s="950">
        <f t="shared" si="21"/>
        <v>7480000</v>
      </c>
      <c r="K165" s="948"/>
    </row>
    <row r="166" spans="1:11" ht="126" customHeight="1" outlineLevel="1">
      <c r="A166" s="940">
        <f t="shared" si="24"/>
        <v>8</v>
      </c>
      <c r="B166" s="1001" t="s">
        <v>1178</v>
      </c>
      <c r="C166" s="953" t="s">
        <v>1179</v>
      </c>
      <c r="D166" s="994" t="s">
        <v>1028</v>
      </c>
      <c r="E166" s="995">
        <v>5</v>
      </c>
      <c r="F166" s="948">
        <v>4500000</v>
      </c>
      <c r="G166" s="949">
        <v>0.1</v>
      </c>
      <c r="H166" s="950">
        <f t="shared" si="22"/>
        <v>22500000</v>
      </c>
      <c r="I166" s="950">
        <f t="shared" si="20"/>
        <v>4950000</v>
      </c>
      <c r="J166" s="950">
        <f t="shared" si="21"/>
        <v>24750000</v>
      </c>
      <c r="K166" s="948"/>
    </row>
    <row r="167" spans="1:11" ht="78.75" outlineLevel="1">
      <c r="A167" s="940">
        <f t="shared" si="24"/>
        <v>9</v>
      </c>
      <c r="B167" s="1001" t="s">
        <v>1180</v>
      </c>
      <c r="C167" s="951" t="s">
        <v>1181</v>
      </c>
      <c r="D167" s="994" t="s">
        <v>655</v>
      </c>
      <c r="E167" s="995">
        <v>30</v>
      </c>
      <c r="F167" s="948">
        <v>485000</v>
      </c>
      <c r="G167" s="949">
        <v>0.1</v>
      </c>
      <c r="H167" s="950">
        <f t="shared" si="22"/>
        <v>14550000</v>
      </c>
      <c r="I167" s="950">
        <f t="shared" si="20"/>
        <v>533500</v>
      </c>
      <c r="J167" s="950">
        <f t="shared" si="21"/>
        <v>16005000</v>
      </c>
      <c r="K167" s="982" t="s">
        <v>1182</v>
      </c>
    </row>
    <row r="168" spans="1:11" ht="110.25" customHeight="1" outlineLevel="1">
      <c r="A168" s="940">
        <f t="shared" si="24"/>
        <v>10</v>
      </c>
      <c r="B168" s="1001" t="s">
        <v>1183</v>
      </c>
      <c r="C168" s="974" t="s">
        <v>1184</v>
      </c>
      <c r="D168" s="994" t="s">
        <v>655</v>
      </c>
      <c r="E168" s="995">
        <v>1</v>
      </c>
      <c r="F168" s="948">
        <v>5720000</v>
      </c>
      <c r="G168" s="949">
        <v>0.1</v>
      </c>
      <c r="H168" s="950">
        <f t="shared" si="22"/>
        <v>5720000</v>
      </c>
      <c r="I168" s="950">
        <f t="shared" si="20"/>
        <v>6292000</v>
      </c>
      <c r="J168" s="950">
        <f t="shared" si="21"/>
        <v>6292000</v>
      </c>
      <c r="K168" s="948"/>
    </row>
    <row r="169" spans="1:11" ht="173.25" customHeight="1" outlineLevel="1">
      <c r="A169" s="940">
        <f t="shared" si="24"/>
        <v>11</v>
      </c>
      <c r="B169" s="944" t="s">
        <v>1185</v>
      </c>
      <c r="C169" s="944" t="s">
        <v>1186</v>
      </c>
      <c r="D169" s="940" t="s">
        <v>627</v>
      </c>
      <c r="E169" s="962">
        <v>3</v>
      </c>
      <c r="F169" s="948">
        <v>1200000</v>
      </c>
      <c r="G169" s="949">
        <v>0.1</v>
      </c>
      <c r="H169" s="950">
        <f t="shared" si="22"/>
        <v>3600000</v>
      </c>
      <c r="I169" s="950">
        <f t="shared" si="20"/>
        <v>1320000</v>
      </c>
      <c r="J169" s="950">
        <f t="shared" si="21"/>
        <v>3960000</v>
      </c>
      <c r="K169" s="948"/>
    </row>
    <row r="170" spans="1:11" ht="47.25" customHeight="1" outlineLevel="1">
      <c r="A170" s="940">
        <f t="shared" si="24"/>
        <v>12</v>
      </c>
      <c r="B170" s="944" t="s">
        <v>1034</v>
      </c>
      <c r="C170" s="966" t="s">
        <v>1035</v>
      </c>
      <c r="D170" s="940" t="s">
        <v>1068</v>
      </c>
      <c r="E170" s="962">
        <f>E158</f>
        <v>1</v>
      </c>
      <c r="F170" s="948">
        <v>130000</v>
      </c>
      <c r="G170" s="949">
        <v>0.1</v>
      </c>
      <c r="H170" s="950">
        <f t="shared" si="22"/>
        <v>130000</v>
      </c>
      <c r="I170" s="950">
        <f t="shared" si="20"/>
        <v>143000</v>
      </c>
      <c r="J170" s="950">
        <f t="shared" si="21"/>
        <v>143000</v>
      </c>
      <c r="K170" s="948"/>
    </row>
    <row r="171" spans="1:11" ht="15.75" customHeight="1" outlineLevel="1">
      <c r="A171" s="940">
        <f t="shared" si="24"/>
        <v>13</v>
      </c>
      <c r="B171" s="944" t="s">
        <v>1066</v>
      </c>
      <c r="C171" s="944" t="s">
        <v>1067</v>
      </c>
      <c r="D171" s="940" t="s">
        <v>627</v>
      </c>
      <c r="E171" s="962">
        <v>1</v>
      </c>
      <c r="F171" s="948">
        <v>300000</v>
      </c>
      <c r="G171" s="949">
        <v>0.1</v>
      </c>
      <c r="H171" s="950">
        <f t="shared" si="22"/>
        <v>300000</v>
      </c>
      <c r="I171" s="950">
        <f t="shared" si="20"/>
        <v>330000</v>
      </c>
      <c r="J171" s="950">
        <f t="shared" si="21"/>
        <v>330000</v>
      </c>
      <c r="K171" s="948"/>
    </row>
    <row r="172" spans="1:11" ht="15.75">
      <c r="A172" s="940">
        <v>19</v>
      </c>
      <c r="B172" s="987" t="s">
        <v>1187</v>
      </c>
      <c r="C172" s="942"/>
      <c r="D172" s="968" t="s">
        <v>1011</v>
      </c>
      <c r="E172" s="968">
        <v>1</v>
      </c>
      <c r="F172" s="948"/>
      <c r="G172" s="949"/>
      <c r="H172" s="950">
        <f t="shared" si="22"/>
        <v>0</v>
      </c>
      <c r="I172" s="950">
        <f t="shared" si="20"/>
        <v>0</v>
      </c>
      <c r="J172" s="950">
        <f t="shared" si="21"/>
        <v>0</v>
      </c>
      <c r="K172" s="948"/>
    </row>
    <row r="173" spans="1:11" ht="63" customHeight="1" outlineLevel="1">
      <c r="A173" s="940">
        <v>1</v>
      </c>
      <c r="B173" s="944" t="s">
        <v>1188</v>
      </c>
      <c r="C173" s="944" t="s">
        <v>1189</v>
      </c>
      <c r="D173" s="940" t="s">
        <v>627</v>
      </c>
      <c r="E173" s="962">
        <v>500</v>
      </c>
      <c r="F173" s="948">
        <v>650000</v>
      </c>
      <c r="G173" s="949">
        <v>0.1</v>
      </c>
      <c r="H173" s="950">
        <f t="shared" si="22"/>
        <v>325000000</v>
      </c>
      <c r="I173" s="950">
        <f t="shared" si="20"/>
        <v>715000</v>
      </c>
      <c r="J173" s="950">
        <f t="shared" si="21"/>
        <v>357500000</v>
      </c>
      <c r="K173" s="948"/>
    </row>
    <row r="174" spans="1:11" ht="228" customHeight="1" outlineLevel="1">
      <c r="A174" s="940">
        <f t="shared" ref="A174:A183" si="25">A173+1</f>
        <v>2</v>
      </c>
      <c r="B174" s="944" t="s">
        <v>1191</v>
      </c>
      <c r="C174" s="1015" t="s">
        <v>1192</v>
      </c>
      <c r="D174" s="940" t="s">
        <v>680</v>
      </c>
      <c r="E174" s="962">
        <v>1</v>
      </c>
      <c r="F174" s="948">
        <v>65400000</v>
      </c>
      <c r="G174" s="949">
        <v>0.1</v>
      </c>
      <c r="H174" s="950">
        <f t="shared" si="22"/>
        <v>65400000</v>
      </c>
      <c r="I174" s="950">
        <f t="shared" si="20"/>
        <v>71940000</v>
      </c>
      <c r="J174" s="950">
        <f t="shared" si="21"/>
        <v>71940000</v>
      </c>
      <c r="K174" s="948"/>
    </row>
    <row r="175" spans="1:11" ht="78.75" customHeight="1" outlineLevel="1">
      <c r="A175" s="940">
        <f t="shared" si="25"/>
        <v>3</v>
      </c>
      <c r="B175" s="944" t="s">
        <v>1193</v>
      </c>
      <c r="C175" s="971" t="s">
        <v>1194</v>
      </c>
      <c r="D175" s="940" t="s">
        <v>627</v>
      </c>
      <c r="E175" s="962">
        <v>1</v>
      </c>
      <c r="F175" s="1016">
        <v>5800000</v>
      </c>
      <c r="G175" s="949">
        <v>0.1</v>
      </c>
      <c r="H175" s="950">
        <f t="shared" si="22"/>
        <v>5800000</v>
      </c>
      <c r="I175" s="950">
        <f t="shared" si="20"/>
        <v>6380000</v>
      </c>
      <c r="J175" s="950">
        <f t="shared" si="21"/>
        <v>6380000</v>
      </c>
      <c r="K175" s="948"/>
    </row>
    <row r="176" spans="1:11" ht="63" customHeight="1" outlineLevel="1">
      <c r="A176" s="940">
        <f t="shared" si="25"/>
        <v>4</v>
      </c>
      <c r="B176" s="944" t="s">
        <v>1195</v>
      </c>
      <c r="C176" s="971" t="s">
        <v>1196</v>
      </c>
      <c r="D176" s="940" t="s">
        <v>627</v>
      </c>
      <c r="E176" s="962">
        <v>1</v>
      </c>
      <c r="F176" s="1016">
        <v>3800000</v>
      </c>
      <c r="G176" s="949">
        <v>0.1</v>
      </c>
      <c r="H176" s="950">
        <f t="shared" si="22"/>
        <v>3800000</v>
      </c>
      <c r="I176" s="950">
        <f t="shared" si="20"/>
        <v>4180000</v>
      </c>
      <c r="J176" s="950">
        <f t="shared" si="21"/>
        <v>4180000</v>
      </c>
      <c r="K176" s="948"/>
    </row>
    <row r="177" spans="1:11" ht="157.5" customHeight="1" outlineLevel="1">
      <c r="A177" s="940">
        <f>A176+1</f>
        <v>5</v>
      </c>
      <c r="B177" s="944" t="s">
        <v>1197</v>
      </c>
      <c r="C177" s="991" t="s">
        <v>1198</v>
      </c>
      <c r="D177" s="940" t="s">
        <v>680</v>
      </c>
      <c r="E177" s="962">
        <v>1</v>
      </c>
      <c r="F177" s="948">
        <v>64000000</v>
      </c>
      <c r="G177" s="949">
        <v>0.1</v>
      </c>
      <c r="H177" s="950">
        <f t="shared" si="22"/>
        <v>64000000</v>
      </c>
      <c r="I177" s="950">
        <f t="shared" si="20"/>
        <v>70400000</v>
      </c>
      <c r="J177" s="950">
        <f t="shared" si="21"/>
        <v>70400000</v>
      </c>
      <c r="K177" s="948"/>
    </row>
    <row r="178" spans="1:11" ht="380.25" customHeight="1" outlineLevel="1">
      <c r="A178" s="1006">
        <f t="shared" si="25"/>
        <v>6</v>
      </c>
      <c r="B178" s="1007" t="s">
        <v>1036</v>
      </c>
      <c r="C178" s="1008" t="s">
        <v>1199</v>
      </c>
      <c r="D178" s="1017"/>
      <c r="E178" s="1018">
        <v>1</v>
      </c>
      <c r="F178" s="948">
        <v>65640000</v>
      </c>
      <c r="G178" s="949">
        <v>0.1</v>
      </c>
      <c r="H178" s="950">
        <f t="shared" si="22"/>
        <v>65640000</v>
      </c>
      <c r="I178" s="950">
        <f t="shared" si="20"/>
        <v>72204000</v>
      </c>
      <c r="J178" s="950">
        <f t="shared" si="21"/>
        <v>72204000</v>
      </c>
      <c r="K178" s="948"/>
    </row>
    <row r="179" spans="1:11" ht="258.75" customHeight="1" outlineLevel="1">
      <c r="A179" s="1009"/>
      <c r="B179" s="1010"/>
      <c r="C179" s="1019" t="s">
        <v>1151</v>
      </c>
      <c r="D179" s="1020"/>
      <c r="E179" s="1021"/>
      <c r="F179" s="948"/>
      <c r="G179" s="949"/>
      <c r="H179" s="950"/>
      <c r="I179" s="950">
        <f t="shared" si="20"/>
        <v>0</v>
      </c>
      <c r="J179" s="950">
        <f t="shared" si="21"/>
        <v>0</v>
      </c>
      <c r="K179" s="948"/>
    </row>
    <row r="180" spans="1:11" ht="383.25" customHeight="1" outlineLevel="1">
      <c r="A180" s="940">
        <f>A178+1</f>
        <v>7</v>
      </c>
      <c r="B180" s="944" t="s">
        <v>1200</v>
      </c>
      <c r="C180" s="1011" t="s">
        <v>1153</v>
      </c>
      <c r="D180" s="940" t="s">
        <v>627</v>
      </c>
      <c r="E180" s="962">
        <v>1</v>
      </c>
      <c r="F180" s="948">
        <v>27500000</v>
      </c>
      <c r="G180" s="949">
        <v>0.1</v>
      </c>
      <c r="H180" s="950">
        <f t="shared" ref="H180:H243" si="26">E180*F180</f>
        <v>27500000</v>
      </c>
      <c r="I180" s="950">
        <f t="shared" si="20"/>
        <v>30250000</v>
      </c>
      <c r="J180" s="950">
        <f t="shared" si="21"/>
        <v>30250000</v>
      </c>
      <c r="K180" s="982" t="s">
        <v>1201</v>
      </c>
    </row>
    <row r="181" spans="1:11" ht="15.75" customHeight="1" outlineLevel="1">
      <c r="A181" s="940">
        <f t="shared" si="25"/>
        <v>8</v>
      </c>
      <c r="B181" s="944" t="s">
        <v>1066</v>
      </c>
      <c r="C181" s="944" t="s">
        <v>1067</v>
      </c>
      <c r="D181" s="940" t="s">
        <v>627</v>
      </c>
      <c r="E181" s="962">
        <v>1</v>
      </c>
      <c r="F181" s="948">
        <v>300000</v>
      </c>
      <c r="G181" s="949">
        <v>0.1</v>
      </c>
      <c r="H181" s="950">
        <f t="shared" si="26"/>
        <v>300000</v>
      </c>
      <c r="I181" s="950">
        <f t="shared" si="20"/>
        <v>330000</v>
      </c>
      <c r="J181" s="950">
        <f t="shared" si="21"/>
        <v>330000</v>
      </c>
      <c r="K181" s="948"/>
    </row>
    <row r="182" spans="1:11" ht="47.25" customHeight="1" outlineLevel="1">
      <c r="A182" s="940">
        <f t="shared" si="25"/>
        <v>9</v>
      </c>
      <c r="B182" s="944" t="s">
        <v>1034</v>
      </c>
      <c r="C182" s="966" t="s">
        <v>1035</v>
      </c>
      <c r="D182" s="940" t="s">
        <v>1068</v>
      </c>
      <c r="E182" s="962">
        <f>E172</f>
        <v>1</v>
      </c>
      <c r="F182" s="948">
        <v>130000</v>
      </c>
      <c r="G182" s="949">
        <v>0.1</v>
      </c>
      <c r="H182" s="950">
        <f t="shared" si="26"/>
        <v>130000</v>
      </c>
      <c r="I182" s="950">
        <f t="shared" si="20"/>
        <v>143000</v>
      </c>
      <c r="J182" s="950">
        <f t="shared" si="21"/>
        <v>143000</v>
      </c>
      <c r="K182" s="948"/>
    </row>
    <row r="183" spans="1:11" ht="31.5" customHeight="1" outlineLevel="1">
      <c r="A183" s="940">
        <f t="shared" si="25"/>
        <v>10</v>
      </c>
      <c r="B183" s="944" t="s">
        <v>1157</v>
      </c>
      <c r="C183" s="966" t="s">
        <v>1158</v>
      </c>
      <c r="D183" s="940" t="s">
        <v>627</v>
      </c>
      <c r="E183" s="962">
        <v>1</v>
      </c>
      <c r="F183" s="948">
        <v>2200000</v>
      </c>
      <c r="G183" s="949">
        <v>0.1</v>
      </c>
      <c r="H183" s="950">
        <f t="shared" si="26"/>
        <v>2200000</v>
      </c>
      <c r="I183" s="950">
        <f t="shared" si="20"/>
        <v>2420000</v>
      </c>
      <c r="J183" s="950">
        <f t="shared" si="21"/>
        <v>2420000</v>
      </c>
      <c r="K183" s="982" t="s">
        <v>1201</v>
      </c>
    </row>
    <row r="184" spans="1:11" ht="15.75">
      <c r="A184" s="940">
        <v>20</v>
      </c>
      <c r="B184" s="987" t="s">
        <v>1202</v>
      </c>
      <c r="C184" s="942"/>
      <c r="D184" s="968" t="s">
        <v>1011</v>
      </c>
      <c r="E184" s="968">
        <v>1</v>
      </c>
      <c r="F184" s="948"/>
      <c r="G184" s="949"/>
      <c r="H184" s="950">
        <f t="shared" si="26"/>
        <v>0</v>
      </c>
      <c r="I184" s="950">
        <f t="shared" si="20"/>
        <v>0</v>
      </c>
      <c r="J184" s="950">
        <f t="shared" si="21"/>
        <v>0</v>
      </c>
      <c r="K184" s="948"/>
    </row>
    <row r="185" spans="1:11" ht="78.75" outlineLevel="1">
      <c r="A185" s="940">
        <v>1</v>
      </c>
      <c r="B185" s="944" t="s">
        <v>1031</v>
      </c>
      <c r="C185" s="953" t="s">
        <v>1203</v>
      </c>
      <c r="D185" s="961" t="s">
        <v>655</v>
      </c>
      <c r="E185" s="962">
        <v>1</v>
      </c>
      <c r="F185" s="948">
        <v>4800000</v>
      </c>
      <c r="G185" s="949">
        <v>0.05</v>
      </c>
      <c r="H185" s="950">
        <f t="shared" si="26"/>
        <v>4800000</v>
      </c>
      <c r="I185" s="950">
        <f t="shared" si="20"/>
        <v>5280000</v>
      </c>
      <c r="J185" s="950">
        <f t="shared" si="21"/>
        <v>5280000</v>
      </c>
      <c r="K185" s="948"/>
    </row>
    <row r="186" spans="1:11" ht="78.75" outlineLevel="1">
      <c r="A186" s="940">
        <f t="shared" ref="A186:A191" si="27">A185+1</f>
        <v>2</v>
      </c>
      <c r="B186" s="944" t="s">
        <v>1204</v>
      </c>
      <c r="C186" s="945" t="s">
        <v>1560</v>
      </c>
      <c r="D186" s="940" t="s">
        <v>627</v>
      </c>
      <c r="E186" s="962">
        <v>1</v>
      </c>
      <c r="F186" s="948">
        <v>4750000</v>
      </c>
      <c r="G186" s="949">
        <v>0.1</v>
      </c>
      <c r="H186" s="950">
        <f t="shared" si="26"/>
        <v>4750000</v>
      </c>
      <c r="I186" s="950">
        <f t="shared" si="20"/>
        <v>5225000</v>
      </c>
      <c r="J186" s="950">
        <f t="shared" si="21"/>
        <v>5225000</v>
      </c>
      <c r="K186" s="948"/>
    </row>
    <row r="187" spans="1:11" ht="94.5" customHeight="1" outlineLevel="1">
      <c r="A187" s="940">
        <f t="shared" si="27"/>
        <v>3</v>
      </c>
      <c r="B187" s="944" t="s">
        <v>1208</v>
      </c>
      <c r="C187" s="944" t="s">
        <v>1209</v>
      </c>
      <c r="D187" s="961" t="s">
        <v>655</v>
      </c>
      <c r="E187" s="962">
        <v>1</v>
      </c>
      <c r="F187" s="948">
        <v>590000</v>
      </c>
      <c r="G187" s="949">
        <v>0.1</v>
      </c>
      <c r="H187" s="950">
        <f t="shared" si="26"/>
        <v>590000</v>
      </c>
      <c r="I187" s="950">
        <f t="shared" si="20"/>
        <v>649000</v>
      </c>
      <c r="J187" s="950">
        <f t="shared" si="21"/>
        <v>649000</v>
      </c>
      <c r="K187" s="948"/>
    </row>
    <row r="188" spans="1:11" ht="78.75" outlineLevel="1">
      <c r="A188" s="940">
        <f t="shared" si="27"/>
        <v>4</v>
      </c>
      <c r="B188" s="1001" t="s">
        <v>1210</v>
      </c>
      <c r="C188" s="945" t="s">
        <v>1561</v>
      </c>
      <c r="D188" s="994" t="s">
        <v>627</v>
      </c>
      <c r="E188" s="995">
        <v>23</v>
      </c>
      <c r="F188" s="948">
        <v>3730000</v>
      </c>
      <c r="G188" s="949">
        <v>0.1</v>
      </c>
      <c r="H188" s="950">
        <f t="shared" si="26"/>
        <v>85790000</v>
      </c>
      <c r="I188" s="950">
        <f t="shared" si="20"/>
        <v>4103000</v>
      </c>
      <c r="J188" s="950">
        <f t="shared" si="21"/>
        <v>94369000</v>
      </c>
      <c r="K188" s="982" t="s">
        <v>1213</v>
      </c>
    </row>
    <row r="189" spans="1:11" ht="78.75" outlineLevel="1">
      <c r="A189" s="940">
        <f t="shared" si="27"/>
        <v>5</v>
      </c>
      <c r="B189" s="1001" t="s">
        <v>1215</v>
      </c>
      <c r="C189" s="998" t="s">
        <v>1216</v>
      </c>
      <c r="D189" s="994" t="s">
        <v>627</v>
      </c>
      <c r="E189" s="995">
        <v>45</v>
      </c>
      <c r="F189" s="948">
        <v>450000</v>
      </c>
      <c r="G189" s="949">
        <v>0.1</v>
      </c>
      <c r="H189" s="950">
        <f t="shared" si="26"/>
        <v>20250000</v>
      </c>
      <c r="I189" s="950">
        <f t="shared" si="20"/>
        <v>495000</v>
      </c>
      <c r="J189" s="950">
        <f t="shared" si="21"/>
        <v>22275000</v>
      </c>
      <c r="K189" s="948"/>
    </row>
    <row r="190" spans="1:11" ht="94.5" outlineLevel="1">
      <c r="A190" s="940">
        <f t="shared" si="27"/>
        <v>6</v>
      </c>
      <c r="B190" s="1001" t="s">
        <v>1143</v>
      </c>
      <c r="C190" s="953" t="s">
        <v>1144</v>
      </c>
      <c r="D190" s="994" t="s">
        <v>627</v>
      </c>
      <c r="E190" s="995">
        <v>4</v>
      </c>
      <c r="F190" s="948">
        <v>5600000</v>
      </c>
      <c r="G190" s="949">
        <v>0.1</v>
      </c>
      <c r="H190" s="950">
        <f t="shared" si="26"/>
        <v>22400000</v>
      </c>
      <c r="I190" s="950">
        <f t="shared" si="20"/>
        <v>6160000</v>
      </c>
      <c r="J190" s="950">
        <f t="shared" si="21"/>
        <v>24640000</v>
      </c>
      <c r="K190" s="948"/>
    </row>
    <row r="191" spans="1:11" ht="47.25" customHeight="1" outlineLevel="1">
      <c r="A191" s="940">
        <f t="shared" si="27"/>
        <v>7</v>
      </c>
      <c r="B191" s="944" t="s">
        <v>1034</v>
      </c>
      <c r="C191" s="966" t="s">
        <v>1035</v>
      </c>
      <c r="D191" s="994" t="s">
        <v>627</v>
      </c>
      <c r="E191" s="995">
        <v>1</v>
      </c>
      <c r="F191" s="948">
        <v>130000</v>
      </c>
      <c r="G191" s="949">
        <v>0.1</v>
      </c>
      <c r="H191" s="950">
        <f t="shared" si="26"/>
        <v>130000</v>
      </c>
      <c r="I191" s="950">
        <f t="shared" si="20"/>
        <v>143000</v>
      </c>
      <c r="J191" s="950">
        <f t="shared" si="21"/>
        <v>143000</v>
      </c>
      <c r="K191" s="948"/>
    </row>
    <row r="192" spans="1:11" ht="15.75">
      <c r="A192" s="940">
        <v>21</v>
      </c>
      <c r="B192" s="987" t="s">
        <v>1217</v>
      </c>
      <c r="C192" s="998"/>
      <c r="D192" s="968" t="s">
        <v>1011</v>
      </c>
      <c r="E192" s="968">
        <v>1</v>
      </c>
      <c r="F192" s="948"/>
      <c r="G192" s="949"/>
      <c r="H192" s="950">
        <f t="shared" si="26"/>
        <v>0</v>
      </c>
      <c r="I192" s="950">
        <f t="shared" si="20"/>
        <v>0</v>
      </c>
      <c r="J192" s="950">
        <f t="shared" si="21"/>
        <v>0</v>
      </c>
      <c r="K192" s="948"/>
    </row>
    <row r="193" spans="1:11" ht="126" customHeight="1" outlineLevel="1">
      <c r="A193" s="940">
        <v>1</v>
      </c>
      <c r="B193" s="944" t="s">
        <v>1101</v>
      </c>
      <c r="C193" s="998" t="s">
        <v>1161</v>
      </c>
      <c r="D193" s="994" t="s">
        <v>627</v>
      </c>
      <c r="E193" s="995">
        <v>2</v>
      </c>
      <c r="F193" s="948">
        <v>6000000</v>
      </c>
      <c r="G193" s="949">
        <v>0.1</v>
      </c>
      <c r="H193" s="950">
        <f t="shared" si="26"/>
        <v>12000000</v>
      </c>
      <c r="I193" s="950">
        <f t="shared" si="20"/>
        <v>6600000</v>
      </c>
      <c r="J193" s="950">
        <f t="shared" si="21"/>
        <v>13200000</v>
      </c>
      <c r="K193" s="982" t="s">
        <v>1218</v>
      </c>
    </row>
    <row r="194" spans="1:11" ht="94.5" customHeight="1" outlineLevel="1">
      <c r="A194" s="940">
        <f>A193+1</f>
        <v>2</v>
      </c>
      <c r="B194" s="944" t="s">
        <v>1219</v>
      </c>
      <c r="C194" s="969" t="s">
        <v>1220</v>
      </c>
      <c r="D194" s="994" t="s">
        <v>627</v>
      </c>
      <c r="E194" s="995">
        <v>1</v>
      </c>
      <c r="F194" s="948">
        <v>6800000</v>
      </c>
      <c r="G194" s="949">
        <v>0.1</v>
      </c>
      <c r="H194" s="950">
        <f t="shared" si="26"/>
        <v>6800000</v>
      </c>
      <c r="I194" s="950">
        <f t="shared" si="20"/>
        <v>7480000</v>
      </c>
      <c r="J194" s="950">
        <f t="shared" si="21"/>
        <v>7480000</v>
      </c>
      <c r="K194" s="948"/>
    </row>
    <row r="195" spans="1:11" ht="94.5" customHeight="1" outlineLevel="1">
      <c r="A195" s="940">
        <f>A194+1</f>
        <v>3</v>
      </c>
      <c r="B195" s="944" t="s">
        <v>1208</v>
      </c>
      <c r="C195" s="944" t="s">
        <v>1221</v>
      </c>
      <c r="D195" s="994" t="s">
        <v>627</v>
      </c>
      <c r="E195" s="995">
        <v>4</v>
      </c>
      <c r="F195" s="948">
        <v>590000</v>
      </c>
      <c r="G195" s="949">
        <v>0.1</v>
      </c>
      <c r="H195" s="950">
        <f t="shared" si="26"/>
        <v>2360000</v>
      </c>
      <c r="I195" s="950">
        <f t="shared" si="20"/>
        <v>649000</v>
      </c>
      <c r="J195" s="950">
        <f t="shared" si="21"/>
        <v>2596000</v>
      </c>
      <c r="K195" s="948"/>
    </row>
    <row r="196" spans="1:11" ht="47.25" customHeight="1" outlineLevel="1">
      <c r="A196" s="940">
        <f>A195+1</f>
        <v>4</v>
      </c>
      <c r="B196" s="944" t="s">
        <v>1034</v>
      </c>
      <c r="C196" s="966" t="s">
        <v>1035</v>
      </c>
      <c r="D196" s="994" t="s">
        <v>627</v>
      </c>
      <c r="E196" s="995">
        <v>1</v>
      </c>
      <c r="F196" s="948">
        <v>130000</v>
      </c>
      <c r="G196" s="949">
        <v>0.1</v>
      </c>
      <c r="H196" s="950">
        <f t="shared" si="26"/>
        <v>130000</v>
      </c>
      <c r="I196" s="950">
        <f t="shared" si="20"/>
        <v>143000</v>
      </c>
      <c r="J196" s="950">
        <f t="shared" si="21"/>
        <v>143000</v>
      </c>
      <c r="K196" s="948"/>
    </row>
    <row r="197" spans="1:11" ht="15.75">
      <c r="A197" s="940">
        <v>22</v>
      </c>
      <c r="B197" s="987" t="s">
        <v>1222</v>
      </c>
      <c r="C197" s="942"/>
      <c r="D197" s="968" t="s">
        <v>1011</v>
      </c>
      <c r="E197" s="968">
        <v>1</v>
      </c>
      <c r="F197" s="948"/>
      <c r="G197" s="949"/>
      <c r="H197" s="950">
        <f t="shared" si="26"/>
        <v>0</v>
      </c>
      <c r="I197" s="950">
        <f t="shared" si="20"/>
        <v>0</v>
      </c>
      <c r="J197" s="950">
        <f t="shared" si="21"/>
        <v>0</v>
      </c>
      <c r="K197" s="948"/>
    </row>
    <row r="198" spans="1:11" ht="78.75" outlineLevel="1">
      <c r="A198" s="940">
        <v>1</v>
      </c>
      <c r="B198" s="944" t="s">
        <v>1031</v>
      </c>
      <c r="C198" s="953" t="s">
        <v>1203</v>
      </c>
      <c r="D198" s="961" t="s">
        <v>655</v>
      </c>
      <c r="E198" s="962">
        <v>1</v>
      </c>
      <c r="F198" s="948">
        <v>4800000</v>
      </c>
      <c r="G198" s="949">
        <v>0.05</v>
      </c>
      <c r="H198" s="950">
        <f t="shared" si="26"/>
        <v>4800000</v>
      </c>
      <c r="I198" s="950">
        <f t="shared" si="20"/>
        <v>5280000</v>
      </c>
      <c r="J198" s="950">
        <f t="shared" si="21"/>
        <v>5280000</v>
      </c>
      <c r="K198" s="948"/>
    </row>
    <row r="199" spans="1:11" ht="110.25" customHeight="1" outlineLevel="1">
      <c r="A199" s="940">
        <f t="shared" ref="A199:A204" si="28">A198+1</f>
        <v>2</v>
      </c>
      <c r="B199" s="944" t="s">
        <v>1204</v>
      </c>
      <c r="C199" s="945" t="s">
        <v>1223</v>
      </c>
      <c r="D199" s="940" t="s">
        <v>627</v>
      </c>
      <c r="E199" s="962">
        <v>1</v>
      </c>
      <c r="F199" s="948">
        <v>4750000</v>
      </c>
      <c r="G199" s="949">
        <v>0.1</v>
      </c>
      <c r="H199" s="950">
        <f t="shared" si="26"/>
        <v>4750000</v>
      </c>
      <c r="I199" s="950">
        <f t="shared" si="20"/>
        <v>5225000</v>
      </c>
      <c r="J199" s="950">
        <f t="shared" si="21"/>
        <v>5225000</v>
      </c>
      <c r="K199" s="948"/>
    </row>
    <row r="200" spans="1:11" ht="94.5" customHeight="1" outlineLevel="1">
      <c r="A200" s="940">
        <f t="shared" si="28"/>
        <v>3</v>
      </c>
      <c r="B200" s="944" t="s">
        <v>1208</v>
      </c>
      <c r="C200" s="944" t="s">
        <v>1221</v>
      </c>
      <c r="D200" s="961" t="s">
        <v>655</v>
      </c>
      <c r="E200" s="962">
        <v>1</v>
      </c>
      <c r="F200" s="948">
        <v>590000</v>
      </c>
      <c r="G200" s="949">
        <v>0.1</v>
      </c>
      <c r="H200" s="950">
        <f t="shared" si="26"/>
        <v>590000</v>
      </c>
      <c r="I200" s="950">
        <f t="shared" si="20"/>
        <v>649000</v>
      </c>
      <c r="J200" s="950">
        <f t="shared" si="21"/>
        <v>649000</v>
      </c>
      <c r="K200" s="948"/>
    </row>
    <row r="201" spans="1:11" ht="126" customHeight="1" outlineLevel="1">
      <c r="A201" s="940">
        <f t="shared" si="28"/>
        <v>4</v>
      </c>
      <c r="B201" s="1001" t="s">
        <v>1210</v>
      </c>
      <c r="C201" s="945" t="s">
        <v>1562</v>
      </c>
      <c r="D201" s="994" t="s">
        <v>627</v>
      </c>
      <c r="E201" s="995">
        <v>23</v>
      </c>
      <c r="F201" s="948">
        <v>3730000</v>
      </c>
      <c r="G201" s="949">
        <v>0.1</v>
      </c>
      <c r="H201" s="950">
        <f t="shared" si="26"/>
        <v>85790000</v>
      </c>
      <c r="I201" s="950">
        <f t="shared" si="20"/>
        <v>4103000</v>
      </c>
      <c r="J201" s="950">
        <f t="shared" si="21"/>
        <v>94369000</v>
      </c>
      <c r="K201" s="982" t="s">
        <v>1213</v>
      </c>
    </row>
    <row r="202" spans="1:11" ht="63" customHeight="1" outlineLevel="1">
      <c r="A202" s="940">
        <f t="shared" si="28"/>
        <v>5</v>
      </c>
      <c r="B202" s="1001" t="s">
        <v>1215</v>
      </c>
      <c r="C202" s="998" t="s">
        <v>1216</v>
      </c>
      <c r="D202" s="994" t="s">
        <v>627</v>
      </c>
      <c r="E202" s="995">
        <v>45</v>
      </c>
      <c r="F202" s="948">
        <v>450000</v>
      </c>
      <c r="G202" s="949">
        <v>0.1</v>
      </c>
      <c r="H202" s="950">
        <f t="shared" si="26"/>
        <v>20250000</v>
      </c>
      <c r="I202" s="950">
        <f t="shared" ref="I202:I265" si="29">+ROUND(F202*1.1,0)</f>
        <v>495000</v>
      </c>
      <c r="J202" s="950">
        <f t="shared" ref="J202:J265" si="30">+ROUND(I202*E202,0)</f>
        <v>22275000</v>
      </c>
      <c r="K202" s="948"/>
    </row>
    <row r="203" spans="1:11" ht="94.5" outlineLevel="1">
      <c r="A203" s="940">
        <f t="shared" si="28"/>
        <v>6</v>
      </c>
      <c r="B203" s="1001" t="s">
        <v>1143</v>
      </c>
      <c r="C203" s="953" t="s">
        <v>1144</v>
      </c>
      <c r="D203" s="994" t="s">
        <v>627</v>
      </c>
      <c r="E203" s="995">
        <v>4</v>
      </c>
      <c r="F203" s="948">
        <v>5600000</v>
      </c>
      <c r="G203" s="949">
        <v>0.1</v>
      </c>
      <c r="H203" s="950">
        <f t="shared" si="26"/>
        <v>22400000</v>
      </c>
      <c r="I203" s="950">
        <f t="shared" si="29"/>
        <v>6160000</v>
      </c>
      <c r="J203" s="950">
        <f t="shared" si="30"/>
        <v>24640000</v>
      </c>
      <c r="K203" s="948"/>
    </row>
    <row r="204" spans="1:11" ht="47.25" customHeight="1" outlineLevel="1">
      <c r="A204" s="940">
        <f t="shared" si="28"/>
        <v>7</v>
      </c>
      <c r="B204" s="944" t="s">
        <v>1034</v>
      </c>
      <c r="C204" s="966" t="s">
        <v>1035</v>
      </c>
      <c r="D204" s="994" t="s">
        <v>627</v>
      </c>
      <c r="E204" s="995">
        <v>1</v>
      </c>
      <c r="F204" s="948">
        <v>130000</v>
      </c>
      <c r="G204" s="949">
        <v>0.1</v>
      </c>
      <c r="H204" s="950">
        <f t="shared" si="26"/>
        <v>130000</v>
      </c>
      <c r="I204" s="950">
        <f t="shared" si="29"/>
        <v>143000</v>
      </c>
      <c r="J204" s="950">
        <f t="shared" si="30"/>
        <v>143000</v>
      </c>
      <c r="K204" s="948"/>
    </row>
    <row r="205" spans="1:11" ht="15.75">
      <c r="A205" s="940">
        <v>23</v>
      </c>
      <c r="B205" s="987" t="s">
        <v>1225</v>
      </c>
      <c r="C205" s="998"/>
      <c r="D205" s="968" t="s">
        <v>1011</v>
      </c>
      <c r="E205" s="968">
        <v>1</v>
      </c>
      <c r="F205" s="948"/>
      <c r="G205" s="949"/>
      <c r="H205" s="950">
        <f t="shared" si="26"/>
        <v>0</v>
      </c>
      <c r="I205" s="950">
        <f t="shared" si="29"/>
        <v>0</v>
      </c>
      <c r="J205" s="950">
        <f t="shared" si="30"/>
        <v>0</v>
      </c>
      <c r="K205" s="948"/>
    </row>
    <row r="206" spans="1:11" ht="126" customHeight="1" outlineLevel="1">
      <c r="A206" s="940">
        <v>1</v>
      </c>
      <c r="B206" s="944" t="s">
        <v>1101</v>
      </c>
      <c r="C206" s="998" t="s">
        <v>1161</v>
      </c>
      <c r="D206" s="994" t="s">
        <v>627</v>
      </c>
      <c r="E206" s="995">
        <v>2</v>
      </c>
      <c r="F206" s="948">
        <v>6000000</v>
      </c>
      <c r="G206" s="949">
        <v>0.1</v>
      </c>
      <c r="H206" s="950">
        <f t="shared" si="26"/>
        <v>12000000</v>
      </c>
      <c r="I206" s="950">
        <f t="shared" si="29"/>
        <v>6600000</v>
      </c>
      <c r="J206" s="950">
        <f t="shared" si="30"/>
        <v>13200000</v>
      </c>
      <c r="K206" s="982" t="s">
        <v>1218</v>
      </c>
    </row>
    <row r="207" spans="1:11" ht="94.5" customHeight="1" outlineLevel="1">
      <c r="A207" s="940">
        <f>A206+1</f>
        <v>2</v>
      </c>
      <c r="B207" s="944" t="s">
        <v>1219</v>
      </c>
      <c r="C207" s="969" t="s">
        <v>1220</v>
      </c>
      <c r="D207" s="994" t="s">
        <v>627</v>
      </c>
      <c r="E207" s="995">
        <v>1</v>
      </c>
      <c r="F207" s="948">
        <v>6800000</v>
      </c>
      <c r="G207" s="949">
        <v>0.1</v>
      </c>
      <c r="H207" s="950">
        <f t="shared" si="26"/>
        <v>6800000</v>
      </c>
      <c r="I207" s="950">
        <f t="shared" si="29"/>
        <v>7480000</v>
      </c>
      <c r="J207" s="950">
        <f t="shared" si="30"/>
        <v>7480000</v>
      </c>
      <c r="K207" s="948"/>
    </row>
    <row r="208" spans="1:11" ht="94.5" customHeight="1" outlineLevel="1">
      <c r="A208" s="940">
        <f>A207+1</f>
        <v>3</v>
      </c>
      <c r="B208" s="944" t="s">
        <v>1208</v>
      </c>
      <c r="C208" s="944" t="s">
        <v>1221</v>
      </c>
      <c r="D208" s="994" t="s">
        <v>627</v>
      </c>
      <c r="E208" s="995">
        <v>4</v>
      </c>
      <c r="F208" s="948">
        <v>590000</v>
      </c>
      <c r="G208" s="949">
        <v>0.1</v>
      </c>
      <c r="H208" s="950">
        <f t="shared" si="26"/>
        <v>2360000</v>
      </c>
      <c r="I208" s="950">
        <f t="shared" si="29"/>
        <v>649000</v>
      </c>
      <c r="J208" s="950">
        <f t="shared" si="30"/>
        <v>2596000</v>
      </c>
      <c r="K208" s="948"/>
    </row>
    <row r="209" spans="1:11" ht="47.25" customHeight="1" outlineLevel="1">
      <c r="A209" s="940">
        <f>A208+1</f>
        <v>4</v>
      </c>
      <c r="B209" s="944" t="s">
        <v>1034</v>
      </c>
      <c r="C209" s="966" t="s">
        <v>1035</v>
      </c>
      <c r="D209" s="994" t="s">
        <v>627</v>
      </c>
      <c r="E209" s="995">
        <v>1</v>
      </c>
      <c r="F209" s="948">
        <v>130000</v>
      </c>
      <c r="G209" s="949">
        <v>0.1</v>
      </c>
      <c r="H209" s="950">
        <f t="shared" si="26"/>
        <v>130000</v>
      </c>
      <c r="I209" s="950">
        <f t="shared" si="29"/>
        <v>143000</v>
      </c>
      <c r="J209" s="950">
        <f t="shared" si="30"/>
        <v>143000</v>
      </c>
      <c r="K209" s="948"/>
    </row>
    <row r="210" spans="1:11" ht="15.75">
      <c r="A210" s="940">
        <v>24</v>
      </c>
      <c r="B210" s="987" t="s">
        <v>1226</v>
      </c>
      <c r="C210" s="942"/>
      <c r="D210" s="968" t="s">
        <v>1011</v>
      </c>
      <c r="E210" s="968">
        <v>1</v>
      </c>
      <c r="F210" s="948"/>
      <c r="G210" s="949"/>
      <c r="H210" s="950">
        <f t="shared" si="26"/>
        <v>0</v>
      </c>
      <c r="I210" s="950">
        <f t="shared" si="29"/>
        <v>0</v>
      </c>
      <c r="J210" s="950">
        <f t="shared" si="30"/>
        <v>0</v>
      </c>
      <c r="K210" s="948"/>
    </row>
    <row r="211" spans="1:11" ht="78.75" outlineLevel="1">
      <c r="A211" s="940">
        <v>1</v>
      </c>
      <c r="B211" s="944" t="s">
        <v>1031</v>
      </c>
      <c r="C211" s="953" t="s">
        <v>1203</v>
      </c>
      <c r="D211" s="961" t="s">
        <v>655</v>
      </c>
      <c r="E211" s="962">
        <v>1</v>
      </c>
      <c r="F211" s="948">
        <v>4800000</v>
      </c>
      <c r="G211" s="949">
        <v>0.05</v>
      </c>
      <c r="H211" s="950">
        <f t="shared" si="26"/>
        <v>4800000</v>
      </c>
      <c r="I211" s="950">
        <f t="shared" si="29"/>
        <v>5280000</v>
      </c>
      <c r="J211" s="950">
        <f t="shared" si="30"/>
        <v>5280000</v>
      </c>
      <c r="K211" s="948"/>
    </row>
    <row r="212" spans="1:11" ht="47.25" outlineLevel="1">
      <c r="A212" s="940">
        <f t="shared" ref="A212:A217" si="31">A211+1</f>
        <v>2</v>
      </c>
      <c r="B212" s="944" t="s">
        <v>1227</v>
      </c>
      <c r="C212" s="953" t="s">
        <v>1228</v>
      </c>
      <c r="D212" s="940" t="s">
        <v>627</v>
      </c>
      <c r="E212" s="962">
        <v>1</v>
      </c>
      <c r="F212" s="948">
        <v>4250000</v>
      </c>
      <c r="G212" s="949">
        <v>0.1</v>
      </c>
      <c r="H212" s="950">
        <f t="shared" si="26"/>
        <v>4250000</v>
      </c>
      <c r="I212" s="950">
        <f t="shared" si="29"/>
        <v>4675000</v>
      </c>
      <c r="J212" s="950">
        <f t="shared" si="30"/>
        <v>4675000</v>
      </c>
      <c r="K212" s="948"/>
    </row>
    <row r="213" spans="1:11" ht="94.5" customHeight="1" outlineLevel="1">
      <c r="A213" s="940">
        <f t="shared" si="31"/>
        <v>3</v>
      </c>
      <c r="B213" s="944" t="s">
        <v>1208</v>
      </c>
      <c r="C213" s="944" t="s">
        <v>1221</v>
      </c>
      <c r="D213" s="961" t="s">
        <v>655</v>
      </c>
      <c r="E213" s="962">
        <v>1</v>
      </c>
      <c r="F213" s="948">
        <v>590000</v>
      </c>
      <c r="G213" s="949">
        <v>0.1</v>
      </c>
      <c r="H213" s="950">
        <f t="shared" si="26"/>
        <v>590000</v>
      </c>
      <c r="I213" s="950">
        <f t="shared" si="29"/>
        <v>649000</v>
      </c>
      <c r="J213" s="950">
        <f t="shared" si="30"/>
        <v>649000</v>
      </c>
      <c r="K213" s="948"/>
    </row>
    <row r="214" spans="1:11" ht="47.25" outlineLevel="1">
      <c r="A214" s="940">
        <f t="shared" si="31"/>
        <v>4</v>
      </c>
      <c r="B214" s="1001" t="s">
        <v>1231</v>
      </c>
      <c r="C214" s="945" t="s">
        <v>1563</v>
      </c>
      <c r="D214" s="994" t="s">
        <v>627</v>
      </c>
      <c r="E214" s="995">
        <v>23</v>
      </c>
      <c r="F214" s="948">
        <v>3230000</v>
      </c>
      <c r="G214" s="949">
        <v>0.1</v>
      </c>
      <c r="H214" s="950">
        <f t="shared" si="26"/>
        <v>74290000</v>
      </c>
      <c r="I214" s="950">
        <f t="shared" si="29"/>
        <v>3553000</v>
      </c>
      <c r="J214" s="950">
        <f t="shared" si="30"/>
        <v>81719000</v>
      </c>
      <c r="K214" s="982" t="s">
        <v>1213</v>
      </c>
    </row>
    <row r="215" spans="1:11" ht="63" customHeight="1" outlineLevel="1">
      <c r="A215" s="940">
        <f t="shared" si="31"/>
        <v>5</v>
      </c>
      <c r="B215" s="1001" t="s">
        <v>1215</v>
      </c>
      <c r="C215" s="998" t="s">
        <v>1216</v>
      </c>
      <c r="D215" s="994" t="s">
        <v>627</v>
      </c>
      <c r="E215" s="995">
        <v>45</v>
      </c>
      <c r="F215" s="948">
        <v>450000</v>
      </c>
      <c r="G215" s="949">
        <v>0.1</v>
      </c>
      <c r="H215" s="950">
        <f t="shared" si="26"/>
        <v>20250000</v>
      </c>
      <c r="I215" s="950">
        <f t="shared" si="29"/>
        <v>495000</v>
      </c>
      <c r="J215" s="950">
        <f t="shared" si="30"/>
        <v>22275000</v>
      </c>
      <c r="K215" s="948"/>
    </row>
    <row r="216" spans="1:11" ht="94.5" outlineLevel="1">
      <c r="A216" s="940">
        <f t="shared" si="31"/>
        <v>6</v>
      </c>
      <c r="B216" s="1001" t="s">
        <v>1143</v>
      </c>
      <c r="C216" s="953" t="s">
        <v>1144</v>
      </c>
      <c r="D216" s="994" t="s">
        <v>627</v>
      </c>
      <c r="E216" s="995">
        <v>4</v>
      </c>
      <c r="F216" s="948">
        <v>5600000</v>
      </c>
      <c r="G216" s="949">
        <v>0.1</v>
      </c>
      <c r="H216" s="950">
        <f t="shared" si="26"/>
        <v>22400000</v>
      </c>
      <c r="I216" s="950">
        <f t="shared" si="29"/>
        <v>6160000</v>
      </c>
      <c r="J216" s="950">
        <f t="shared" si="30"/>
        <v>24640000</v>
      </c>
      <c r="K216" s="948"/>
    </row>
    <row r="217" spans="1:11" ht="47.25" customHeight="1" outlineLevel="1">
      <c r="A217" s="940">
        <f t="shared" si="31"/>
        <v>7</v>
      </c>
      <c r="B217" s="944" t="s">
        <v>1034</v>
      </c>
      <c r="C217" s="966" t="s">
        <v>1035</v>
      </c>
      <c r="D217" s="994" t="s">
        <v>627</v>
      </c>
      <c r="E217" s="995">
        <v>1</v>
      </c>
      <c r="F217" s="948">
        <v>130000</v>
      </c>
      <c r="G217" s="949">
        <v>0.1</v>
      </c>
      <c r="H217" s="950">
        <f t="shared" si="26"/>
        <v>130000</v>
      </c>
      <c r="I217" s="950">
        <f t="shared" si="29"/>
        <v>143000</v>
      </c>
      <c r="J217" s="950">
        <f t="shared" si="30"/>
        <v>143000</v>
      </c>
      <c r="K217" s="948"/>
    </row>
    <row r="218" spans="1:11" ht="15.75">
      <c r="A218" s="940">
        <v>25</v>
      </c>
      <c r="B218" s="987" t="s">
        <v>1233</v>
      </c>
      <c r="C218" s="998"/>
      <c r="D218" s="968" t="s">
        <v>1011</v>
      </c>
      <c r="E218" s="968">
        <v>1</v>
      </c>
      <c r="F218" s="948"/>
      <c r="G218" s="949"/>
      <c r="H218" s="950">
        <f t="shared" si="26"/>
        <v>0</v>
      </c>
      <c r="I218" s="950">
        <f t="shared" si="29"/>
        <v>0</v>
      </c>
      <c r="J218" s="950">
        <f t="shared" si="30"/>
        <v>0</v>
      </c>
      <c r="K218" s="948"/>
    </row>
    <row r="219" spans="1:11" ht="126" customHeight="1" outlineLevel="1">
      <c r="A219" s="940">
        <v>1</v>
      </c>
      <c r="B219" s="944" t="s">
        <v>1101</v>
      </c>
      <c r="C219" s="998" t="s">
        <v>1161</v>
      </c>
      <c r="D219" s="994" t="s">
        <v>627</v>
      </c>
      <c r="E219" s="995">
        <v>2</v>
      </c>
      <c r="F219" s="948">
        <v>6000000</v>
      </c>
      <c r="G219" s="949">
        <v>0.1</v>
      </c>
      <c r="H219" s="950">
        <f t="shared" si="26"/>
        <v>12000000</v>
      </c>
      <c r="I219" s="950">
        <f t="shared" si="29"/>
        <v>6600000</v>
      </c>
      <c r="J219" s="950">
        <f t="shared" si="30"/>
        <v>13200000</v>
      </c>
      <c r="K219" s="982" t="s">
        <v>1234</v>
      </c>
    </row>
    <row r="220" spans="1:11" ht="94.5" customHeight="1" outlineLevel="1">
      <c r="A220" s="940">
        <f>A219+1</f>
        <v>2</v>
      </c>
      <c r="B220" s="944" t="s">
        <v>1219</v>
      </c>
      <c r="C220" s="969" t="s">
        <v>1220</v>
      </c>
      <c r="D220" s="994" t="s">
        <v>627</v>
      </c>
      <c r="E220" s="995">
        <v>1</v>
      </c>
      <c r="F220" s="948">
        <v>6800000</v>
      </c>
      <c r="G220" s="949">
        <v>0.1</v>
      </c>
      <c r="H220" s="950">
        <f t="shared" si="26"/>
        <v>6800000</v>
      </c>
      <c r="I220" s="950">
        <f t="shared" si="29"/>
        <v>7480000</v>
      </c>
      <c r="J220" s="950">
        <f t="shared" si="30"/>
        <v>7480000</v>
      </c>
      <c r="K220" s="948"/>
    </row>
    <row r="221" spans="1:11" ht="94.5" customHeight="1" outlineLevel="1">
      <c r="A221" s="940">
        <f>A220+1</f>
        <v>3</v>
      </c>
      <c r="B221" s="944" t="s">
        <v>1208</v>
      </c>
      <c r="C221" s="944" t="s">
        <v>1209</v>
      </c>
      <c r="D221" s="994" t="s">
        <v>627</v>
      </c>
      <c r="E221" s="995">
        <v>4</v>
      </c>
      <c r="F221" s="948">
        <v>590000</v>
      </c>
      <c r="G221" s="949">
        <v>0.1</v>
      </c>
      <c r="H221" s="950">
        <f t="shared" si="26"/>
        <v>2360000</v>
      </c>
      <c r="I221" s="950">
        <f t="shared" si="29"/>
        <v>649000</v>
      </c>
      <c r="J221" s="950">
        <f t="shared" si="30"/>
        <v>2596000</v>
      </c>
      <c r="K221" s="948"/>
    </row>
    <row r="222" spans="1:11" ht="47.25" customHeight="1" outlineLevel="1">
      <c r="A222" s="940">
        <f>A221+1</f>
        <v>4</v>
      </c>
      <c r="B222" s="944" t="s">
        <v>1034</v>
      </c>
      <c r="C222" s="966" t="s">
        <v>1035</v>
      </c>
      <c r="D222" s="994" t="s">
        <v>627</v>
      </c>
      <c r="E222" s="995">
        <v>1</v>
      </c>
      <c r="F222" s="948">
        <v>130000</v>
      </c>
      <c r="G222" s="949">
        <v>0.1</v>
      </c>
      <c r="H222" s="950">
        <f t="shared" si="26"/>
        <v>130000</v>
      </c>
      <c r="I222" s="950">
        <f t="shared" si="29"/>
        <v>143000</v>
      </c>
      <c r="J222" s="950">
        <f t="shared" si="30"/>
        <v>143000</v>
      </c>
      <c r="K222" s="948"/>
    </row>
    <row r="223" spans="1:11" ht="15.75">
      <c r="A223" s="940">
        <v>26</v>
      </c>
      <c r="B223" s="987" t="s">
        <v>1235</v>
      </c>
      <c r="C223" s="942"/>
      <c r="D223" s="968" t="s">
        <v>1011</v>
      </c>
      <c r="E223" s="968">
        <v>1</v>
      </c>
      <c r="F223" s="948"/>
      <c r="G223" s="949"/>
      <c r="H223" s="950">
        <f t="shared" si="26"/>
        <v>0</v>
      </c>
      <c r="I223" s="950">
        <f t="shared" si="29"/>
        <v>0</v>
      </c>
      <c r="J223" s="950">
        <f t="shared" si="30"/>
        <v>0</v>
      </c>
      <c r="K223" s="948"/>
    </row>
    <row r="224" spans="1:11" ht="78.75" outlineLevel="1">
      <c r="A224" s="940">
        <v>1</v>
      </c>
      <c r="B224" s="944" t="s">
        <v>1031</v>
      </c>
      <c r="C224" s="953" t="s">
        <v>1203</v>
      </c>
      <c r="D224" s="961" t="s">
        <v>655</v>
      </c>
      <c r="E224" s="962">
        <v>1</v>
      </c>
      <c r="F224" s="948">
        <v>4800000</v>
      </c>
      <c r="G224" s="949">
        <v>0.05</v>
      </c>
      <c r="H224" s="950">
        <f t="shared" si="26"/>
        <v>4800000</v>
      </c>
      <c r="I224" s="950">
        <f t="shared" si="29"/>
        <v>5280000</v>
      </c>
      <c r="J224" s="950">
        <f t="shared" si="30"/>
        <v>5280000</v>
      </c>
      <c r="K224" s="948"/>
    </row>
    <row r="225" spans="1:11" ht="47.25" outlineLevel="1">
      <c r="A225" s="940">
        <f t="shared" ref="A225:A230" si="32">A224+1</f>
        <v>2</v>
      </c>
      <c r="B225" s="944" t="s">
        <v>1227</v>
      </c>
      <c r="C225" s="953" t="s">
        <v>1228</v>
      </c>
      <c r="D225" s="940" t="s">
        <v>627</v>
      </c>
      <c r="E225" s="962">
        <v>1</v>
      </c>
      <c r="F225" s="948">
        <v>4250000</v>
      </c>
      <c r="G225" s="949">
        <v>0.1</v>
      </c>
      <c r="H225" s="950">
        <f t="shared" si="26"/>
        <v>4250000</v>
      </c>
      <c r="I225" s="950">
        <f t="shared" si="29"/>
        <v>4675000</v>
      </c>
      <c r="J225" s="950">
        <f t="shared" si="30"/>
        <v>4675000</v>
      </c>
      <c r="K225" s="948"/>
    </row>
    <row r="226" spans="1:11" ht="94.5" customHeight="1" outlineLevel="1">
      <c r="A226" s="940">
        <f t="shared" si="32"/>
        <v>3</v>
      </c>
      <c r="B226" s="944" t="s">
        <v>1208</v>
      </c>
      <c r="C226" s="944" t="s">
        <v>1221</v>
      </c>
      <c r="D226" s="961" t="s">
        <v>655</v>
      </c>
      <c r="E226" s="962">
        <v>1</v>
      </c>
      <c r="F226" s="948">
        <v>590000</v>
      </c>
      <c r="G226" s="949">
        <v>0.1</v>
      </c>
      <c r="H226" s="950">
        <f t="shared" si="26"/>
        <v>590000</v>
      </c>
      <c r="I226" s="950">
        <f t="shared" si="29"/>
        <v>649000</v>
      </c>
      <c r="J226" s="950">
        <f t="shared" si="30"/>
        <v>649000</v>
      </c>
      <c r="K226" s="948"/>
    </row>
    <row r="227" spans="1:11" ht="63" outlineLevel="1">
      <c r="A227" s="940">
        <f t="shared" si="32"/>
        <v>4</v>
      </c>
      <c r="B227" s="1001" t="s">
        <v>1231</v>
      </c>
      <c r="C227" s="945" t="s">
        <v>1237</v>
      </c>
      <c r="D227" s="994" t="s">
        <v>627</v>
      </c>
      <c r="E227" s="995">
        <v>23</v>
      </c>
      <c r="F227" s="948">
        <v>3230000</v>
      </c>
      <c r="G227" s="949">
        <v>0.1</v>
      </c>
      <c r="H227" s="950">
        <f t="shared" si="26"/>
        <v>74290000</v>
      </c>
      <c r="I227" s="950">
        <f t="shared" si="29"/>
        <v>3553000</v>
      </c>
      <c r="J227" s="950">
        <f t="shared" si="30"/>
        <v>81719000</v>
      </c>
      <c r="K227" s="982" t="s">
        <v>1213</v>
      </c>
    </row>
    <row r="228" spans="1:11" ht="63" customHeight="1" outlineLevel="1">
      <c r="A228" s="940">
        <f t="shared" si="32"/>
        <v>5</v>
      </c>
      <c r="B228" s="1001" t="s">
        <v>1215</v>
      </c>
      <c r="C228" s="998" t="s">
        <v>1216</v>
      </c>
      <c r="D228" s="994" t="s">
        <v>627</v>
      </c>
      <c r="E228" s="995">
        <v>45</v>
      </c>
      <c r="F228" s="948">
        <v>450000</v>
      </c>
      <c r="G228" s="949">
        <v>0.1</v>
      </c>
      <c r="H228" s="950">
        <f t="shared" si="26"/>
        <v>20250000</v>
      </c>
      <c r="I228" s="950">
        <f t="shared" si="29"/>
        <v>495000</v>
      </c>
      <c r="J228" s="950">
        <f t="shared" si="30"/>
        <v>22275000</v>
      </c>
      <c r="K228" s="948"/>
    </row>
    <row r="229" spans="1:11" ht="94.5" outlineLevel="1">
      <c r="A229" s="940">
        <f t="shared" si="32"/>
        <v>6</v>
      </c>
      <c r="B229" s="1001" t="s">
        <v>1143</v>
      </c>
      <c r="C229" s="953" t="s">
        <v>1144</v>
      </c>
      <c r="D229" s="994" t="s">
        <v>627</v>
      </c>
      <c r="E229" s="995">
        <v>4</v>
      </c>
      <c r="F229" s="948">
        <v>5600000</v>
      </c>
      <c r="G229" s="949">
        <v>0.1</v>
      </c>
      <c r="H229" s="950">
        <f t="shared" si="26"/>
        <v>22400000</v>
      </c>
      <c r="I229" s="950">
        <f t="shared" si="29"/>
        <v>6160000</v>
      </c>
      <c r="J229" s="950">
        <f t="shared" si="30"/>
        <v>24640000</v>
      </c>
      <c r="K229" s="948"/>
    </row>
    <row r="230" spans="1:11" ht="47.25" customHeight="1" outlineLevel="1">
      <c r="A230" s="940">
        <f t="shared" si="32"/>
        <v>7</v>
      </c>
      <c r="B230" s="944" t="s">
        <v>1034</v>
      </c>
      <c r="C230" s="966" t="s">
        <v>1035</v>
      </c>
      <c r="D230" s="994" t="s">
        <v>627</v>
      </c>
      <c r="E230" s="995">
        <v>1</v>
      </c>
      <c r="F230" s="948">
        <v>130000</v>
      </c>
      <c r="G230" s="949">
        <v>0.1</v>
      </c>
      <c r="H230" s="950">
        <f t="shared" si="26"/>
        <v>130000</v>
      </c>
      <c r="I230" s="950">
        <f t="shared" si="29"/>
        <v>143000</v>
      </c>
      <c r="J230" s="950">
        <f t="shared" si="30"/>
        <v>143000</v>
      </c>
      <c r="K230" s="948"/>
    </row>
    <row r="231" spans="1:11" ht="15.75">
      <c r="A231" s="940">
        <v>27</v>
      </c>
      <c r="B231" s="987" t="s">
        <v>1238</v>
      </c>
      <c r="C231" s="998"/>
      <c r="D231" s="968" t="s">
        <v>1011</v>
      </c>
      <c r="E231" s="968">
        <v>1</v>
      </c>
      <c r="F231" s="948"/>
      <c r="G231" s="949"/>
      <c r="H231" s="950">
        <f t="shared" si="26"/>
        <v>0</v>
      </c>
      <c r="I231" s="950">
        <f t="shared" si="29"/>
        <v>0</v>
      </c>
      <c r="J231" s="950">
        <f t="shared" si="30"/>
        <v>0</v>
      </c>
      <c r="K231" s="948"/>
    </row>
    <row r="232" spans="1:11" ht="126" customHeight="1" outlineLevel="1">
      <c r="A232" s="940">
        <v>1</v>
      </c>
      <c r="B232" s="944" t="s">
        <v>1101</v>
      </c>
      <c r="C232" s="998" t="s">
        <v>1161</v>
      </c>
      <c r="D232" s="994" t="s">
        <v>627</v>
      </c>
      <c r="E232" s="995">
        <v>2</v>
      </c>
      <c r="F232" s="948">
        <v>6000000</v>
      </c>
      <c r="G232" s="949">
        <v>0.1</v>
      </c>
      <c r="H232" s="950">
        <f t="shared" si="26"/>
        <v>12000000</v>
      </c>
      <c r="I232" s="950">
        <f t="shared" si="29"/>
        <v>6600000</v>
      </c>
      <c r="J232" s="950">
        <f t="shared" si="30"/>
        <v>13200000</v>
      </c>
      <c r="K232" s="982" t="s">
        <v>1234</v>
      </c>
    </row>
    <row r="233" spans="1:11" ht="94.5" customHeight="1" outlineLevel="1">
      <c r="A233" s="940">
        <f>A232+1</f>
        <v>2</v>
      </c>
      <c r="B233" s="944" t="s">
        <v>1219</v>
      </c>
      <c r="C233" s="969" t="s">
        <v>1220</v>
      </c>
      <c r="D233" s="994" t="s">
        <v>627</v>
      </c>
      <c r="E233" s="995">
        <v>1</v>
      </c>
      <c r="F233" s="948">
        <v>6800000</v>
      </c>
      <c r="G233" s="949">
        <v>0.1</v>
      </c>
      <c r="H233" s="950">
        <f t="shared" si="26"/>
        <v>6800000</v>
      </c>
      <c r="I233" s="950">
        <f t="shared" si="29"/>
        <v>7480000</v>
      </c>
      <c r="J233" s="950">
        <f t="shared" si="30"/>
        <v>7480000</v>
      </c>
      <c r="K233" s="948"/>
    </row>
    <row r="234" spans="1:11" ht="94.5" customHeight="1" outlineLevel="1">
      <c r="A234" s="940">
        <f>A233+1</f>
        <v>3</v>
      </c>
      <c r="B234" s="944" t="s">
        <v>1208</v>
      </c>
      <c r="C234" s="944" t="s">
        <v>1209</v>
      </c>
      <c r="D234" s="994" t="s">
        <v>627</v>
      </c>
      <c r="E234" s="995">
        <v>4</v>
      </c>
      <c r="F234" s="948">
        <v>590000</v>
      </c>
      <c r="G234" s="949">
        <v>0.1</v>
      </c>
      <c r="H234" s="950">
        <f t="shared" si="26"/>
        <v>2360000</v>
      </c>
      <c r="I234" s="950">
        <f t="shared" si="29"/>
        <v>649000</v>
      </c>
      <c r="J234" s="950">
        <f t="shared" si="30"/>
        <v>2596000</v>
      </c>
      <c r="K234" s="948"/>
    </row>
    <row r="235" spans="1:11" ht="47.25" customHeight="1" outlineLevel="1">
      <c r="A235" s="940">
        <f>A234+1</f>
        <v>4</v>
      </c>
      <c r="B235" s="944" t="s">
        <v>1034</v>
      </c>
      <c r="C235" s="966" t="s">
        <v>1035</v>
      </c>
      <c r="D235" s="994" t="s">
        <v>627</v>
      </c>
      <c r="E235" s="995">
        <v>1</v>
      </c>
      <c r="F235" s="948">
        <v>130000</v>
      </c>
      <c r="G235" s="949">
        <v>0.1</v>
      </c>
      <c r="H235" s="950">
        <f t="shared" si="26"/>
        <v>130000</v>
      </c>
      <c r="I235" s="950">
        <f t="shared" si="29"/>
        <v>143000</v>
      </c>
      <c r="J235" s="950">
        <f t="shared" si="30"/>
        <v>143000</v>
      </c>
      <c r="K235" s="948"/>
    </row>
    <row r="236" spans="1:11" ht="15.75">
      <c r="A236" s="940">
        <v>28</v>
      </c>
      <c r="B236" s="941" t="s">
        <v>1239</v>
      </c>
      <c r="C236" s="1022"/>
      <c r="D236" s="994" t="s">
        <v>1240</v>
      </c>
      <c r="E236" s="994">
        <v>1</v>
      </c>
      <c r="F236" s="948"/>
      <c r="G236" s="949"/>
      <c r="H236" s="950">
        <f t="shared" si="26"/>
        <v>0</v>
      </c>
      <c r="I236" s="950">
        <f t="shared" si="29"/>
        <v>0</v>
      </c>
      <c r="J236" s="950">
        <f t="shared" si="30"/>
        <v>0</v>
      </c>
      <c r="K236" s="948"/>
    </row>
    <row r="237" spans="1:11" ht="78.75" outlineLevel="1">
      <c r="A237" s="940">
        <v>1</v>
      </c>
      <c r="B237" s="944" t="s">
        <v>1031</v>
      </c>
      <c r="C237" s="953" t="s">
        <v>1203</v>
      </c>
      <c r="D237" s="961" t="s">
        <v>655</v>
      </c>
      <c r="E237" s="962">
        <v>1</v>
      </c>
      <c r="F237" s="948">
        <v>4800000</v>
      </c>
      <c r="G237" s="949">
        <v>0.05</v>
      </c>
      <c r="H237" s="950">
        <f t="shared" si="26"/>
        <v>4800000</v>
      </c>
      <c r="I237" s="950">
        <f t="shared" si="29"/>
        <v>5280000</v>
      </c>
      <c r="J237" s="950">
        <f t="shared" si="30"/>
        <v>5280000</v>
      </c>
      <c r="K237" s="948"/>
    </row>
    <row r="238" spans="1:11" ht="63" customHeight="1" outlineLevel="1">
      <c r="A238" s="940">
        <f>A237+1</f>
        <v>2</v>
      </c>
      <c r="B238" s="944" t="s">
        <v>1077</v>
      </c>
      <c r="C238" s="944" t="s">
        <v>1100</v>
      </c>
      <c r="D238" s="940" t="s">
        <v>627</v>
      </c>
      <c r="E238" s="962">
        <v>1</v>
      </c>
      <c r="F238" s="948">
        <v>480000</v>
      </c>
      <c r="G238" s="949">
        <v>0.1</v>
      </c>
      <c r="H238" s="950">
        <f t="shared" si="26"/>
        <v>480000</v>
      </c>
      <c r="I238" s="950">
        <f t="shared" si="29"/>
        <v>528000</v>
      </c>
      <c r="J238" s="950">
        <f t="shared" si="30"/>
        <v>528000</v>
      </c>
      <c r="K238" s="948"/>
    </row>
    <row r="239" spans="1:11" ht="78.75" customHeight="1" outlineLevel="1">
      <c r="A239" s="940">
        <f t="shared" ref="A239:A244" si="33">A238+1</f>
        <v>3</v>
      </c>
      <c r="B239" s="944" t="s">
        <v>1241</v>
      </c>
      <c r="C239" s="944" t="s">
        <v>1242</v>
      </c>
      <c r="D239" s="961" t="s">
        <v>655</v>
      </c>
      <c r="E239" s="962">
        <v>45</v>
      </c>
      <c r="F239" s="948">
        <v>435000</v>
      </c>
      <c r="G239" s="949">
        <v>0.1</v>
      </c>
      <c r="H239" s="950">
        <f t="shared" si="26"/>
        <v>19575000</v>
      </c>
      <c r="I239" s="950">
        <f t="shared" si="29"/>
        <v>478500</v>
      </c>
      <c r="J239" s="950">
        <f t="shared" si="30"/>
        <v>21532500</v>
      </c>
      <c r="K239" s="948"/>
    </row>
    <row r="240" spans="1:11" ht="222" customHeight="1" outlineLevel="1">
      <c r="A240" s="940">
        <f t="shared" si="33"/>
        <v>4</v>
      </c>
      <c r="B240" s="1001" t="s">
        <v>1243</v>
      </c>
      <c r="C240" s="1023" t="s">
        <v>1244</v>
      </c>
      <c r="D240" s="994" t="s">
        <v>627</v>
      </c>
      <c r="E240" s="995">
        <v>1</v>
      </c>
      <c r="F240" s="948">
        <v>9600000</v>
      </c>
      <c r="G240" s="949">
        <v>0.1</v>
      </c>
      <c r="H240" s="950">
        <f t="shared" si="26"/>
        <v>9600000</v>
      </c>
      <c r="I240" s="950">
        <f t="shared" si="29"/>
        <v>10560000</v>
      </c>
      <c r="J240" s="950">
        <f t="shared" si="30"/>
        <v>10560000</v>
      </c>
      <c r="K240" s="948"/>
    </row>
    <row r="241" spans="1:11" ht="345" customHeight="1" outlineLevel="1">
      <c r="A241" s="940">
        <f t="shared" si="33"/>
        <v>5</v>
      </c>
      <c r="B241" s="1001" t="s">
        <v>1245</v>
      </c>
      <c r="C241" s="1024" t="s">
        <v>1246</v>
      </c>
      <c r="D241" s="994" t="s">
        <v>627</v>
      </c>
      <c r="E241" s="995">
        <v>23</v>
      </c>
      <c r="F241" s="948">
        <v>6000000</v>
      </c>
      <c r="G241" s="949">
        <v>0.1</v>
      </c>
      <c r="H241" s="950">
        <f t="shared" si="26"/>
        <v>138000000</v>
      </c>
      <c r="I241" s="950">
        <f t="shared" si="29"/>
        <v>6600000</v>
      </c>
      <c r="J241" s="950">
        <f t="shared" si="30"/>
        <v>151800000</v>
      </c>
      <c r="K241" s="982" t="s">
        <v>1234</v>
      </c>
    </row>
    <row r="242" spans="1:11" s="1025" customFormat="1" ht="63" customHeight="1" outlineLevel="1">
      <c r="A242" s="940">
        <f t="shared" si="33"/>
        <v>6</v>
      </c>
      <c r="B242" s="944" t="s">
        <v>1247</v>
      </c>
      <c r="C242" s="998" t="s">
        <v>1248</v>
      </c>
      <c r="D242" s="994" t="s">
        <v>624</v>
      </c>
      <c r="E242" s="995">
        <v>1</v>
      </c>
      <c r="F242" s="948">
        <v>13500000</v>
      </c>
      <c r="G242" s="949">
        <v>0.1</v>
      </c>
      <c r="H242" s="950">
        <f t="shared" si="26"/>
        <v>13500000</v>
      </c>
      <c r="I242" s="950">
        <f t="shared" si="29"/>
        <v>14850000</v>
      </c>
      <c r="J242" s="950">
        <f t="shared" si="30"/>
        <v>14850000</v>
      </c>
      <c r="K242" s="948"/>
    </row>
    <row r="243" spans="1:11" ht="63" customHeight="1" outlineLevel="1">
      <c r="A243" s="940">
        <f t="shared" si="33"/>
        <v>7</v>
      </c>
      <c r="B243" s="944" t="s">
        <v>1069</v>
      </c>
      <c r="C243" s="998" t="s">
        <v>1249</v>
      </c>
      <c r="D243" s="968" t="s">
        <v>1071</v>
      </c>
      <c r="E243" s="1026">
        <v>4</v>
      </c>
      <c r="F243" s="948">
        <v>21990000</v>
      </c>
      <c r="G243" s="949">
        <v>0.1</v>
      </c>
      <c r="H243" s="950">
        <f t="shared" si="26"/>
        <v>87960000</v>
      </c>
      <c r="I243" s="950">
        <f t="shared" si="29"/>
        <v>24189000</v>
      </c>
      <c r="J243" s="950">
        <f t="shared" si="30"/>
        <v>96756000</v>
      </c>
      <c r="K243" s="948"/>
    </row>
    <row r="244" spans="1:11" ht="47.25" customHeight="1" outlineLevel="1">
      <c r="A244" s="940">
        <f t="shared" si="33"/>
        <v>8</v>
      </c>
      <c r="B244" s="944" t="s">
        <v>1034</v>
      </c>
      <c r="C244" s="966" t="s">
        <v>1035</v>
      </c>
      <c r="D244" s="968" t="s">
        <v>1068</v>
      </c>
      <c r="E244" s="1026">
        <v>1</v>
      </c>
      <c r="F244" s="948">
        <v>130000</v>
      </c>
      <c r="G244" s="949">
        <v>0.1</v>
      </c>
      <c r="H244" s="950">
        <f t="shared" ref="H244:H289" si="34">E244*F244</f>
        <v>130000</v>
      </c>
      <c r="I244" s="950">
        <f t="shared" si="29"/>
        <v>143000</v>
      </c>
      <c r="J244" s="950">
        <f t="shared" si="30"/>
        <v>143000</v>
      </c>
      <c r="K244" s="948"/>
    </row>
    <row r="245" spans="1:11" ht="15.75">
      <c r="A245" s="940">
        <v>29</v>
      </c>
      <c r="B245" s="987" t="s">
        <v>1250</v>
      </c>
      <c r="C245" s="942"/>
      <c r="D245" s="968" t="s">
        <v>1011</v>
      </c>
      <c r="E245" s="968">
        <v>1</v>
      </c>
      <c r="F245" s="948"/>
      <c r="G245" s="949"/>
      <c r="H245" s="950">
        <f t="shared" si="34"/>
        <v>0</v>
      </c>
      <c r="I245" s="950">
        <f t="shared" si="29"/>
        <v>0</v>
      </c>
      <c r="J245" s="950">
        <f t="shared" si="30"/>
        <v>0</v>
      </c>
      <c r="K245" s="948"/>
    </row>
    <row r="246" spans="1:11" ht="78.75" outlineLevel="1">
      <c r="A246" s="968">
        <v>1</v>
      </c>
      <c r="B246" s="944" t="s">
        <v>1031</v>
      </c>
      <c r="C246" s="953" t="s">
        <v>1203</v>
      </c>
      <c r="D246" s="968" t="s">
        <v>655</v>
      </c>
      <c r="E246" s="1026">
        <v>1</v>
      </c>
      <c r="F246" s="948">
        <v>4800000</v>
      </c>
      <c r="G246" s="949">
        <v>0.05</v>
      </c>
      <c r="H246" s="950">
        <f t="shared" si="34"/>
        <v>4800000</v>
      </c>
      <c r="I246" s="950">
        <f t="shared" si="29"/>
        <v>5280000</v>
      </c>
      <c r="J246" s="950">
        <f t="shared" si="30"/>
        <v>5280000</v>
      </c>
      <c r="K246" s="948"/>
    </row>
    <row r="247" spans="1:11" ht="63" outlineLevel="1">
      <c r="A247" s="940">
        <f t="shared" ref="A247:A252" si="35">A246+1</f>
        <v>2</v>
      </c>
      <c r="B247" s="1027" t="s">
        <v>1251</v>
      </c>
      <c r="C247" s="974" t="s">
        <v>1252</v>
      </c>
      <c r="D247" s="940" t="str">
        <f>D246</f>
        <v>cái</v>
      </c>
      <c r="E247" s="962">
        <v>46</v>
      </c>
      <c r="F247" s="948">
        <v>650000</v>
      </c>
      <c r="G247" s="949">
        <v>0.1</v>
      </c>
      <c r="H247" s="950">
        <f t="shared" si="34"/>
        <v>29900000</v>
      </c>
      <c r="I247" s="950">
        <f t="shared" si="29"/>
        <v>715000</v>
      </c>
      <c r="J247" s="950">
        <f t="shared" si="30"/>
        <v>32890000</v>
      </c>
      <c r="K247" s="948"/>
    </row>
    <row r="248" spans="1:11" ht="104.25" customHeight="1" outlineLevel="1">
      <c r="A248" s="940">
        <f t="shared" si="35"/>
        <v>3</v>
      </c>
      <c r="B248" s="944" t="s">
        <v>1253</v>
      </c>
      <c r="C248" s="998" t="s">
        <v>1216</v>
      </c>
      <c r="D248" s="961" t="s">
        <v>627</v>
      </c>
      <c r="E248" s="962">
        <v>46</v>
      </c>
      <c r="F248" s="948">
        <v>450000</v>
      </c>
      <c r="G248" s="949">
        <v>0.1</v>
      </c>
      <c r="H248" s="950">
        <f t="shared" si="34"/>
        <v>20700000</v>
      </c>
      <c r="I248" s="950">
        <f t="shared" si="29"/>
        <v>495000</v>
      </c>
      <c r="J248" s="950">
        <f t="shared" si="30"/>
        <v>22770000</v>
      </c>
      <c r="K248" s="948"/>
    </row>
    <row r="249" spans="1:11" ht="110.25" outlineLevel="1">
      <c r="A249" s="940">
        <f t="shared" si="35"/>
        <v>4</v>
      </c>
      <c r="B249" s="996" t="s">
        <v>1021</v>
      </c>
      <c r="C249" s="953" t="s">
        <v>1022</v>
      </c>
      <c r="D249" s="994" t="s">
        <v>627</v>
      </c>
      <c r="E249" s="995">
        <v>1</v>
      </c>
      <c r="F249" s="948">
        <v>5600000</v>
      </c>
      <c r="G249" s="949">
        <v>0.1</v>
      </c>
      <c r="H249" s="950">
        <f t="shared" si="34"/>
        <v>5600000</v>
      </c>
      <c r="I249" s="950">
        <f t="shared" si="29"/>
        <v>6160000</v>
      </c>
      <c r="J249" s="950">
        <f t="shared" si="30"/>
        <v>6160000</v>
      </c>
      <c r="K249" s="948"/>
    </row>
    <row r="250" spans="1:11" ht="31.5" outlineLevel="1">
      <c r="A250" s="940">
        <f t="shared" si="35"/>
        <v>5</v>
      </c>
      <c r="B250" s="1001" t="s">
        <v>1254</v>
      </c>
      <c r="C250" s="1012" t="s">
        <v>1255</v>
      </c>
      <c r="D250" s="994" t="s">
        <v>627</v>
      </c>
      <c r="E250" s="995">
        <v>1</v>
      </c>
      <c r="F250" s="948">
        <v>825000</v>
      </c>
      <c r="G250" s="949">
        <v>0.1</v>
      </c>
      <c r="H250" s="950">
        <f t="shared" si="34"/>
        <v>825000</v>
      </c>
      <c r="I250" s="950">
        <f t="shared" si="29"/>
        <v>907500</v>
      </c>
      <c r="J250" s="950">
        <f t="shared" si="30"/>
        <v>907500</v>
      </c>
      <c r="K250" s="948"/>
    </row>
    <row r="251" spans="1:11" ht="31.5" outlineLevel="1">
      <c r="A251" s="940">
        <f t="shared" si="35"/>
        <v>6</v>
      </c>
      <c r="B251" s="1001" t="s">
        <v>1256</v>
      </c>
      <c r="C251" s="1012" t="s">
        <v>1257</v>
      </c>
      <c r="D251" s="994" t="s">
        <v>627</v>
      </c>
      <c r="E251" s="995">
        <v>1</v>
      </c>
      <c r="F251" s="948">
        <v>5760000</v>
      </c>
      <c r="G251" s="949">
        <v>0.1</v>
      </c>
      <c r="H251" s="950">
        <f t="shared" si="34"/>
        <v>5760000</v>
      </c>
      <c r="I251" s="950">
        <f t="shared" si="29"/>
        <v>6336000</v>
      </c>
      <c r="J251" s="950">
        <f t="shared" si="30"/>
        <v>6336000</v>
      </c>
      <c r="K251" s="948"/>
    </row>
    <row r="252" spans="1:11" ht="47.25" customHeight="1" outlineLevel="1">
      <c r="A252" s="940">
        <f t="shared" si="35"/>
        <v>7</v>
      </c>
      <c r="B252" s="1001" t="s">
        <v>1034</v>
      </c>
      <c r="C252" s="966" t="s">
        <v>1035</v>
      </c>
      <c r="D252" s="994" t="s">
        <v>1068</v>
      </c>
      <c r="E252" s="995">
        <f>E191</f>
        <v>1</v>
      </c>
      <c r="F252" s="948">
        <v>130000</v>
      </c>
      <c r="G252" s="949">
        <v>0.1</v>
      </c>
      <c r="H252" s="950">
        <f t="shared" si="34"/>
        <v>130000</v>
      </c>
      <c r="I252" s="950">
        <f t="shared" si="29"/>
        <v>143000</v>
      </c>
      <c r="J252" s="950">
        <f t="shared" si="30"/>
        <v>143000</v>
      </c>
      <c r="K252" s="948"/>
    </row>
    <row r="253" spans="1:11" ht="15.75">
      <c r="A253" s="940">
        <v>30</v>
      </c>
      <c r="B253" s="987" t="s">
        <v>1258</v>
      </c>
      <c r="C253" s="942"/>
      <c r="D253" s="968" t="s">
        <v>1011</v>
      </c>
      <c r="E253" s="968">
        <v>2</v>
      </c>
      <c r="F253" s="948"/>
      <c r="G253" s="949"/>
      <c r="H253" s="950">
        <f t="shared" si="34"/>
        <v>0</v>
      </c>
      <c r="I253" s="950">
        <f t="shared" si="29"/>
        <v>0</v>
      </c>
      <c r="J253" s="950">
        <f t="shared" si="30"/>
        <v>0</v>
      </c>
      <c r="K253" s="948"/>
    </row>
    <row r="254" spans="1:11" ht="78.75" outlineLevel="1">
      <c r="A254" s="968">
        <v>1</v>
      </c>
      <c r="B254" s="944" t="s">
        <v>1082</v>
      </c>
      <c r="C254" s="953" t="s">
        <v>1083</v>
      </c>
      <c r="D254" s="940" t="s">
        <v>627</v>
      </c>
      <c r="E254" s="962">
        <v>2</v>
      </c>
      <c r="F254" s="948">
        <v>3150000</v>
      </c>
      <c r="G254" s="949">
        <v>0.1</v>
      </c>
      <c r="H254" s="950">
        <f t="shared" si="34"/>
        <v>6300000</v>
      </c>
      <c r="I254" s="950">
        <f t="shared" si="29"/>
        <v>3465000</v>
      </c>
      <c r="J254" s="950">
        <f t="shared" si="30"/>
        <v>6930000</v>
      </c>
      <c r="K254" s="948"/>
    </row>
    <row r="255" spans="1:11" ht="63" outlineLevel="1">
      <c r="A255" s="968">
        <f>A254+1</f>
        <v>2</v>
      </c>
      <c r="B255" s="944" t="s">
        <v>1077</v>
      </c>
      <c r="C255" s="991" t="s">
        <v>1259</v>
      </c>
      <c r="D255" s="940" t="s">
        <v>627</v>
      </c>
      <c r="E255" s="962">
        <v>2</v>
      </c>
      <c r="F255" s="948">
        <v>590000</v>
      </c>
      <c r="G255" s="949">
        <v>0.1</v>
      </c>
      <c r="H255" s="950">
        <f t="shared" si="34"/>
        <v>1180000</v>
      </c>
      <c r="I255" s="950">
        <f t="shared" si="29"/>
        <v>649000</v>
      </c>
      <c r="J255" s="950">
        <f t="shared" si="30"/>
        <v>1298000</v>
      </c>
      <c r="K255" s="948"/>
    </row>
    <row r="256" spans="1:11" ht="78.75" outlineLevel="1">
      <c r="A256" s="968">
        <f t="shared" ref="A256:A268" si="36">A255+1</f>
        <v>3</v>
      </c>
      <c r="B256" s="944" t="s">
        <v>1260</v>
      </c>
      <c r="C256" s="974" t="s">
        <v>1261</v>
      </c>
      <c r="D256" s="940" t="s">
        <v>627</v>
      </c>
      <c r="E256" s="962">
        <f>23*2</f>
        <v>46</v>
      </c>
      <c r="F256" s="1016">
        <v>2963000</v>
      </c>
      <c r="G256" s="949">
        <v>0.1</v>
      </c>
      <c r="H256" s="950">
        <f t="shared" si="34"/>
        <v>136298000</v>
      </c>
      <c r="I256" s="950">
        <f t="shared" si="29"/>
        <v>3259300</v>
      </c>
      <c r="J256" s="950">
        <f t="shared" si="30"/>
        <v>149927800</v>
      </c>
      <c r="K256" s="948"/>
    </row>
    <row r="257" spans="1:11" ht="63" outlineLevel="1">
      <c r="A257" s="968">
        <f t="shared" si="36"/>
        <v>4</v>
      </c>
      <c r="B257" s="1028" t="s">
        <v>1015</v>
      </c>
      <c r="C257" s="945" t="s">
        <v>1262</v>
      </c>
      <c r="D257" s="940" t="s">
        <v>627</v>
      </c>
      <c r="E257" s="962">
        <f>45*2</f>
        <v>90</v>
      </c>
      <c r="F257" s="948">
        <v>485000</v>
      </c>
      <c r="G257" s="949">
        <v>0.1</v>
      </c>
      <c r="H257" s="950">
        <f t="shared" si="34"/>
        <v>43650000</v>
      </c>
      <c r="I257" s="950">
        <f t="shared" si="29"/>
        <v>533500</v>
      </c>
      <c r="J257" s="950">
        <f t="shared" si="30"/>
        <v>48015000</v>
      </c>
      <c r="K257" s="948"/>
    </row>
    <row r="258" spans="1:11" ht="94.5" customHeight="1" outlineLevel="1">
      <c r="A258" s="968">
        <f t="shared" si="36"/>
        <v>5</v>
      </c>
      <c r="B258" s="944" t="s">
        <v>1263</v>
      </c>
      <c r="C258" s="953" t="s">
        <v>1203</v>
      </c>
      <c r="D258" s="940" t="s">
        <v>1033</v>
      </c>
      <c r="E258" s="962">
        <v>2</v>
      </c>
      <c r="F258" s="948">
        <v>4800000</v>
      </c>
      <c r="G258" s="949">
        <v>0.05</v>
      </c>
      <c r="H258" s="950">
        <f t="shared" si="34"/>
        <v>9600000</v>
      </c>
      <c r="I258" s="950">
        <f t="shared" si="29"/>
        <v>5280000</v>
      </c>
      <c r="J258" s="950">
        <f t="shared" si="30"/>
        <v>10560000</v>
      </c>
      <c r="K258" s="948"/>
    </row>
    <row r="259" spans="1:11" ht="409.5" customHeight="1" outlineLevel="1">
      <c r="A259" s="968">
        <f t="shared" si="36"/>
        <v>6</v>
      </c>
      <c r="B259" s="944" t="s">
        <v>1264</v>
      </c>
      <c r="C259" s="974" t="s">
        <v>1265</v>
      </c>
      <c r="D259" s="940" t="s">
        <v>680</v>
      </c>
      <c r="E259" s="962">
        <v>2</v>
      </c>
      <c r="F259" s="948">
        <v>16300000</v>
      </c>
      <c r="G259" s="949">
        <v>0.1</v>
      </c>
      <c r="H259" s="950">
        <f t="shared" si="34"/>
        <v>32600000</v>
      </c>
      <c r="I259" s="950">
        <f t="shared" si="29"/>
        <v>17930000</v>
      </c>
      <c r="J259" s="950">
        <f t="shared" si="30"/>
        <v>35860000</v>
      </c>
      <c r="K259" s="948"/>
    </row>
    <row r="260" spans="1:11" ht="204.75" outlineLevel="1">
      <c r="A260" s="968"/>
      <c r="B260" s="944"/>
      <c r="C260" s="974" t="s">
        <v>1267</v>
      </c>
      <c r="D260" s="940"/>
      <c r="E260" s="962"/>
      <c r="F260" s="948"/>
      <c r="G260" s="949"/>
      <c r="H260" s="950">
        <f t="shared" si="34"/>
        <v>0</v>
      </c>
      <c r="I260" s="950">
        <f t="shared" si="29"/>
        <v>0</v>
      </c>
      <c r="J260" s="950">
        <f t="shared" si="30"/>
        <v>0</v>
      </c>
      <c r="K260" s="948"/>
    </row>
    <row r="261" spans="1:11" ht="409.5" customHeight="1" outlineLevel="1">
      <c r="A261" s="968">
        <f>A259+1</f>
        <v>7</v>
      </c>
      <c r="B261" s="1029" t="s">
        <v>1058</v>
      </c>
      <c r="C261" s="1030" t="s">
        <v>1273</v>
      </c>
      <c r="D261" s="1031" t="s">
        <v>680</v>
      </c>
      <c r="E261" s="1032">
        <f>45*2</f>
        <v>90</v>
      </c>
      <c r="F261" s="948">
        <v>12970000</v>
      </c>
      <c r="G261" s="949">
        <v>0.1</v>
      </c>
      <c r="H261" s="950">
        <f t="shared" si="34"/>
        <v>1167300000</v>
      </c>
      <c r="I261" s="950">
        <f t="shared" si="29"/>
        <v>14267000</v>
      </c>
      <c r="J261" s="950">
        <f t="shared" si="30"/>
        <v>1284030000</v>
      </c>
      <c r="K261" s="948"/>
    </row>
    <row r="262" spans="1:11" ht="110.25" customHeight="1" outlineLevel="1">
      <c r="A262" s="968">
        <f t="shared" si="36"/>
        <v>8</v>
      </c>
      <c r="B262" s="1028" t="s">
        <v>1276</v>
      </c>
      <c r="C262" s="974" t="s">
        <v>1277</v>
      </c>
      <c r="D262" s="999" t="s">
        <v>624</v>
      </c>
      <c r="E262" s="986">
        <v>2</v>
      </c>
      <c r="F262" s="948">
        <v>5000000</v>
      </c>
      <c r="G262" s="949">
        <v>0.1</v>
      </c>
      <c r="H262" s="950">
        <f t="shared" si="34"/>
        <v>10000000</v>
      </c>
      <c r="I262" s="950">
        <f t="shared" si="29"/>
        <v>5500000</v>
      </c>
      <c r="J262" s="950">
        <f t="shared" si="30"/>
        <v>11000000</v>
      </c>
      <c r="K262" s="948"/>
    </row>
    <row r="263" spans="1:11" ht="94.5" customHeight="1" outlineLevel="1">
      <c r="A263" s="968">
        <f t="shared" si="36"/>
        <v>9</v>
      </c>
      <c r="B263" s="944" t="s">
        <v>1278</v>
      </c>
      <c r="C263" s="1033" t="s">
        <v>1279</v>
      </c>
      <c r="D263" s="940" t="s">
        <v>695</v>
      </c>
      <c r="E263" s="962">
        <v>2</v>
      </c>
      <c r="F263" s="948">
        <v>3200000</v>
      </c>
      <c r="G263" s="949">
        <v>0.1</v>
      </c>
      <c r="H263" s="950">
        <f t="shared" si="34"/>
        <v>6400000</v>
      </c>
      <c r="I263" s="950">
        <f t="shared" si="29"/>
        <v>3520000</v>
      </c>
      <c r="J263" s="950">
        <f t="shared" si="30"/>
        <v>7040000</v>
      </c>
      <c r="K263" s="948"/>
    </row>
    <row r="264" spans="1:11" ht="126" outlineLevel="1">
      <c r="A264" s="968">
        <f t="shared" si="36"/>
        <v>10</v>
      </c>
      <c r="B264" s="966" t="s">
        <v>1280</v>
      </c>
      <c r="C264" s="974" t="s">
        <v>1281</v>
      </c>
      <c r="D264" s="1034" t="s">
        <v>1282</v>
      </c>
      <c r="E264" s="1035">
        <v>2</v>
      </c>
      <c r="F264" s="948">
        <v>20000000</v>
      </c>
      <c r="G264" s="949">
        <v>0.1</v>
      </c>
      <c r="H264" s="950">
        <f t="shared" si="34"/>
        <v>40000000</v>
      </c>
      <c r="I264" s="950">
        <f t="shared" si="29"/>
        <v>22000000</v>
      </c>
      <c r="J264" s="950">
        <f t="shared" si="30"/>
        <v>44000000</v>
      </c>
      <c r="K264" s="948"/>
    </row>
    <row r="265" spans="1:11" ht="78.75" outlineLevel="1">
      <c r="A265" s="968">
        <f t="shared" si="36"/>
        <v>11</v>
      </c>
      <c r="B265" s="1028" t="s">
        <v>1283</v>
      </c>
      <c r="C265" s="998" t="s">
        <v>1284</v>
      </c>
      <c r="D265" s="994" t="s">
        <v>655</v>
      </c>
      <c r="E265" s="995">
        <v>2</v>
      </c>
      <c r="F265" s="948">
        <v>15000000</v>
      </c>
      <c r="G265" s="949">
        <v>0.1</v>
      </c>
      <c r="H265" s="950">
        <f t="shared" si="34"/>
        <v>30000000</v>
      </c>
      <c r="I265" s="950">
        <f t="shared" si="29"/>
        <v>16500000</v>
      </c>
      <c r="J265" s="950">
        <f t="shared" si="30"/>
        <v>33000000</v>
      </c>
      <c r="K265" s="948"/>
    </row>
    <row r="266" spans="1:11" s="1025" customFormat="1" ht="173.25" outlineLevel="1">
      <c r="A266" s="968">
        <f t="shared" si="36"/>
        <v>12</v>
      </c>
      <c r="B266" s="998" t="s">
        <v>1285</v>
      </c>
      <c r="C266" s="963" t="s">
        <v>1024</v>
      </c>
      <c r="D266" s="961" t="s">
        <v>680</v>
      </c>
      <c r="E266" s="962">
        <v>2</v>
      </c>
      <c r="F266" s="948">
        <v>8880000</v>
      </c>
      <c r="G266" s="949">
        <v>0.1</v>
      </c>
      <c r="H266" s="950">
        <f t="shared" si="34"/>
        <v>17760000</v>
      </c>
      <c r="I266" s="950">
        <f t="shared" ref="I266:I329" si="37">+ROUND(F266*1.1,0)</f>
        <v>9768000</v>
      </c>
      <c r="J266" s="950">
        <f t="shared" ref="J266:J329" si="38">+ROUND(I266*E266,0)</f>
        <v>19536000</v>
      </c>
      <c r="K266" s="948"/>
    </row>
    <row r="267" spans="1:11" s="985" customFormat="1" ht="78.75" customHeight="1" outlineLevel="1">
      <c r="A267" s="980">
        <f t="shared" si="36"/>
        <v>13</v>
      </c>
      <c r="B267" s="978" t="s">
        <v>1069</v>
      </c>
      <c r="C267" s="979" t="s">
        <v>1286</v>
      </c>
      <c r="D267" s="977" t="s">
        <v>680</v>
      </c>
      <c r="E267" s="1005">
        <f>4*2</f>
        <v>8</v>
      </c>
      <c r="F267" s="982">
        <v>16500000</v>
      </c>
      <c r="G267" s="983">
        <v>0.1</v>
      </c>
      <c r="H267" s="984">
        <f t="shared" si="34"/>
        <v>132000000</v>
      </c>
      <c r="I267" s="984">
        <f t="shared" si="37"/>
        <v>18150000</v>
      </c>
      <c r="J267" s="984">
        <f t="shared" si="38"/>
        <v>145200000</v>
      </c>
      <c r="K267" s="982"/>
    </row>
    <row r="268" spans="1:11" ht="47.25" customHeight="1" outlineLevel="1">
      <c r="A268" s="968">
        <f t="shared" si="36"/>
        <v>14</v>
      </c>
      <c r="B268" s="944" t="s">
        <v>1034</v>
      </c>
      <c r="C268" s="966" t="s">
        <v>1035</v>
      </c>
      <c r="D268" s="994" t="s">
        <v>655</v>
      </c>
      <c r="E268" s="1026">
        <v>2</v>
      </c>
      <c r="F268" s="948">
        <v>130000</v>
      </c>
      <c r="G268" s="949">
        <v>0.1</v>
      </c>
      <c r="H268" s="950">
        <f t="shared" si="34"/>
        <v>260000</v>
      </c>
      <c r="I268" s="950">
        <f t="shared" si="37"/>
        <v>143000</v>
      </c>
      <c r="J268" s="950">
        <f t="shared" si="38"/>
        <v>286000</v>
      </c>
      <c r="K268" s="948"/>
    </row>
    <row r="269" spans="1:11" ht="15.75">
      <c r="A269" s="940">
        <v>31</v>
      </c>
      <c r="B269" s="987" t="s">
        <v>1287</v>
      </c>
      <c r="C269" s="942"/>
      <c r="D269" s="968" t="s">
        <v>1011</v>
      </c>
      <c r="E269" s="968">
        <v>2</v>
      </c>
      <c r="F269" s="948"/>
      <c r="G269" s="949"/>
      <c r="H269" s="950">
        <f t="shared" si="34"/>
        <v>0</v>
      </c>
      <c r="I269" s="950">
        <f t="shared" si="37"/>
        <v>0</v>
      </c>
      <c r="J269" s="950">
        <f t="shared" si="38"/>
        <v>0</v>
      </c>
      <c r="K269" s="948"/>
    </row>
    <row r="270" spans="1:11" ht="15.75">
      <c r="A270" s="940">
        <v>32</v>
      </c>
      <c r="B270" s="1036" t="s">
        <v>1288</v>
      </c>
      <c r="C270" s="989"/>
      <c r="D270" s="940"/>
      <c r="E270" s="962"/>
      <c r="F270" s="948"/>
      <c r="G270" s="949"/>
      <c r="H270" s="950">
        <f t="shared" si="34"/>
        <v>0</v>
      </c>
      <c r="I270" s="950">
        <f t="shared" si="37"/>
        <v>0</v>
      </c>
      <c r="J270" s="950">
        <f t="shared" si="38"/>
        <v>0</v>
      </c>
      <c r="K270" s="948"/>
    </row>
    <row r="271" spans="1:11" ht="78.75" outlineLevel="1">
      <c r="A271" s="940">
        <v>1</v>
      </c>
      <c r="B271" s="998" t="s">
        <v>1082</v>
      </c>
      <c r="C271" s="953" t="s">
        <v>1083</v>
      </c>
      <c r="D271" s="940" t="s">
        <v>627</v>
      </c>
      <c r="E271" s="962">
        <v>2</v>
      </c>
      <c r="F271" s="948">
        <v>3150000</v>
      </c>
      <c r="G271" s="949">
        <v>0.1</v>
      </c>
      <c r="H271" s="950">
        <f t="shared" si="34"/>
        <v>6300000</v>
      </c>
      <c r="I271" s="950">
        <f t="shared" si="37"/>
        <v>3465000</v>
      </c>
      <c r="J271" s="950">
        <f t="shared" si="38"/>
        <v>6930000</v>
      </c>
      <c r="K271" s="948"/>
    </row>
    <row r="272" spans="1:11" ht="94.5" customHeight="1" outlineLevel="1">
      <c r="A272" s="940">
        <f>A271+1</f>
        <v>2</v>
      </c>
      <c r="B272" s="998" t="s">
        <v>1019</v>
      </c>
      <c r="C272" s="991" t="s">
        <v>1259</v>
      </c>
      <c r="D272" s="940" t="s">
        <v>627</v>
      </c>
      <c r="E272" s="962">
        <v>2</v>
      </c>
      <c r="F272" s="948">
        <v>590000</v>
      </c>
      <c r="G272" s="949">
        <v>0.1</v>
      </c>
      <c r="H272" s="950">
        <f t="shared" si="34"/>
        <v>1180000</v>
      </c>
      <c r="I272" s="950">
        <f t="shared" si="37"/>
        <v>649000</v>
      </c>
      <c r="J272" s="950">
        <f t="shared" si="38"/>
        <v>1298000</v>
      </c>
      <c r="K272" s="948"/>
    </row>
    <row r="273" spans="1:11" ht="78.75" outlineLevel="1">
      <c r="A273" s="940">
        <f>A272+1</f>
        <v>3</v>
      </c>
      <c r="B273" s="998" t="s">
        <v>1289</v>
      </c>
      <c r="C273" s="945" t="s">
        <v>1290</v>
      </c>
      <c r="D273" s="940" t="s">
        <v>627</v>
      </c>
      <c r="E273" s="962">
        <f>23*2</f>
        <v>46</v>
      </c>
      <c r="F273" s="948">
        <v>2400000</v>
      </c>
      <c r="G273" s="949">
        <v>0.1</v>
      </c>
      <c r="H273" s="950">
        <f t="shared" si="34"/>
        <v>110400000</v>
      </c>
      <c r="I273" s="950">
        <f t="shared" si="37"/>
        <v>2640000</v>
      </c>
      <c r="J273" s="950">
        <f t="shared" si="38"/>
        <v>121440000</v>
      </c>
      <c r="K273" s="948"/>
    </row>
    <row r="274" spans="1:11" ht="63" outlineLevel="1">
      <c r="A274" s="940">
        <f>A273+1</f>
        <v>4</v>
      </c>
      <c r="B274" s="1028" t="s">
        <v>1015</v>
      </c>
      <c r="C274" s="945" t="s">
        <v>1262</v>
      </c>
      <c r="D274" s="940" t="s">
        <v>1068</v>
      </c>
      <c r="E274" s="962">
        <f>45*2</f>
        <v>90</v>
      </c>
      <c r="F274" s="948">
        <v>485000</v>
      </c>
      <c r="G274" s="949">
        <v>0.1</v>
      </c>
      <c r="H274" s="950">
        <f t="shared" si="34"/>
        <v>43650000</v>
      </c>
      <c r="I274" s="950">
        <f t="shared" si="37"/>
        <v>533500</v>
      </c>
      <c r="J274" s="950">
        <f t="shared" si="38"/>
        <v>48015000</v>
      </c>
      <c r="K274" s="948"/>
    </row>
    <row r="275" spans="1:11" ht="141.75" outlineLevel="1">
      <c r="A275" s="940">
        <f>A274+1</f>
        <v>5</v>
      </c>
      <c r="B275" s="1028" t="s">
        <v>1031</v>
      </c>
      <c r="C275" s="953" t="s">
        <v>1032</v>
      </c>
      <c r="D275" s="940" t="s">
        <v>1068</v>
      </c>
      <c r="E275" s="962">
        <v>2</v>
      </c>
      <c r="F275" s="948">
        <v>6800000</v>
      </c>
      <c r="G275" s="949">
        <v>0.05</v>
      </c>
      <c r="H275" s="950">
        <f t="shared" si="34"/>
        <v>13600000</v>
      </c>
      <c r="I275" s="950">
        <f t="shared" si="37"/>
        <v>7480000</v>
      </c>
      <c r="J275" s="950">
        <f t="shared" si="38"/>
        <v>14960000</v>
      </c>
      <c r="K275" s="982" t="s">
        <v>1291</v>
      </c>
    </row>
    <row r="276" spans="1:11" ht="47.25" customHeight="1" outlineLevel="1">
      <c r="A276" s="940">
        <f>A275+1</f>
        <v>6</v>
      </c>
      <c r="B276" s="1028" t="s">
        <v>1034</v>
      </c>
      <c r="C276" s="966" t="s">
        <v>1035</v>
      </c>
      <c r="D276" s="940" t="s">
        <v>1068</v>
      </c>
      <c r="E276" s="962">
        <v>2</v>
      </c>
      <c r="F276" s="948">
        <v>130000</v>
      </c>
      <c r="G276" s="949">
        <v>0.1</v>
      </c>
      <c r="H276" s="950">
        <f t="shared" si="34"/>
        <v>260000</v>
      </c>
      <c r="I276" s="950">
        <f t="shared" si="37"/>
        <v>143000</v>
      </c>
      <c r="J276" s="950">
        <f t="shared" si="38"/>
        <v>286000</v>
      </c>
      <c r="K276" s="982" t="s">
        <v>1291</v>
      </c>
    </row>
    <row r="277" spans="1:11" ht="14.25" customHeight="1">
      <c r="A277" s="940">
        <v>33</v>
      </c>
      <c r="B277" s="1037" t="s">
        <v>1292</v>
      </c>
      <c r="C277" s="1038"/>
      <c r="D277" s="994" t="s">
        <v>680</v>
      </c>
      <c r="E277" s="995">
        <v>2</v>
      </c>
      <c r="F277" s="948"/>
      <c r="G277" s="949"/>
      <c r="H277" s="950">
        <f t="shared" si="34"/>
        <v>0</v>
      </c>
      <c r="I277" s="950">
        <f t="shared" si="37"/>
        <v>0</v>
      </c>
      <c r="J277" s="950">
        <f t="shared" si="38"/>
        <v>0</v>
      </c>
      <c r="K277" s="982" t="s">
        <v>1291</v>
      </c>
    </row>
    <row r="278" spans="1:11" ht="405.75" customHeight="1" outlineLevel="1">
      <c r="A278" s="940">
        <v>1</v>
      </c>
      <c r="B278" s="967" t="s">
        <v>1293</v>
      </c>
      <c r="C278" s="974" t="s">
        <v>1059</v>
      </c>
      <c r="D278" s="946" t="s">
        <v>1028</v>
      </c>
      <c r="E278" s="951">
        <v>2</v>
      </c>
      <c r="F278" s="948">
        <v>15000000</v>
      </c>
      <c r="G278" s="949">
        <v>0.1</v>
      </c>
      <c r="H278" s="950">
        <f t="shared" si="34"/>
        <v>30000000</v>
      </c>
      <c r="I278" s="950">
        <f t="shared" si="37"/>
        <v>16500000</v>
      </c>
      <c r="J278" s="950">
        <f t="shared" si="38"/>
        <v>33000000</v>
      </c>
      <c r="K278" s="982" t="s">
        <v>1291</v>
      </c>
    </row>
    <row r="279" spans="1:11" ht="63" outlineLevel="1">
      <c r="A279" s="1039">
        <f>A278+1</f>
        <v>2</v>
      </c>
      <c r="B279" s="1040" t="s">
        <v>1294</v>
      </c>
      <c r="C279" s="1041" t="s">
        <v>1295</v>
      </c>
      <c r="D279" s="994" t="s">
        <v>680</v>
      </c>
      <c r="E279" s="951">
        <v>2</v>
      </c>
      <c r="F279" s="1042">
        <v>38000000</v>
      </c>
      <c r="G279" s="949">
        <v>0.1</v>
      </c>
      <c r="H279" s="950">
        <f t="shared" si="34"/>
        <v>76000000</v>
      </c>
      <c r="I279" s="950">
        <f t="shared" si="37"/>
        <v>41800000</v>
      </c>
      <c r="J279" s="950">
        <f t="shared" si="38"/>
        <v>83600000</v>
      </c>
      <c r="K279" s="982" t="s">
        <v>1291</v>
      </c>
    </row>
    <row r="280" spans="1:11" ht="94.5" customHeight="1" outlineLevel="1">
      <c r="A280" s="940">
        <v>3</v>
      </c>
      <c r="B280" s="1041" t="s">
        <v>1296</v>
      </c>
      <c r="C280" s="1043" t="s">
        <v>1297</v>
      </c>
      <c r="D280" s="961" t="s">
        <v>655</v>
      </c>
      <c r="E280" s="986">
        <v>2</v>
      </c>
      <c r="F280" s="1042">
        <v>3500000</v>
      </c>
      <c r="G280" s="949">
        <v>0.1</v>
      </c>
      <c r="H280" s="950">
        <f t="shared" si="34"/>
        <v>7000000</v>
      </c>
      <c r="I280" s="950">
        <f t="shared" si="37"/>
        <v>3850000</v>
      </c>
      <c r="J280" s="950">
        <f t="shared" si="38"/>
        <v>7700000</v>
      </c>
      <c r="K280" s="982" t="s">
        <v>1291</v>
      </c>
    </row>
    <row r="281" spans="1:11" ht="126" customHeight="1" outlineLevel="1">
      <c r="A281" s="940">
        <f t="shared" ref="A281:A289" si="39">A280+1</f>
        <v>4</v>
      </c>
      <c r="B281" s="1001" t="s">
        <v>1298</v>
      </c>
      <c r="C281" s="1044" t="s">
        <v>1299</v>
      </c>
      <c r="D281" s="961" t="s">
        <v>1300</v>
      </c>
      <c r="E281" s="986">
        <v>2</v>
      </c>
      <c r="F281" s="1042">
        <v>2500000</v>
      </c>
      <c r="G281" s="949">
        <v>0.1</v>
      </c>
      <c r="H281" s="950">
        <f t="shared" si="34"/>
        <v>5000000</v>
      </c>
      <c r="I281" s="950">
        <f t="shared" si="37"/>
        <v>2750000</v>
      </c>
      <c r="J281" s="950">
        <f t="shared" si="38"/>
        <v>5500000</v>
      </c>
      <c r="K281" s="982" t="s">
        <v>1291</v>
      </c>
    </row>
    <row r="282" spans="1:11" ht="47.25" outlineLevel="1">
      <c r="A282" s="940">
        <f t="shared" si="39"/>
        <v>5</v>
      </c>
      <c r="B282" s="967" t="s">
        <v>1301</v>
      </c>
      <c r="C282" s="1044" t="s">
        <v>1302</v>
      </c>
      <c r="D282" s="961" t="s">
        <v>627</v>
      </c>
      <c r="E282" s="986">
        <v>2</v>
      </c>
      <c r="F282" s="1042">
        <v>5000000</v>
      </c>
      <c r="G282" s="949"/>
      <c r="H282" s="950">
        <f t="shared" si="34"/>
        <v>10000000</v>
      </c>
      <c r="I282" s="950">
        <f t="shared" si="37"/>
        <v>5500000</v>
      </c>
      <c r="J282" s="950">
        <f t="shared" si="38"/>
        <v>11000000</v>
      </c>
      <c r="K282" s="982" t="s">
        <v>1291</v>
      </c>
    </row>
    <row r="283" spans="1:11" ht="95.25" customHeight="1" outlineLevel="1">
      <c r="A283" s="940">
        <f t="shared" si="39"/>
        <v>6</v>
      </c>
      <c r="B283" s="967" t="s">
        <v>1424</v>
      </c>
      <c r="C283" s="1044" t="s">
        <v>1425</v>
      </c>
      <c r="D283" s="961" t="s">
        <v>1028</v>
      </c>
      <c r="E283" s="986">
        <f>23*2</f>
        <v>46</v>
      </c>
      <c r="F283" s="1042">
        <v>450000</v>
      </c>
      <c r="G283" s="949">
        <v>0.1</v>
      </c>
      <c r="H283" s="950">
        <f t="shared" si="34"/>
        <v>20700000</v>
      </c>
      <c r="I283" s="950">
        <f t="shared" si="37"/>
        <v>495000</v>
      </c>
      <c r="J283" s="950">
        <f t="shared" si="38"/>
        <v>22770000</v>
      </c>
      <c r="K283" s="982" t="s">
        <v>1291</v>
      </c>
    </row>
    <row r="284" spans="1:11" ht="276.75" customHeight="1" outlineLevel="1">
      <c r="A284" s="940">
        <f t="shared" si="39"/>
        <v>7</v>
      </c>
      <c r="B284" s="967" t="s">
        <v>1426</v>
      </c>
      <c r="C284" s="1044" t="s">
        <v>1427</v>
      </c>
      <c r="D284" s="961" t="s">
        <v>655</v>
      </c>
      <c r="E284" s="986">
        <f>45*2</f>
        <v>90</v>
      </c>
      <c r="F284" s="1042">
        <v>1800000</v>
      </c>
      <c r="G284" s="949">
        <v>0.1</v>
      </c>
      <c r="H284" s="950">
        <f t="shared" si="34"/>
        <v>162000000</v>
      </c>
      <c r="I284" s="950">
        <f t="shared" si="37"/>
        <v>1980000</v>
      </c>
      <c r="J284" s="950">
        <f t="shared" si="38"/>
        <v>178200000</v>
      </c>
      <c r="K284" s="982" t="s">
        <v>1291</v>
      </c>
    </row>
    <row r="285" spans="1:11" ht="63" outlineLevel="1">
      <c r="A285" s="940">
        <f t="shared" si="39"/>
        <v>8</v>
      </c>
      <c r="B285" s="951" t="s">
        <v>1428</v>
      </c>
      <c r="C285" s="1044" t="s">
        <v>1429</v>
      </c>
      <c r="D285" s="1045" t="s">
        <v>680</v>
      </c>
      <c r="E285" s="1046">
        <f>46*2</f>
        <v>92</v>
      </c>
      <c r="F285" s="1042">
        <v>380000</v>
      </c>
      <c r="G285" s="949">
        <v>0.1</v>
      </c>
      <c r="H285" s="950">
        <f t="shared" si="34"/>
        <v>34960000</v>
      </c>
      <c r="I285" s="950">
        <f t="shared" si="37"/>
        <v>418000</v>
      </c>
      <c r="J285" s="950">
        <f t="shared" si="38"/>
        <v>38456000</v>
      </c>
      <c r="K285" s="982" t="s">
        <v>1291</v>
      </c>
    </row>
    <row r="286" spans="1:11" ht="31.5" outlineLevel="1">
      <c r="A286" s="940">
        <f t="shared" si="39"/>
        <v>9</v>
      </c>
      <c r="B286" s="944" t="s">
        <v>1430</v>
      </c>
      <c r="C286" s="944" t="s">
        <v>1431</v>
      </c>
      <c r="D286" s="1045" t="s">
        <v>1432</v>
      </c>
      <c r="E286" s="1046">
        <f>45*2</f>
        <v>90</v>
      </c>
      <c r="F286" s="948">
        <v>200000</v>
      </c>
      <c r="G286" s="949">
        <v>0.1</v>
      </c>
      <c r="H286" s="950">
        <f t="shared" si="34"/>
        <v>18000000</v>
      </c>
      <c r="I286" s="950">
        <f t="shared" si="37"/>
        <v>220000</v>
      </c>
      <c r="J286" s="950">
        <f t="shared" si="38"/>
        <v>19800000</v>
      </c>
      <c r="K286" s="982" t="s">
        <v>1291</v>
      </c>
    </row>
    <row r="287" spans="1:11" ht="31.5" customHeight="1" outlineLevel="1">
      <c r="A287" s="940">
        <f t="shared" si="39"/>
        <v>10</v>
      </c>
      <c r="B287" s="944" t="s">
        <v>1433</v>
      </c>
      <c r="C287" s="1043" t="s">
        <v>1434</v>
      </c>
      <c r="D287" s="961" t="s">
        <v>680</v>
      </c>
      <c r="E287" s="986">
        <v>2</v>
      </c>
      <c r="F287" s="948">
        <v>15000000</v>
      </c>
      <c r="G287" s="949">
        <v>0.1</v>
      </c>
      <c r="H287" s="950">
        <f t="shared" si="34"/>
        <v>30000000</v>
      </c>
      <c r="I287" s="950">
        <f t="shared" si="37"/>
        <v>16500000</v>
      </c>
      <c r="J287" s="950">
        <f t="shared" si="38"/>
        <v>33000000</v>
      </c>
      <c r="K287" s="982" t="s">
        <v>1291</v>
      </c>
    </row>
    <row r="288" spans="1:11" s="985" customFormat="1" ht="78.75" customHeight="1" outlineLevel="1">
      <c r="A288" s="977">
        <f t="shared" si="39"/>
        <v>11</v>
      </c>
      <c r="B288" s="1047" t="s">
        <v>1435</v>
      </c>
      <c r="C288" s="979" t="s">
        <v>1286</v>
      </c>
      <c r="D288" s="1048" t="s">
        <v>627</v>
      </c>
      <c r="E288" s="1049">
        <f>4*2</f>
        <v>8</v>
      </c>
      <c r="F288" s="982">
        <v>16500000</v>
      </c>
      <c r="G288" s="983">
        <v>0.1</v>
      </c>
      <c r="H288" s="984">
        <f t="shared" si="34"/>
        <v>132000000</v>
      </c>
      <c r="I288" s="984">
        <f t="shared" si="37"/>
        <v>18150000</v>
      </c>
      <c r="J288" s="984">
        <f t="shared" si="38"/>
        <v>145200000</v>
      </c>
      <c r="K288" s="982"/>
    </row>
    <row r="289" spans="1:11" ht="409.5" outlineLevel="1">
      <c r="A289" s="1006">
        <f t="shared" si="39"/>
        <v>12</v>
      </c>
      <c r="B289" s="1050" t="s">
        <v>1436</v>
      </c>
      <c r="C289" s="1051" t="s">
        <v>1564</v>
      </c>
      <c r="D289" s="954" t="s">
        <v>655</v>
      </c>
      <c r="E289" s="1007">
        <v>2</v>
      </c>
      <c r="F289" s="948">
        <v>93600000</v>
      </c>
      <c r="G289" s="949">
        <v>0.1</v>
      </c>
      <c r="H289" s="950">
        <f t="shared" si="34"/>
        <v>187200000</v>
      </c>
      <c r="I289" s="950">
        <f t="shared" si="37"/>
        <v>102960000</v>
      </c>
      <c r="J289" s="950">
        <f t="shared" si="38"/>
        <v>205920000</v>
      </c>
      <c r="K289" s="982" t="s">
        <v>1291</v>
      </c>
    </row>
    <row r="290" spans="1:11" ht="352.5" customHeight="1" outlineLevel="1">
      <c r="A290" s="1009"/>
      <c r="B290" s="1052"/>
      <c r="C290" s="1053" t="s">
        <v>1440</v>
      </c>
      <c r="D290" s="957"/>
      <c r="E290" s="1010"/>
      <c r="F290" s="948"/>
      <c r="G290" s="949"/>
      <c r="H290" s="950"/>
      <c r="I290" s="950">
        <f t="shared" si="37"/>
        <v>0</v>
      </c>
      <c r="J290" s="950">
        <f t="shared" si="38"/>
        <v>0</v>
      </c>
      <c r="K290" s="982"/>
    </row>
    <row r="291" spans="1:11" ht="15.75" hidden="1" customHeight="1" outlineLevel="1">
      <c r="A291" s="1054" t="s">
        <v>1565</v>
      </c>
      <c r="B291" s="1055"/>
      <c r="C291" s="1055"/>
      <c r="D291" s="1055"/>
      <c r="E291" s="1055"/>
      <c r="F291" s="1055"/>
      <c r="G291" s="1055"/>
      <c r="H291" s="1055"/>
      <c r="I291" s="950">
        <f t="shared" si="37"/>
        <v>0</v>
      </c>
      <c r="J291" s="950">
        <f t="shared" si="38"/>
        <v>0</v>
      </c>
      <c r="K291" s="948"/>
    </row>
    <row r="292" spans="1:11" ht="15.75" hidden="1" customHeight="1" outlineLevel="1">
      <c r="A292" s="1056" t="s">
        <v>1307</v>
      </c>
      <c r="B292" s="1057"/>
      <c r="C292" s="1057"/>
      <c r="D292" s="1057"/>
      <c r="E292" s="1057"/>
      <c r="F292" s="1057"/>
      <c r="G292" s="1057"/>
      <c r="H292" s="1057"/>
      <c r="I292" s="950">
        <f t="shared" si="37"/>
        <v>0</v>
      </c>
      <c r="J292" s="950">
        <f t="shared" si="38"/>
        <v>0</v>
      </c>
      <c r="K292" s="948"/>
    </row>
    <row r="293" spans="1:11" ht="15.75" hidden="1" customHeight="1" outlineLevel="1">
      <c r="A293" s="940"/>
      <c r="B293" s="998"/>
      <c r="C293" s="1058" t="s">
        <v>1566</v>
      </c>
      <c r="D293" s="961"/>
      <c r="E293" s="986"/>
      <c r="F293" s="948"/>
      <c r="G293" s="949"/>
      <c r="H293" s="950">
        <f t="shared" ref="H293:H356" si="40">E293*F293</f>
        <v>0</v>
      </c>
      <c r="I293" s="950">
        <f t="shared" si="37"/>
        <v>0</v>
      </c>
      <c r="J293" s="950">
        <f t="shared" si="38"/>
        <v>0</v>
      </c>
      <c r="K293" s="948"/>
    </row>
    <row r="294" spans="1:11" ht="15.75" hidden="1" customHeight="1" outlineLevel="1">
      <c r="A294" s="940"/>
      <c r="B294" s="998"/>
      <c r="C294" s="1059" t="s">
        <v>1567</v>
      </c>
      <c r="D294" s="961"/>
      <c r="E294" s="986"/>
      <c r="F294" s="948"/>
      <c r="G294" s="949"/>
      <c r="H294" s="950">
        <f t="shared" si="40"/>
        <v>0</v>
      </c>
      <c r="I294" s="950">
        <f t="shared" si="37"/>
        <v>0</v>
      </c>
      <c r="J294" s="950">
        <f t="shared" si="38"/>
        <v>0</v>
      </c>
      <c r="K294" s="948"/>
    </row>
    <row r="295" spans="1:11" ht="15.75" hidden="1" customHeight="1" outlineLevel="1">
      <c r="A295" s="940"/>
      <c r="B295" s="998"/>
      <c r="C295" s="1059" t="s">
        <v>1568</v>
      </c>
      <c r="D295" s="961"/>
      <c r="E295" s="986"/>
      <c r="F295" s="948"/>
      <c r="G295" s="949"/>
      <c r="H295" s="950">
        <f t="shared" si="40"/>
        <v>0</v>
      </c>
      <c r="I295" s="950">
        <f t="shared" si="37"/>
        <v>0</v>
      </c>
      <c r="J295" s="950">
        <f t="shared" si="38"/>
        <v>0</v>
      </c>
      <c r="K295" s="948"/>
    </row>
    <row r="296" spans="1:11" ht="47.25" hidden="1" customHeight="1" outlineLevel="1">
      <c r="A296" s="940"/>
      <c r="B296" s="998"/>
      <c r="C296" s="1060" t="s">
        <v>1569</v>
      </c>
      <c r="D296" s="961"/>
      <c r="E296" s="986"/>
      <c r="F296" s="948"/>
      <c r="G296" s="949"/>
      <c r="H296" s="950">
        <f t="shared" si="40"/>
        <v>0</v>
      </c>
      <c r="I296" s="950">
        <f t="shared" si="37"/>
        <v>0</v>
      </c>
      <c r="J296" s="950">
        <f t="shared" si="38"/>
        <v>0</v>
      </c>
      <c r="K296" s="948"/>
    </row>
    <row r="297" spans="1:11" ht="31.5" hidden="1" customHeight="1" outlineLevel="1">
      <c r="A297" s="940"/>
      <c r="B297" s="998"/>
      <c r="C297" s="1061" t="s">
        <v>1570</v>
      </c>
      <c r="D297" s="961"/>
      <c r="E297" s="986"/>
      <c r="F297" s="948"/>
      <c r="G297" s="949"/>
      <c r="H297" s="950">
        <f t="shared" si="40"/>
        <v>0</v>
      </c>
      <c r="I297" s="950">
        <f t="shared" si="37"/>
        <v>0</v>
      </c>
      <c r="J297" s="950">
        <f t="shared" si="38"/>
        <v>0</v>
      </c>
      <c r="K297" s="948"/>
    </row>
    <row r="298" spans="1:11" ht="94.5" hidden="1" customHeight="1" outlineLevel="1">
      <c r="A298" s="940"/>
      <c r="B298" s="998"/>
      <c r="C298" s="1062" t="s">
        <v>1571</v>
      </c>
      <c r="D298" s="961"/>
      <c r="E298" s="986"/>
      <c r="F298" s="948"/>
      <c r="G298" s="949"/>
      <c r="H298" s="950">
        <f t="shared" si="40"/>
        <v>0</v>
      </c>
      <c r="I298" s="950">
        <f t="shared" si="37"/>
        <v>0</v>
      </c>
      <c r="J298" s="950">
        <f t="shared" si="38"/>
        <v>0</v>
      </c>
      <c r="K298" s="948"/>
    </row>
    <row r="299" spans="1:11" ht="15.75" hidden="1" customHeight="1" outlineLevel="1">
      <c r="A299" s="940"/>
      <c r="B299" s="998"/>
      <c r="C299" s="1063" t="s">
        <v>1572</v>
      </c>
      <c r="D299" s="961"/>
      <c r="E299" s="986"/>
      <c r="F299" s="948"/>
      <c r="G299" s="949"/>
      <c r="H299" s="950">
        <f t="shared" si="40"/>
        <v>0</v>
      </c>
      <c r="I299" s="950">
        <f t="shared" si="37"/>
        <v>0</v>
      </c>
      <c r="J299" s="950">
        <f t="shared" si="38"/>
        <v>0</v>
      </c>
      <c r="K299" s="948"/>
    </row>
    <row r="300" spans="1:11" ht="31.5" hidden="1" customHeight="1" outlineLevel="1">
      <c r="A300" s="940"/>
      <c r="B300" s="998"/>
      <c r="C300" s="1062" t="s">
        <v>1573</v>
      </c>
      <c r="D300" s="961"/>
      <c r="E300" s="986"/>
      <c r="F300" s="948"/>
      <c r="G300" s="949"/>
      <c r="H300" s="950">
        <f t="shared" si="40"/>
        <v>0</v>
      </c>
      <c r="I300" s="950">
        <f t="shared" si="37"/>
        <v>0</v>
      </c>
      <c r="J300" s="950">
        <f t="shared" si="38"/>
        <v>0</v>
      </c>
      <c r="K300" s="948"/>
    </row>
    <row r="301" spans="1:11" ht="15.75" hidden="1" customHeight="1" outlineLevel="1">
      <c r="A301" s="940"/>
      <c r="B301" s="998"/>
      <c r="C301" s="1063" t="s">
        <v>1574</v>
      </c>
      <c r="D301" s="961"/>
      <c r="E301" s="986"/>
      <c r="F301" s="948"/>
      <c r="G301" s="949"/>
      <c r="H301" s="950">
        <f t="shared" si="40"/>
        <v>0</v>
      </c>
      <c r="I301" s="950">
        <f t="shared" si="37"/>
        <v>0</v>
      </c>
      <c r="J301" s="950">
        <f t="shared" si="38"/>
        <v>0</v>
      </c>
      <c r="K301" s="948"/>
    </row>
    <row r="302" spans="1:11" ht="47.25" hidden="1" customHeight="1" outlineLevel="1">
      <c r="A302" s="940"/>
      <c r="B302" s="998"/>
      <c r="C302" s="1062" t="s">
        <v>1308</v>
      </c>
      <c r="D302" s="961"/>
      <c r="E302" s="986"/>
      <c r="F302" s="948"/>
      <c r="G302" s="949"/>
      <c r="H302" s="950">
        <f t="shared" si="40"/>
        <v>0</v>
      </c>
      <c r="I302" s="950">
        <f t="shared" si="37"/>
        <v>0</v>
      </c>
      <c r="J302" s="950">
        <f t="shared" si="38"/>
        <v>0</v>
      </c>
      <c r="K302" s="948"/>
    </row>
    <row r="303" spans="1:11" ht="47.25" hidden="1" customHeight="1" outlineLevel="1">
      <c r="A303" s="940"/>
      <c r="B303" s="998"/>
      <c r="C303" s="1062" t="s">
        <v>1309</v>
      </c>
      <c r="D303" s="961"/>
      <c r="E303" s="986"/>
      <c r="F303" s="948"/>
      <c r="G303" s="949"/>
      <c r="H303" s="950">
        <f t="shared" si="40"/>
        <v>0</v>
      </c>
      <c r="I303" s="950">
        <f t="shared" si="37"/>
        <v>0</v>
      </c>
      <c r="J303" s="950">
        <f t="shared" si="38"/>
        <v>0</v>
      </c>
      <c r="K303" s="948"/>
    </row>
    <row r="304" spans="1:11" ht="47.25" hidden="1" customHeight="1" outlineLevel="1">
      <c r="A304" s="940"/>
      <c r="B304" s="998"/>
      <c r="C304" s="1061" t="s">
        <v>1575</v>
      </c>
      <c r="D304" s="961"/>
      <c r="E304" s="986"/>
      <c r="F304" s="948"/>
      <c r="G304" s="949"/>
      <c r="H304" s="950">
        <f t="shared" si="40"/>
        <v>0</v>
      </c>
      <c r="I304" s="950">
        <f t="shared" si="37"/>
        <v>0</v>
      </c>
      <c r="J304" s="950">
        <f t="shared" si="38"/>
        <v>0</v>
      </c>
      <c r="K304" s="948"/>
    </row>
    <row r="305" spans="1:11" ht="15.75" hidden="1" customHeight="1" outlineLevel="1">
      <c r="A305" s="940"/>
      <c r="B305" s="998"/>
      <c r="C305" s="1064" t="s">
        <v>1576</v>
      </c>
      <c r="D305" s="961"/>
      <c r="E305" s="986"/>
      <c r="F305" s="948"/>
      <c r="G305" s="949"/>
      <c r="H305" s="950">
        <f t="shared" si="40"/>
        <v>0</v>
      </c>
      <c r="I305" s="950">
        <f t="shared" si="37"/>
        <v>0</v>
      </c>
      <c r="J305" s="950">
        <f t="shared" si="38"/>
        <v>0</v>
      </c>
      <c r="K305" s="948"/>
    </row>
    <row r="306" spans="1:11" ht="15.75" hidden="1" customHeight="1" outlineLevel="1">
      <c r="A306" s="940"/>
      <c r="B306" s="998"/>
      <c r="C306" s="1065" t="s">
        <v>1577</v>
      </c>
      <c r="D306" s="961"/>
      <c r="E306" s="986"/>
      <c r="F306" s="948"/>
      <c r="G306" s="949"/>
      <c r="H306" s="950">
        <f t="shared" si="40"/>
        <v>0</v>
      </c>
      <c r="I306" s="950">
        <f t="shared" si="37"/>
        <v>0</v>
      </c>
      <c r="J306" s="950">
        <f t="shared" si="38"/>
        <v>0</v>
      </c>
      <c r="K306" s="948"/>
    </row>
    <row r="307" spans="1:11" ht="31.5" hidden="1" customHeight="1" outlineLevel="1">
      <c r="A307" s="940"/>
      <c r="B307" s="998"/>
      <c r="C307" s="1062" t="s">
        <v>1578</v>
      </c>
      <c r="D307" s="961"/>
      <c r="E307" s="986"/>
      <c r="F307" s="948"/>
      <c r="G307" s="949"/>
      <c r="H307" s="950">
        <f t="shared" si="40"/>
        <v>0</v>
      </c>
      <c r="I307" s="950">
        <f t="shared" si="37"/>
        <v>0</v>
      </c>
      <c r="J307" s="950">
        <f t="shared" si="38"/>
        <v>0</v>
      </c>
      <c r="K307" s="948"/>
    </row>
    <row r="308" spans="1:11" ht="31.5" hidden="1" customHeight="1" outlineLevel="1">
      <c r="A308" s="940"/>
      <c r="B308" s="998"/>
      <c r="C308" s="1062" t="s">
        <v>1579</v>
      </c>
      <c r="D308" s="961"/>
      <c r="E308" s="986"/>
      <c r="F308" s="948"/>
      <c r="G308" s="949"/>
      <c r="H308" s="950">
        <f t="shared" si="40"/>
        <v>0</v>
      </c>
      <c r="I308" s="950">
        <f t="shared" si="37"/>
        <v>0</v>
      </c>
      <c r="J308" s="950">
        <f t="shared" si="38"/>
        <v>0</v>
      </c>
      <c r="K308" s="948"/>
    </row>
    <row r="309" spans="1:11" ht="47.25" hidden="1" customHeight="1" outlineLevel="1">
      <c r="A309" s="940"/>
      <c r="B309" s="998"/>
      <c r="C309" s="1062" t="s">
        <v>1580</v>
      </c>
      <c r="D309" s="961"/>
      <c r="E309" s="986"/>
      <c r="F309" s="948"/>
      <c r="G309" s="949"/>
      <c r="H309" s="950">
        <f t="shared" si="40"/>
        <v>0</v>
      </c>
      <c r="I309" s="950">
        <f t="shared" si="37"/>
        <v>0</v>
      </c>
      <c r="J309" s="950">
        <f t="shared" si="38"/>
        <v>0</v>
      </c>
      <c r="K309" s="948"/>
    </row>
    <row r="310" spans="1:11" ht="15.75" hidden="1" customHeight="1" outlineLevel="1">
      <c r="A310" s="940"/>
      <c r="B310" s="998"/>
      <c r="C310" s="1062" t="s">
        <v>1581</v>
      </c>
      <c r="D310" s="961"/>
      <c r="E310" s="986"/>
      <c r="F310" s="948"/>
      <c r="G310" s="949"/>
      <c r="H310" s="950">
        <f t="shared" si="40"/>
        <v>0</v>
      </c>
      <c r="I310" s="950">
        <f t="shared" si="37"/>
        <v>0</v>
      </c>
      <c r="J310" s="950">
        <f t="shared" si="38"/>
        <v>0</v>
      </c>
      <c r="K310" s="948"/>
    </row>
    <row r="311" spans="1:11" ht="31.5" hidden="1" customHeight="1" outlineLevel="1">
      <c r="A311" s="940"/>
      <c r="B311" s="998"/>
      <c r="C311" s="1062" t="s">
        <v>1582</v>
      </c>
      <c r="D311" s="961"/>
      <c r="E311" s="986"/>
      <c r="F311" s="948"/>
      <c r="G311" s="949"/>
      <c r="H311" s="950">
        <f t="shared" si="40"/>
        <v>0</v>
      </c>
      <c r="I311" s="950">
        <f t="shared" si="37"/>
        <v>0</v>
      </c>
      <c r="J311" s="950">
        <f t="shared" si="38"/>
        <v>0</v>
      </c>
      <c r="K311" s="948"/>
    </row>
    <row r="312" spans="1:11" ht="31.5" hidden="1" customHeight="1" outlineLevel="1">
      <c r="A312" s="940"/>
      <c r="B312" s="998"/>
      <c r="C312" s="1062" t="s">
        <v>1583</v>
      </c>
      <c r="D312" s="961"/>
      <c r="E312" s="986"/>
      <c r="F312" s="948"/>
      <c r="G312" s="949"/>
      <c r="H312" s="950">
        <f t="shared" si="40"/>
        <v>0</v>
      </c>
      <c r="I312" s="950">
        <f t="shared" si="37"/>
        <v>0</v>
      </c>
      <c r="J312" s="950">
        <f t="shared" si="38"/>
        <v>0</v>
      </c>
      <c r="K312" s="948"/>
    </row>
    <row r="313" spans="1:11" ht="63" hidden="1" customHeight="1" outlineLevel="1">
      <c r="A313" s="940"/>
      <c r="B313" s="998"/>
      <c r="C313" s="1062" t="s">
        <v>1584</v>
      </c>
      <c r="D313" s="961"/>
      <c r="E313" s="986"/>
      <c r="F313" s="948"/>
      <c r="G313" s="949"/>
      <c r="H313" s="950">
        <f t="shared" si="40"/>
        <v>0</v>
      </c>
      <c r="I313" s="950">
        <f t="shared" si="37"/>
        <v>0</v>
      </c>
      <c r="J313" s="950">
        <f t="shared" si="38"/>
        <v>0</v>
      </c>
      <c r="K313" s="948"/>
    </row>
    <row r="314" spans="1:11" ht="47.25" hidden="1" customHeight="1" outlineLevel="1">
      <c r="A314" s="940"/>
      <c r="B314" s="998"/>
      <c r="C314" s="1062" t="s">
        <v>1585</v>
      </c>
      <c r="D314" s="961"/>
      <c r="E314" s="986"/>
      <c r="F314" s="948"/>
      <c r="G314" s="949"/>
      <c r="H314" s="950">
        <f t="shared" si="40"/>
        <v>0</v>
      </c>
      <c r="I314" s="950">
        <f t="shared" si="37"/>
        <v>0</v>
      </c>
      <c r="J314" s="950">
        <f t="shared" si="38"/>
        <v>0</v>
      </c>
      <c r="K314" s="948"/>
    </row>
    <row r="315" spans="1:11" ht="15.75" hidden="1" customHeight="1" outlineLevel="1">
      <c r="A315" s="940"/>
      <c r="B315" s="998"/>
      <c r="C315" s="1065" t="s">
        <v>1314</v>
      </c>
      <c r="D315" s="961"/>
      <c r="E315" s="986"/>
      <c r="F315" s="948"/>
      <c r="G315" s="949"/>
      <c r="H315" s="950">
        <f t="shared" si="40"/>
        <v>0</v>
      </c>
      <c r="I315" s="950">
        <f t="shared" si="37"/>
        <v>0</v>
      </c>
      <c r="J315" s="950">
        <f t="shared" si="38"/>
        <v>0</v>
      </c>
      <c r="K315" s="948"/>
    </row>
    <row r="316" spans="1:11" ht="47.25" hidden="1" customHeight="1" outlineLevel="1">
      <c r="A316" s="940"/>
      <c r="B316" s="998"/>
      <c r="C316" s="1062" t="s">
        <v>1586</v>
      </c>
      <c r="D316" s="961"/>
      <c r="E316" s="986"/>
      <c r="F316" s="948"/>
      <c r="G316" s="949"/>
      <c r="H316" s="950">
        <f t="shared" si="40"/>
        <v>0</v>
      </c>
      <c r="I316" s="950">
        <f t="shared" si="37"/>
        <v>0</v>
      </c>
      <c r="J316" s="950">
        <f t="shared" si="38"/>
        <v>0</v>
      </c>
      <c r="K316" s="948"/>
    </row>
    <row r="317" spans="1:11" ht="31.5" hidden="1" customHeight="1" outlineLevel="1">
      <c r="A317" s="940"/>
      <c r="B317" s="998"/>
      <c r="C317" s="1062" t="s">
        <v>1587</v>
      </c>
      <c r="D317" s="961"/>
      <c r="E317" s="986"/>
      <c r="F317" s="948"/>
      <c r="G317" s="949"/>
      <c r="H317" s="950">
        <f t="shared" si="40"/>
        <v>0</v>
      </c>
      <c r="I317" s="950">
        <f t="shared" si="37"/>
        <v>0</v>
      </c>
      <c r="J317" s="950">
        <f t="shared" si="38"/>
        <v>0</v>
      </c>
      <c r="K317" s="948"/>
    </row>
    <row r="318" spans="1:11" ht="15.75" hidden="1" customHeight="1" outlineLevel="1">
      <c r="A318" s="940"/>
      <c r="B318" s="998"/>
      <c r="C318" s="1065" t="s">
        <v>1315</v>
      </c>
      <c r="D318" s="961"/>
      <c r="E318" s="986"/>
      <c r="F318" s="948"/>
      <c r="G318" s="949"/>
      <c r="H318" s="950">
        <f t="shared" si="40"/>
        <v>0</v>
      </c>
      <c r="I318" s="950">
        <f t="shared" si="37"/>
        <v>0</v>
      </c>
      <c r="J318" s="950">
        <f t="shared" si="38"/>
        <v>0</v>
      </c>
      <c r="K318" s="948"/>
    </row>
    <row r="319" spans="1:11" ht="47.25" hidden="1" customHeight="1" outlineLevel="1">
      <c r="A319" s="940"/>
      <c r="B319" s="998"/>
      <c r="C319" s="1062" t="s">
        <v>1588</v>
      </c>
      <c r="D319" s="961"/>
      <c r="E319" s="986"/>
      <c r="F319" s="948"/>
      <c r="G319" s="949"/>
      <c r="H319" s="950">
        <f t="shared" si="40"/>
        <v>0</v>
      </c>
      <c r="I319" s="950">
        <f t="shared" si="37"/>
        <v>0</v>
      </c>
      <c r="J319" s="950">
        <f t="shared" si="38"/>
        <v>0</v>
      </c>
      <c r="K319" s="948"/>
    </row>
    <row r="320" spans="1:11" ht="15.75" hidden="1" customHeight="1" outlineLevel="1">
      <c r="A320" s="940"/>
      <c r="B320" s="998"/>
      <c r="C320" s="1065" t="s">
        <v>1316</v>
      </c>
      <c r="D320" s="961"/>
      <c r="E320" s="986"/>
      <c r="F320" s="948"/>
      <c r="G320" s="949"/>
      <c r="H320" s="950">
        <f t="shared" si="40"/>
        <v>0</v>
      </c>
      <c r="I320" s="950">
        <f t="shared" si="37"/>
        <v>0</v>
      </c>
      <c r="J320" s="950">
        <f t="shared" si="38"/>
        <v>0</v>
      </c>
      <c r="K320" s="948"/>
    </row>
    <row r="321" spans="1:11" ht="47.25" hidden="1" customHeight="1" outlineLevel="1">
      <c r="A321" s="940"/>
      <c r="B321" s="998"/>
      <c r="C321" s="1062" t="s">
        <v>1589</v>
      </c>
      <c r="D321" s="961"/>
      <c r="E321" s="986"/>
      <c r="F321" s="948"/>
      <c r="G321" s="949"/>
      <c r="H321" s="950">
        <f t="shared" si="40"/>
        <v>0</v>
      </c>
      <c r="I321" s="950">
        <f t="shared" si="37"/>
        <v>0</v>
      </c>
      <c r="J321" s="950">
        <f t="shared" si="38"/>
        <v>0</v>
      </c>
      <c r="K321" s="948"/>
    </row>
    <row r="322" spans="1:11" ht="31.5" hidden="1" customHeight="1" outlineLevel="1">
      <c r="A322" s="940"/>
      <c r="B322" s="998"/>
      <c r="C322" s="1062" t="s">
        <v>1590</v>
      </c>
      <c r="D322" s="961"/>
      <c r="E322" s="986"/>
      <c r="F322" s="948"/>
      <c r="G322" s="949"/>
      <c r="H322" s="950">
        <f t="shared" si="40"/>
        <v>0</v>
      </c>
      <c r="I322" s="950">
        <f t="shared" si="37"/>
        <v>0</v>
      </c>
      <c r="J322" s="950">
        <f t="shared" si="38"/>
        <v>0</v>
      </c>
      <c r="K322" s="948"/>
    </row>
    <row r="323" spans="1:11" ht="31.5" hidden="1" customHeight="1" outlineLevel="1">
      <c r="A323" s="940"/>
      <c r="B323" s="998"/>
      <c r="C323" s="1062" t="s">
        <v>1591</v>
      </c>
      <c r="D323" s="961"/>
      <c r="E323" s="986"/>
      <c r="F323" s="948"/>
      <c r="G323" s="949"/>
      <c r="H323" s="950">
        <f t="shared" si="40"/>
        <v>0</v>
      </c>
      <c r="I323" s="950">
        <f t="shared" si="37"/>
        <v>0</v>
      </c>
      <c r="J323" s="950">
        <f t="shared" si="38"/>
        <v>0</v>
      </c>
      <c r="K323" s="948"/>
    </row>
    <row r="324" spans="1:11" ht="15.75" hidden="1" customHeight="1" outlineLevel="1">
      <c r="A324" s="940"/>
      <c r="B324" s="998"/>
      <c r="C324" s="1062" t="s">
        <v>1592</v>
      </c>
      <c r="D324" s="961"/>
      <c r="E324" s="986"/>
      <c r="F324" s="948"/>
      <c r="G324" s="949"/>
      <c r="H324" s="950">
        <f t="shared" si="40"/>
        <v>0</v>
      </c>
      <c r="I324" s="950">
        <f t="shared" si="37"/>
        <v>0</v>
      </c>
      <c r="J324" s="950">
        <f t="shared" si="38"/>
        <v>0</v>
      </c>
      <c r="K324" s="948"/>
    </row>
    <row r="325" spans="1:11" ht="15.75" hidden="1" customHeight="1" outlineLevel="1">
      <c r="A325" s="940"/>
      <c r="B325" s="998"/>
      <c r="C325" s="1065" t="s">
        <v>1317</v>
      </c>
      <c r="D325" s="961"/>
      <c r="E325" s="986"/>
      <c r="F325" s="948"/>
      <c r="G325" s="949"/>
      <c r="H325" s="950">
        <f t="shared" si="40"/>
        <v>0</v>
      </c>
      <c r="I325" s="950">
        <f t="shared" si="37"/>
        <v>0</v>
      </c>
      <c r="J325" s="950">
        <f t="shared" si="38"/>
        <v>0</v>
      </c>
      <c r="K325" s="948"/>
    </row>
    <row r="326" spans="1:11" ht="15.75" hidden="1" customHeight="1" outlineLevel="1">
      <c r="A326" s="940"/>
      <c r="B326" s="998"/>
      <c r="C326" s="1062" t="s">
        <v>1593</v>
      </c>
      <c r="D326" s="961"/>
      <c r="E326" s="986"/>
      <c r="F326" s="948"/>
      <c r="G326" s="949"/>
      <c r="H326" s="950">
        <f t="shared" si="40"/>
        <v>0</v>
      </c>
      <c r="I326" s="950">
        <f t="shared" si="37"/>
        <v>0</v>
      </c>
      <c r="J326" s="950">
        <f t="shared" si="38"/>
        <v>0</v>
      </c>
      <c r="K326" s="948"/>
    </row>
    <row r="327" spans="1:11" ht="15.75" hidden="1" customHeight="1" outlineLevel="1">
      <c r="A327" s="940"/>
      <c r="B327" s="998"/>
      <c r="C327" s="1062" t="s">
        <v>1594</v>
      </c>
      <c r="D327" s="961"/>
      <c r="E327" s="986"/>
      <c r="F327" s="948"/>
      <c r="G327" s="949"/>
      <c r="H327" s="950">
        <f t="shared" si="40"/>
        <v>0</v>
      </c>
      <c r="I327" s="950">
        <f t="shared" si="37"/>
        <v>0</v>
      </c>
      <c r="J327" s="950">
        <f t="shared" si="38"/>
        <v>0</v>
      </c>
      <c r="K327" s="948"/>
    </row>
    <row r="328" spans="1:11" ht="15.75" hidden="1" customHeight="1" outlineLevel="1">
      <c r="A328" s="940"/>
      <c r="B328" s="998"/>
      <c r="C328" s="1062" t="s">
        <v>1595</v>
      </c>
      <c r="D328" s="961"/>
      <c r="E328" s="986"/>
      <c r="F328" s="948"/>
      <c r="G328" s="949"/>
      <c r="H328" s="950">
        <f t="shared" si="40"/>
        <v>0</v>
      </c>
      <c r="I328" s="950">
        <f t="shared" si="37"/>
        <v>0</v>
      </c>
      <c r="J328" s="950">
        <f t="shared" si="38"/>
        <v>0</v>
      </c>
      <c r="K328" s="948"/>
    </row>
    <row r="329" spans="1:11" ht="15.75" hidden="1" customHeight="1" outlineLevel="1">
      <c r="A329" s="940"/>
      <c r="B329" s="998"/>
      <c r="C329" s="1062" t="s">
        <v>1596</v>
      </c>
      <c r="D329" s="961"/>
      <c r="E329" s="986"/>
      <c r="F329" s="948"/>
      <c r="G329" s="949"/>
      <c r="H329" s="950">
        <f t="shared" si="40"/>
        <v>0</v>
      </c>
      <c r="I329" s="950">
        <f t="shared" si="37"/>
        <v>0</v>
      </c>
      <c r="J329" s="950">
        <f t="shared" si="38"/>
        <v>0</v>
      </c>
      <c r="K329" s="948"/>
    </row>
    <row r="330" spans="1:11" ht="15.75" hidden="1" customHeight="1" outlineLevel="1">
      <c r="A330" s="940"/>
      <c r="B330" s="998"/>
      <c r="C330" s="1062" t="s">
        <v>1597</v>
      </c>
      <c r="D330" s="961"/>
      <c r="E330" s="986"/>
      <c r="F330" s="948"/>
      <c r="G330" s="949"/>
      <c r="H330" s="950">
        <f t="shared" si="40"/>
        <v>0</v>
      </c>
      <c r="I330" s="950">
        <f t="shared" ref="I330:I393" si="41">+ROUND(F330*1.1,0)</f>
        <v>0</v>
      </c>
      <c r="J330" s="950">
        <f t="shared" ref="J330:J393" si="42">+ROUND(I330*E330,0)</f>
        <v>0</v>
      </c>
      <c r="K330" s="948"/>
    </row>
    <row r="331" spans="1:11" ht="15.75" hidden="1" customHeight="1" outlineLevel="1">
      <c r="A331" s="940"/>
      <c r="B331" s="998"/>
      <c r="C331" s="1065" t="s">
        <v>1318</v>
      </c>
      <c r="D331" s="961"/>
      <c r="E331" s="986"/>
      <c r="F331" s="948"/>
      <c r="G331" s="949"/>
      <c r="H331" s="950">
        <f t="shared" si="40"/>
        <v>0</v>
      </c>
      <c r="I331" s="950">
        <f t="shared" si="41"/>
        <v>0</v>
      </c>
      <c r="J331" s="950">
        <f t="shared" si="42"/>
        <v>0</v>
      </c>
      <c r="K331" s="948"/>
    </row>
    <row r="332" spans="1:11" ht="15.75" hidden="1" customHeight="1" outlineLevel="1">
      <c r="A332" s="940"/>
      <c r="B332" s="998"/>
      <c r="C332" s="1062" t="s">
        <v>1598</v>
      </c>
      <c r="D332" s="961"/>
      <c r="E332" s="986"/>
      <c r="F332" s="948"/>
      <c r="G332" s="949"/>
      <c r="H332" s="950">
        <f t="shared" si="40"/>
        <v>0</v>
      </c>
      <c r="I332" s="950">
        <f t="shared" si="41"/>
        <v>0</v>
      </c>
      <c r="J332" s="950">
        <f t="shared" si="42"/>
        <v>0</v>
      </c>
      <c r="K332" s="948"/>
    </row>
    <row r="333" spans="1:11" ht="15.75" hidden="1" customHeight="1" outlineLevel="1">
      <c r="A333" s="940"/>
      <c r="B333" s="998"/>
      <c r="C333" s="1062" t="s">
        <v>1599</v>
      </c>
      <c r="D333" s="961"/>
      <c r="E333" s="986"/>
      <c r="F333" s="948"/>
      <c r="G333" s="949"/>
      <c r="H333" s="950">
        <f t="shared" si="40"/>
        <v>0</v>
      </c>
      <c r="I333" s="950">
        <f t="shared" si="41"/>
        <v>0</v>
      </c>
      <c r="J333" s="950">
        <f t="shared" si="42"/>
        <v>0</v>
      </c>
      <c r="K333" s="948"/>
    </row>
    <row r="334" spans="1:11" ht="15.75" hidden="1" customHeight="1" outlineLevel="1">
      <c r="A334" s="940"/>
      <c r="B334" s="998"/>
      <c r="C334" s="1062" t="s">
        <v>1600</v>
      </c>
      <c r="D334" s="961"/>
      <c r="E334" s="986"/>
      <c r="F334" s="948"/>
      <c r="G334" s="949"/>
      <c r="H334" s="950">
        <f t="shared" si="40"/>
        <v>0</v>
      </c>
      <c r="I334" s="950">
        <f t="shared" si="41"/>
        <v>0</v>
      </c>
      <c r="J334" s="950">
        <f t="shared" si="42"/>
        <v>0</v>
      </c>
      <c r="K334" s="948"/>
    </row>
    <row r="335" spans="1:11" ht="15.75" hidden="1" customHeight="1" outlineLevel="1">
      <c r="A335" s="940"/>
      <c r="B335" s="998"/>
      <c r="C335" s="1062" t="s">
        <v>1601</v>
      </c>
      <c r="D335" s="961"/>
      <c r="E335" s="986"/>
      <c r="F335" s="948"/>
      <c r="G335" s="949"/>
      <c r="H335" s="950">
        <f t="shared" si="40"/>
        <v>0</v>
      </c>
      <c r="I335" s="950">
        <f t="shared" si="41"/>
        <v>0</v>
      </c>
      <c r="J335" s="950">
        <f t="shared" si="42"/>
        <v>0</v>
      </c>
      <c r="K335" s="948"/>
    </row>
    <row r="336" spans="1:11" ht="15.75" hidden="1" customHeight="1" outlineLevel="1">
      <c r="A336" s="940"/>
      <c r="B336" s="998"/>
      <c r="C336" s="1062" t="s">
        <v>1602</v>
      </c>
      <c r="D336" s="961"/>
      <c r="E336" s="986"/>
      <c r="F336" s="948"/>
      <c r="G336" s="949"/>
      <c r="H336" s="950">
        <f t="shared" si="40"/>
        <v>0</v>
      </c>
      <c r="I336" s="950">
        <f t="shared" si="41"/>
        <v>0</v>
      </c>
      <c r="J336" s="950">
        <f t="shared" si="42"/>
        <v>0</v>
      </c>
      <c r="K336" s="948"/>
    </row>
    <row r="337" spans="1:11" ht="15.75" hidden="1" customHeight="1" outlineLevel="1">
      <c r="A337" s="940"/>
      <c r="B337" s="998"/>
      <c r="C337" s="1062" t="s">
        <v>1603</v>
      </c>
      <c r="D337" s="961"/>
      <c r="E337" s="986"/>
      <c r="F337" s="948"/>
      <c r="G337" s="949"/>
      <c r="H337" s="950">
        <f t="shared" si="40"/>
        <v>0</v>
      </c>
      <c r="I337" s="950">
        <f t="shared" si="41"/>
        <v>0</v>
      </c>
      <c r="J337" s="950">
        <f t="shared" si="42"/>
        <v>0</v>
      </c>
      <c r="K337" s="948"/>
    </row>
    <row r="338" spans="1:11" ht="15.75" hidden="1" customHeight="1" outlineLevel="1">
      <c r="A338" s="940"/>
      <c r="B338" s="998"/>
      <c r="C338" s="1062" t="s">
        <v>1604</v>
      </c>
      <c r="D338" s="961"/>
      <c r="E338" s="986"/>
      <c r="F338" s="948"/>
      <c r="G338" s="949"/>
      <c r="H338" s="950">
        <f t="shared" si="40"/>
        <v>0</v>
      </c>
      <c r="I338" s="950">
        <f t="shared" si="41"/>
        <v>0</v>
      </c>
      <c r="J338" s="950">
        <f t="shared" si="42"/>
        <v>0</v>
      </c>
      <c r="K338" s="948"/>
    </row>
    <row r="339" spans="1:11" ht="31.5" hidden="1" customHeight="1" outlineLevel="1">
      <c r="A339" s="940"/>
      <c r="B339" s="998"/>
      <c r="C339" s="1062" t="s">
        <v>1605</v>
      </c>
      <c r="D339" s="961"/>
      <c r="E339" s="986"/>
      <c r="F339" s="948"/>
      <c r="G339" s="949"/>
      <c r="H339" s="950">
        <f t="shared" si="40"/>
        <v>0</v>
      </c>
      <c r="I339" s="950">
        <f t="shared" si="41"/>
        <v>0</v>
      </c>
      <c r="J339" s="950">
        <f t="shared" si="42"/>
        <v>0</v>
      </c>
      <c r="K339" s="948"/>
    </row>
    <row r="340" spans="1:11" ht="15.75" hidden="1" customHeight="1" outlineLevel="1">
      <c r="A340" s="940"/>
      <c r="B340" s="998"/>
      <c r="C340" s="1033" t="s">
        <v>1320</v>
      </c>
      <c r="D340" s="961"/>
      <c r="E340" s="986"/>
      <c r="F340" s="948"/>
      <c r="G340" s="949"/>
      <c r="H340" s="950">
        <f t="shared" si="40"/>
        <v>0</v>
      </c>
      <c r="I340" s="950">
        <f t="shared" si="41"/>
        <v>0</v>
      </c>
      <c r="J340" s="950">
        <f t="shared" si="42"/>
        <v>0</v>
      </c>
      <c r="K340" s="948"/>
    </row>
    <row r="341" spans="1:11" ht="31.5" hidden="1" customHeight="1" outlineLevel="1">
      <c r="A341" s="940"/>
      <c r="B341" s="998"/>
      <c r="C341" s="1066" t="s">
        <v>1606</v>
      </c>
      <c r="D341" s="961"/>
      <c r="E341" s="986"/>
      <c r="F341" s="948"/>
      <c r="G341" s="949"/>
      <c r="H341" s="950">
        <f t="shared" si="40"/>
        <v>0</v>
      </c>
      <c r="I341" s="950">
        <f t="shared" si="41"/>
        <v>0</v>
      </c>
      <c r="J341" s="950">
        <f t="shared" si="42"/>
        <v>0</v>
      </c>
      <c r="K341" s="948"/>
    </row>
    <row r="342" spans="1:11" ht="15.75" hidden="1" customHeight="1" outlineLevel="1">
      <c r="A342" s="940"/>
      <c r="B342" s="998"/>
      <c r="C342" s="1066" t="s">
        <v>1607</v>
      </c>
      <c r="D342" s="961"/>
      <c r="E342" s="986"/>
      <c r="F342" s="948"/>
      <c r="G342" s="949"/>
      <c r="H342" s="950">
        <f t="shared" si="40"/>
        <v>0</v>
      </c>
      <c r="I342" s="950">
        <f t="shared" si="41"/>
        <v>0</v>
      </c>
      <c r="J342" s="950">
        <f t="shared" si="42"/>
        <v>0</v>
      </c>
      <c r="K342" s="948"/>
    </row>
    <row r="343" spans="1:11" ht="15.75" hidden="1" customHeight="1" outlineLevel="1">
      <c r="A343" s="940"/>
      <c r="B343" s="998"/>
      <c r="C343" s="1033" t="s">
        <v>1321</v>
      </c>
      <c r="D343" s="961"/>
      <c r="E343" s="986"/>
      <c r="F343" s="948"/>
      <c r="G343" s="949"/>
      <c r="H343" s="950">
        <f t="shared" si="40"/>
        <v>0</v>
      </c>
      <c r="I343" s="950">
        <f t="shared" si="41"/>
        <v>0</v>
      </c>
      <c r="J343" s="950">
        <f t="shared" si="42"/>
        <v>0</v>
      </c>
      <c r="K343" s="948"/>
    </row>
    <row r="344" spans="1:11" ht="31.5" hidden="1" customHeight="1" outlineLevel="1">
      <c r="A344" s="940"/>
      <c r="B344" s="998"/>
      <c r="C344" s="1066" t="s">
        <v>1608</v>
      </c>
      <c r="D344" s="961"/>
      <c r="E344" s="986"/>
      <c r="F344" s="948"/>
      <c r="G344" s="949"/>
      <c r="H344" s="950">
        <f t="shared" si="40"/>
        <v>0</v>
      </c>
      <c r="I344" s="950">
        <f t="shared" si="41"/>
        <v>0</v>
      </c>
      <c r="J344" s="950">
        <f t="shared" si="42"/>
        <v>0</v>
      </c>
      <c r="K344" s="948"/>
    </row>
    <row r="345" spans="1:11" ht="31.5" hidden="1" customHeight="1" outlineLevel="1">
      <c r="A345" s="940"/>
      <c r="B345" s="998"/>
      <c r="C345" s="1066" t="s">
        <v>1609</v>
      </c>
      <c r="D345" s="961"/>
      <c r="E345" s="986"/>
      <c r="F345" s="948"/>
      <c r="G345" s="949"/>
      <c r="H345" s="950">
        <f t="shared" si="40"/>
        <v>0</v>
      </c>
      <c r="I345" s="950">
        <f t="shared" si="41"/>
        <v>0</v>
      </c>
      <c r="J345" s="950">
        <f t="shared" si="42"/>
        <v>0</v>
      </c>
      <c r="K345" s="948"/>
    </row>
    <row r="346" spans="1:11" ht="15.75" hidden="1" customHeight="1" outlineLevel="1">
      <c r="A346" s="940"/>
      <c r="B346" s="998"/>
      <c r="C346" s="1066" t="s">
        <v>1610</v>
      </c>
      <c r="D346" s="961"/>
      <c r="E346" s="986"/>
      <c r="F346" s="948"/>
      <c r="G346" s="949"/>
      <c r="H346" s="950">
        <f t="shared" si="40"/>
        <v>0</v>
      </c>
      <c r="I346" s="950">
        <f t="shared" si="41"/>
        <v>0</v>
      </c>
      <c r="J346" s="950">
        <f t="shared" si="42"/>
        <v>0</v>
      </c>
      <c r="K346" s="948"/>
    </row>
    <row r="347" spans="1:11" ht="47.25" hidden="1" customHeight="1" outlineLevel="1">
      <c r="A347" s="940"/>
      <c r="B347" s="998"/>
      <c r="C347" s="1066" t="s">
        <v>1611</v>
      </c>
      <c r="D347" s="961"/>
      <c r="E347" s="986"/>
      <c r="F347" s="948"/>
      <c r="G347" s="949"/>
      <c r="H347" s="950">
        <f t="shared" si="40"/>
        <v>0</v>
      </c>
      <c r="I347" s="950">
        <f t="shared" si="41"/>
        <v>0</v>
      </c>
      <c r="J347" s="950">
        <f t="shared" si="42"/>
        <v>0</v>
      </c>
      <c r="K347" s="948"/>
    </row>
    <row r="348" spans="1:11" ht="15.75" hidden="1" customHeight="1" outlineLevel="1">
      <c r="A348" s="940"/>
      <c r="B348" s="998"/>
      <c r="C348" s="1066" t="s">
        <v>1612</v>
      </c>
      <c r="D348" s="961"/>
      <c r="E348" s="986"/>
      <c r="F348" s="948"/>
      <c r="G348" s="949"/>
      <c r="H348" s="950">
        <f t="shared" si="40"/>
        <v>0</v>
      </c>
      <c r="I348" s="950">
        <f t="shared" si="41"/>
        <v>0</v>
      </c>
      <c r="J348" s="950">
        <f t="shared" si="42"/>
        <v>0</v>
      </c>
      <c r="K348" s="948"/>
    </row>
    <row r="349" spans="1:11" ht="15.75" hidden="1" customHeight="1" outlineLevel="1">
      <c r="A349" s="940"/>
      <c r="B349" s="998"/>
      <c r="C349" s="1066" t="s">
        <v>1613</v>
      </c>
      <c r="D349" s="961"/>
      <c r="E349" s="986"/>
      <c r="F349" s="948"/>
      <c r="G349" s="949"/>
      <c r="H349" s="950">
        <f t="shared" si="40"/>
        <v>0</v>
      </c>
      <c r="I349" s="950">
        <f t="shared" si="41"/>
        <v>0</v>
      </c>
      <c r="J349" s="950">
        <f t="shared" si="42"/>
        <v>0</v>
      </c>
      <c r="K349" s="948"/>
    </row>
    <row r="350" spans="1:11" ht="15.75" hidden="1" customHeight="1" outlineLevel="1">
      <c r="A350" s="940"/>
      <c r="B350" s="998"/>
      <c r="C350" s="1066" t="s">
        <v>1614</v>
      </c>
      <c r="D350" s="961"/>
      <c r="E350" s="986"/>
      <c r="F350" s="948"/>
      <c r="G350" s="949"/>
      <c r="H350" s="950">
        <f t="shared" si="40"/>
        <v>0</v>
      </c>
      <c r="I350" s="950">
        <f t="shared" si="41"/>
        <v>0</v>
      </c>
      <c r="J350" s="950">
        <f t="shared" si="42"/>
        <v>0</v>
      </c>
      <c r="K350" s="948"/>
    </row>
    <row r="351" spans="1:11" ht="15.75" hidden="1" customHeight="1" outlineLevel="1">
      <c r="A351" s="940"/>
      <c r="B351" s="998"/>
      <c r="C351" s="1033" t="s">
        <v>1322</v>
      </c>
      <c r="D351" s="961"/>
      <c r="E351" s="986"/>
      <c r="F351" s="948"/>
      <c r="G351" s="949"/>
      <c r="H351" s="950">
        <f t="shared" si="40"/>
        <v>0</v>
      </c>
      <c r="I351" s="950">
        <f t="shared" si="41"/>
        <v>0</v>
      </c>
      <c r="J351" s="950">
        <f t="shared" si="42"/>
        <v>0</v>
      </c>
      <c r="K351" s="948"/>
    </row>
    <row r="352" spans="1:11" ht="15.75" hidden="1" customHeight="1" outlineLevel="1">
      <c r="A352" s="940"/>
      <c r="B352" s="998"/>
      <c r="C352" s="1066" t="s">
        <v>1615</v>
      </c>
      <c r="D352" s="961"/>
      <c r="E352" s="986"/>
      <c r="F352" s="948"/>
      <c r="G352" s="949"/>
      <c r="H352" s="950">
        <f t="shared" si="40"/>
        <v>0</v>
      </c>
      <c r="I352" s="950">
        <f t="shared" si="41"/>
        <v>0</v>
      </c>
      <c r="J352" s="950">
        <f t="shared" si="42"/>
        <v>0</v>
      </c>
      <c r="K352" s="948"/>
    </row>
    <row r="353" spans="1:11" ht="15.75" hidden="1" customHeight="1" outlineLevel="1">
      <c r="A353" s="940"/>
      <c r="B353" s="998"/>
      <c r="C353" s="1066" t="s">
        <v>1616</v>
      </c>
      <c r="D353" s="961"/>
      <c r="E353" s="986"/>
      <c r="F353" s="948"/>
      <c r="G353" s="949"/>
      <c r="H353" s="950">
        <f t="shared" si="40"/>
        <v>0</v>
      </c>
      <c r="I353" s="950">
        <f t="shared" si="41"/>
        <v>0</v>
      </c>
      <c r="J353" s="950">
        <f t="shared" si="42"/>
        <v>0</v>
      </c>
      <c r="K353" s="948"/>
    </row>
    <row r="354" spans="1:11" ht="15.75" hidden="1" customHeight="1" outlineLevel="1">
      <c r="A354" s="940"/>
      <c r="B354" s="998"/>
      <c r="C354" s="1066" t="s">
        <v>1617</v>
      </c>
      <c r="D354" s="961"/>
      <c r="E354" s="986"/>
      <c r="F354" s="948"/>
      <c r="G354" s="949"/>
      <c r="H354" s="950">
        <f t="shared" si="40"/>
        <v>0</v>
      </c>
      <c r="I354" s="950">
        <f t="shared" si="41"/>
        <v>0</v>
      </c>
      <c r="J354" s="950">
        <f t="shared" si="42"/>
        <v>0</v>
      </c>
      <c r="K354" s="948"/>
    </row>
    <row r="355" spans="1:11" ht="15.75" hidden="1" customHeight="1" outlineLevel="1">
      <c r="A355" s="940"/>
      <c r="B355" s="998"/>
      <c r="C355" s="1066" t="s">
        <v>1618</v>
      </c>
      <c r="D355" s="961"/>
      <c r="E355" s="986"/>
      <c r="F355" s="948"/>
      <c r="G355" s="949"/>
      <c r="H355" s="950">
        <f t="shared" si="40"/>
        <v>0</v>
      </c>
      <c r="I355" s="950">
        <f t="shared" si="41"/>
        <v>0</v>
      </c>
      <c r="J355" s="950">
        <f t="shared" si="42"/>
        <v>0</v>
      </c>
      <c r="K355" s="948"/>
    </row>
    <row r="356" spans="1:11" ht="15.75" hidden="1" customHeight="1" outlineLevel="1">
      <c r="A356" s="940"/>
      <c r="B356" s="998"/>
      <c r="C356" s="1066" t="s">
        <v>1619</v>
      </c>
      <c r="D356" s="961"/>
      <c r="E356" s="986"/>
      <c r="F356" s="948"/>
      <c r="G356" s="949"/>
      <c r="H356" s="950">
        <f t="shared" si="40"/>
        <v>0</v>
      </c>
      <c r="I356" s="950">
        <f t="shared" si="41"/>
        <v>0</v>
      </c>
      <c r="J356" s="950">
        <f t="shared" si="42"/>
        <v>0</v>
      </c>
      <c r="K356" s="948"/>
    </row>
    <row r="357" spans="1:11" ht="15.75" hidden="1" customHeight="1" outlineLevel="1">
      <c r="A357" s="940"/>
      <c r="B357" s="998"/>
      <c r="C357" s="1066" t="s">
        <v>1620</v>
      </c>
      <c r="D357" s="961"/>
      <c r="E357" s="986"/>
      <c r="F357" s="948"/>
      <c r="G357" s="949"/>
      <c r="H357" s="950">
        <f t="shared" ref="H357:H420" si="43">E357*F357</f>
        <v>0</v>
      </c>
      <c r="I357" s="950">
        <f t="shared" si="41"/>
        <v>0</v>
      </c>
      <c r="J357" s="950">
        <f t="shared" si="42"/>
        <v>0</v>
      </c>
      <c r="K357" s="948"/>
    </row>
    <row r="358" spans="1:11" ht="15.75" hidden="1" customHeight="1" outlineLevel="1">
      <c r="A358" s="940"/>
      <c r="B358" s="998"/>
      <c r="C358" s="1066" t="s">
        <v>1621</v>
      </c>
      <c r="D358" s="961"/>
      <c r="E358" s="986"/>
      <c r="F358" s="948"/>
      <c r="G358" s="949"/>
      <c r="H358" s="950">
        <f t="shared" si="43"/>
        <v>0</v>
      </c>
      <c r="I358" s="950">
        <f t="shared" si="41"/>
        <v>0</v>
      </c>
      <c r="J358" s="950">
        <f t="shared" si="42"/>
        <v>0</v>
      </c>
      <c r="K358" s="948"/>
    </row>
    <row r="359" spans="1:11" ht="15.75" hidden="1" customHeight="1" outlineLevel="1">
      <c r="A359" s="940"/>
      <c r="B359" s="998"/>
      <c r="C359" s="1066" t="s">
        <v>1622</v>
      </c>
      <c r="D359" s="961"/>
      <c r="E359" s="986"/>
      <c r="F359" s="948"/>
      <c r="G359" s="949"/>
      <c r="H359" s="950">
        <f t="shared" si="43"/>
        <v>0</v>
      </c>
      <c r="I359" s="950">
        <f t="shared" si="41"/>
        <v>0</v>
      </c>
      <c r="J359" s="950">
        <f t="shared" si="42"/>
        <v>0</v>
      </c>
      <c r="K359" s="948"/>
    </row>
    <row r="360" spans="1:11" ht="15.75" hidden="1" customHeight="1" outlineLevel="1">
      <c r="A360" s="940"/>
      <c r="B360" s="998"/>
      <c r="C360" s="1066" t="s">
        <v>1623</v>
      </c>
      <c r="D360" s="961"/>
      <c r="E360" s="986"/>
      <c r="F360" s="948"/>
      <c r="G360" s="949"/>
      <c r="H360" s="950">
        <f t="shared" si="43"/>
        <v>0</v>
      </c>
      <c r="I360" s="950">
        <f t="shared" si="41"/>
        <v>0</v>
      </c>
      <c r="J360" s="950">
        <f t="shared" si="42"/>
        <v>0</v>
      </c>
      <c r="K360" s="948"/>
    </row>
    <row r="361" spans="1:11" ht="15.75" hidden="1" customHeight="1" outlineLevel="1">
      <c r="A361" s="940"/>
      <c r="B361" s="998"/>
      <c r="C361" s="1066" t="s">
        <v>1624</v>
      </c>
      <c r="D361" s="961"/>
      <c r="E361" s="986"/>
      <c r="F361" s="948"/>
      <c r="G361" s="949"/>
      <c r="H361" s="950">
        <f t="shared" si="43"/>
        <v>0</v>
      </c>
      <c r="I361" s="950">
        <f t="shared" si="41"/>
        <v>0</v>
      </c>
      <c r="J361" s="950">
        <f t="shared" si="42"/>
        <v>0</v>
      </c>
      <c r="K361" s="948"/>
    </row>
    <row r="362" spans="1:11" ht="47.25" hidden="1" customHeight="1" outlineLevel="1">
      <c r="A362" s="940"/>
      <c r="B362" s="998"/>
      <c r="C362" s="1066" t="s">
        <v>1625</v>
      </c>
      <c r="D362" s="961"/>
      <c r="E362" s="986"/>
      <c r="F362" s="948"/>
      <c r="G362" s="949"/>
      <c r="H362" s="950">
        <f t="shared" si="43"/>
        <v>0</v>
      </c>
      <c r="I362" s="950">
        <f t="shared" si="41"/>
        <v>0</v>
      </c>
      <c r="J362" s="950">
        <f t="shared" si="42"/>
        <v>0</v>
      </c>
      <c r="K362" s="948"/>
    </row>
    <row r="363" spans="1:11" ht="31.5" hidden="1" customHeight="1" outlineLevel="1">
      <c r="A363" s="940"/>
      <c r="B363" s="998"/>
      <c r="C363" s="1066" t="s">
        <v>1626</v>
      </c>
      <c r="D363" s="961"/>
      <c r="E363" s="986"/>
      <c r="F363" s="948"/>
      <c r="G363" s="949"/>
      <c r="H363" s="950">
        <f t="shared" si="43"/>
        <v>0</v>
      </c>
      <c r="I363" s="950">
        <f t="shared" si="41"/>
        <v>0</v>
      </c>
      <c r="J363" s="950">
        <f t="shared" si="42"/>
        <v>0</v>
      </c>
      <c r="K363" s="948"/>
    </row>
    <row r="364" spans="1:11" ht="15.75" hidden="1" customHeight="1" outlineLevel="1">
      <c r="A364" s="940"/>
      <c r="B364" s="998"/>
      <c r="C364" s="1033" t="s">
        <v>1323</v>
      </c>
      <c r="D364" s="961"/>
      <c r="E364" s="986"/>
      <c r="F364" s="948"/>
      <c r="G364" s="949"/>
      <c r="H364" s="950">
        <f t="shared" si="43"/>
        <v>0</v>
      </c>
      <c r="I364" s="950">
        <f t="shared" si="41"/>
        <v>0</v>
      </c>
      <c r="J364" s="950">
        <f t="shared" si="42"/>
        <v>0</v>
      </c>
      <c r="K364" s="948"/>
    </row>
    <row r="365" spans="1:11" ht="15.75" hidden="1" customHeight="1" outlineLevel="1">
      <c r="A365" s="940"/>
      <c r="B365" s="998"/>
      <c r="C365" s="1066" t="s">
        <v>1627</v>
      </c>
      <c r="D365" s="961"/>
      <c r="E365" s="986"/>
      <c r="F365" s="948"/>
      <c r="G365" s="949"/>
      <c r="H365" s="950">
        <f t="shared" si="43"/>
        <v>0</v>
      </c>
      <c r="I365" s="950">
        <f t="shared" si="41"/>
        <v>0</v>
      </c>
      <c r="J365" s="950">
        <f t="shared" si="42"/>
        <v>0</v>
      </c>
      <c r="K365" s="948"/>
    </row>
    <row r="366" spans="1:11" ht="15.75" hidden="1" customHeight="1" outlineLevel="1">
      <c r="A366" s="940"/>
      <c r="B366" s="998"/>
      <c r="C366" s="1066" t="s">
        <v>1628</v>
      </c>
      <c r="D366" s="961"/>
      <c r="E366" s="986"/>
      <c r="F366" s="948"/>
      <c r="G366" s="949"/>
      <c r="H366" s="950">
        <f t="shared" si="43"/>
        <v>0</v>
      </c>
      <c r="I366" s="950">
        <f t="shared" si="41"/>
        <v>0</v>
      </c>
      <c r="J366" s="950">
        <f t="shared" si="42"/>
        <v>0</v>
      </c>
      <c r="K366" s="948"/>
    </row>
    <row r="367" spans="1:11" ht="15.75" hidden="1" customHeight="1" outlineLevel="1">
      <c r="A367" s="940"/>
      <c r="B367" s="998"/>
      <c r="C367" s="1066" t="s">
        <v>1629</v>
      </c>
      <c r="D367" s="961"/>
      <c r="E367" s="986"/>
      <c r="F367" s="948"/>
      <c r="G367" s="949"/>
      <c r="H367" s="950">
        <f t="shared" si="43"/>
        <v>0</v>
      </c>
      <c r="I367" s="950">
        <f t="shared" si="41"/>
        <v>0</v>
      </c>
      <c r="J367" s="950">
        <f t="shared" si="42"/>
        <v>0</v>
      </c>
      <c r="K367" s="948"/>
    </row>
    <row r="368" spans="1:11" ht="15.75" hidden="1" customHeight="1" outlineLevel="1">
      <c r="A368" s="940"/>
      <c r="B368" s="998"/>
      <c r="C368" s="1033" t="s">
        <v>1324</v>
      </c>
      <c r="D368" s="961"/>
      <c r="E368" s="986"/>
      <c r="F368" s="948"/>
      <c r="G368" s="949"/>
      <c r="H368" s="950">
        <f t="shared" si="43"/>
        <v>0</v>
      </c>
      <c r="I368" s="950">
        <f t="shared" si="41"/>
        <v>0</v>
      </c>
      <c r="J368" s="950">
        <f t="shared" si="42"/>
        <v>0</v>
      </c>
      <c r="K368" s="948"/>
    </row>
    <row r="369" spans="1:11" ht="31.5" hidden="1" customHeight="1" outlineLevel="1">
      <c r="A369" s="940"/>
      <c r="B369" s="998"/>
      <c r="C369" s="1066" t="s">
        <v>1630</v>
      </c>
      <c r="D369" s="961"/>
      <c r="E369" s="986"/>
      <c r="F369" s="948"/>
      <c r="G369" s="949"/>
      <c r="H369" s="950">
        <f t="shared" si="43"/>
        <v>0</v>
      </c>
      <c r="I369" s="950">
        <f t="shared" si="41"/>
        <v>0</v>
      </c>
      <c r="J369" s="950">
        <f t="shared" si="42"/>
        <v>0</v>
      </c>
      <c r="K369" s="948"/>
    </row>
    <row r="370" spans="1:11" ht="15.75" hidden="1" customHeight="1" outlineLevel="1">
      <c r="A370" s="940"/>
      <c r="B370" s="998"/>
      <c r="C370" s="1033" t="s">
        <v>1326</v>
      </c>
      <c r="D370" s="961"/>
      <c r="E370" s="986"/>
      <c r="F370" s="948"/>
      <c r="G370" s="949"/>
      <c r="H370" s="950">
        <f t="shared" si="43"/>
        <v>0</v>
      </c>
      <c r="I370" s="950">
        <f t="shared" si="41"/>
        <v>0</v>
      </c>
      <c r="J370" s="950">
        <f t="shared" si="42"/>
        <v>0</v>
      </c>
      <c r="K370" s="948"/>
    </row>
    <row r="371" spans="1:11" ht="31.5" hidden="1" customHeight="1" outlineLevel="1">
      <c r="A371" s="940"/>
      <c r="B371" s="998"/>
      <c r="C371" s="1066" t="s">
        <v>1631</v>
      </c>
      <c r="D371" s="961"/>
      <c r="E371" s="986"/>
      <c r="F371" s="948"/>
      <c r="G371" s="949"/>
      <c r="H371" s="950">
        <f t="shared" si="43"/>
        <v>0</v>
      </c>
      <c r="I371" s="950">
        <f t="shared" si="41"/>
        <v>0</v>
      </c>
      <c r="J371" s="950">
        <f t="shared" si="42"/>
        <v>0</v>
      </c>
      <c r="K371" s="948"/>
    </row>
    <row r="372" spans="1:11" ht="31.5" hidden="1" customHeight="1" outlineLevel="1">
      <c r="A372" s="940"/>
      <c r="B372" s="998"/>
      <c r="C372" s="1066" t="s">
        <v>1632</v>
      </c>
      <c r="D372" s="961"/>
      <c r="E372" s="986"/>
      <c r="F372" s="948"/>
      <c r="G372" s="949"/>
      <c r="H372" s="950">
        <f t="shared" si="43"/>
        <v>0</v>
      </c>
      <c r="I372" s="950">
        <f t="shared" si="41"/>
        <v>0</v>
      </c>
      <c r="J372" s="950">
        <f t="shared" si="42"/>
        <v>0</v>
      </c>
      <c r="K372" s="948"/>
    </row>
    <row r="373" spans="1:11" ht="31.5" hidden="1" customHeight="1" outlineLevel="1">
      <c r="A373" s="940"/>
      <c r="B373" s="998"/>
      <c r="C373" s="1033" t="s">
        <v>1327</v>
      </c>
      <c r="D373" s="961"/>
      <c r="E373" s="986"/>
      <c r="F373" s="948"/>
      <c r="G373" s="949"/>
      <c r="H373" s="950">
        <f t="shared" si="43"/>
        <v>0</v>
      </c>
      <c r="I373" s="950">
        <f t="shared" si="41"/>
        <v>0</v>
      </c>
      <c r="J373" s="950">
        <f t="shared" si="42"/>
        <v>0</v>
      </c>
      <c r="K373" s="948"/>
    </row>
    <row r="374" spans="1:11" ht="31.5" hidden="1" customHeight="1" outlineLevel="1">
      <c r="A374" s="940"/>
      <c r="B374" s="998"/>
      <c r="C374" s="1066" t="s">
        <v>1633</v>
      </c>
      <c r="D374" s="961"/>
      <c r="E374" s="986"/>
      <c r="F374" s="948"/>
      <c r="G374" s="949"/>
      <c r="H374" s="950">
        <f t="shared" si="43"/>
        <v>0</v>
      </c>
      <c r="I374" s="950">
        <f t="shared" si="41"/>
        <v>0</v>
      </c>
      <c r="J374" s="950">
        <f t="shared" si="42"/>
        <v>0</v>
      </c>
      <c r="K374" s="948"/>
    </row>
    <row r="375" spans="1:11" ht="31.5" hidden="1" customHeight="1" outlineLevel="1">
      <c r="A375" s="940"/>
      <c r="B375" s="998"/>
      <c r="C375" s="1066" t="s">
        <v>1634</v>
      </c>
      <c r="D375" s="961"/>
      <c r="E375" s="986"/>
      <c r="F375" s="948"/>
      <c r="G375" s="949"/>
      <c r="H375" s="950">
        <f t="shared" si="43"/>
        <v>0</v>
      </c>
      <c r="I375" s="950">
        <f t="shared" si="41"/>
        <v>0</v>
      </c>
      <c r="J375" s="950">
        <f t="shared" si="42"/>
        <v>0</v>
      </c>
      <c r="K375" s="948"/>
    </row>
    <row r="376" spans="1:11" ht="31.5" hidden="1" customHeight="1" outlineLevel="1">
      <c r="A376" s="940"/>
      <c r="B376" s="998"/>
      <c r="C376" s="1066" t="s">
        <v>1635</v>
      </c>
      <c r="D376" s="961"/>
      <c r="E376" s="986"/>
      <c r="F376" s="948"/>
      <c r="G376" s="949"/>
      <c r="H376" s="950">
        <f t="shared" si="43"/>
        <v>0</v>
      </c>
      <c r="I376" s="950">
        <f t="shared" si="41"/>
        <v>0</v>
      </c>
      <c r="J376" s="950">
        <f t="shared" si="42"/>
        <v>0</v>
      </c>
      <c r="K376" s="948"/>
    </row>
    <row r="377" spans="1:11" ht="15.75" hidden="1" customHeight="1" outlineLevel="1">
      <c r="A377" s="940"/>
      <c r="B377" s="998"/>
      <c r="C377" s="1066" t="s">
        <v>1636</v>
      </c>
      <c r="D377" s="961"/>
      <c r="E377" s="986"/>
      <c r="F377" s="948"/>
      <c r="G377" s="949"/>
      <c r="H377" s="950">
        <f t="shared" si="43"/>
        <v>0</v>
      </c>
      <c r="I377" s="950">
        <f t="shared" si="41"/>
        <v>0</v>
      </c>
      <c r="J377" s="950">
        <f t="shared" si="42"/>
        <v>0</v>
      </c>
      <c r="K377" s="948"/>
    </row>
    <row r="378" spans="1:11" ht="15.75" hidden="1" customHeight="1" outlineLevel="1">
      <c r="A378" s="940"/>
      <c r="B378" s="998"/>
      <c r="C378" s="1033" t="s">
        <v>1328</v>
      </c>
      <c r="D378" s="961"/>
      <c r="E378" s="986"/>
      <c r="F378" s="948"/>
      <c r="G378" s="949"/>
      <c r="H378" s="950">
        <f t="shared" si="43"/>
        <v>0</v>
      </c>
      <c r="I378" s="950">
        <f t="shared" si="41"/>
        <v>0</v>
      </c>
      <c r="J378" s="950">
        <f t="shared" si="42"/>
        <v>0</v>
      </c>
      <c r="K378" s="948"/>
    </row>
    <row r="379" spans="1:11" ht="31.5" hidden="1" customHeight="1" outlineLevel="1">
      <c r="A379" s="940"/>
      <c r="B379" s="998"/>
      <c r="C379" s="1066" t="s">
        <v>1329</v>
      </c>
      <c r="D379" s="961"/>
      <c r="E379" s="986"/>
      <c r="F379" s="948"/>
      <c r="G379" s="949"/>
      <c r="H379" s="950">
        <f t="shared" si="43"/>
        <v>0</v>
      </c>
      <c r="I379" s="950">
        <f t="shared" si="41"/>
        <v>0</v>
      </c>
      <c r="J379" s="950">
        <f t="shared" si="42"/>
        <v>0</v>
      </c>
      <c r="K379" s="948"/>
    </row>
    <row r="380" spans="1:11" ht="15.75" hidden="1" customHeight="1" outlineLevel="1">
      <c r="A380" s="940"/>
      <c r="B380" s="998"/>
      <c r="C380" s="1066" t="s">
        <v>1330</v>
      </c>
      <c r="D380" s="961"/>
      <c r="E380" s="986"/>
      <c r="F380" s="948"/>
      <c r="G380" s="949"/>
      <c r="H380" s="950">
        <f t="shared" si="43"/>
        <v>0</v>
      </c>
      <c r="I380" s="950">
        <f t="shared" si="41"/>
        <v>0</v>
      </c>
      <c r="J380" s="950">
        <f t="shared" si="42"/>
        <v>0</v>
      </c>
      <c r="K380" s="948"/>
    </row>
    <row r="381" spans="1:11" ht="15.75" hidden="1" customHeight="1" outlineLevel="1">
      <c r="A381" s="940"/>
      <c r="B381" s="998"/>
      <c r="C381" s="1066" t="s">
        <v>1331</v>
      </c>
      <c r="D381" s="961"/>
      <c r="E381" s="986"/>
      <c r="F381" s="948"/>
      <c r="G381" s="949"/>
      <c r="H381" s="950">
        <f t="shared" si="43"/>
        <v>0</v>
      </c>
      <c r="I381" s="950">
        <f t="shared" si="41"/>
        <v>0</v>
      </c>
      <c r="J381" s="950">
        <f t="shared" si="42"/>
        <v>0</v>
      </c>
      <c r="K381" s="948"/>
    </row>
    <row r="382" spans="1:11" ht="15.75" hidden="1" customHeight="1" outlineLevel="1">
      <c r="A382" s="940"/>
      <c r="B382" s="998"/>
      <c r="C382" s="1033" t="s">
        <v>1332</v>
      </c>
      <c r="D382" s="961"/>
      <c r="E382" s="986"/>
      <c r="F382" s="948"/>
      <c r="G382" s="949"/>
      <c r="H382" s="950">
        <f t="shared" si="43"/>
        <v>0</v>
      </c>
      <c r="I382" s="950">
        <f t="shared" si="41"/>
        <v>0</v>
      </c>
      <c r="J382" s="950">
        <f t="shared" si="42"/>
        <v>0</v>
      </c>
      <c r="K382" s="948"/>
    </row>
    <row r="383" spans="1:11" ht="47.25" hidden="1" customHeight="1" outlineLevel="1">
      <c r="A383" s="940"/>
      <c r="B383" s="998"/>
      <c r="C383" s="1066" t="s">
        <v>1637</v>
      </c>
      <c r="D383" s="961"/>
      <c r="E383" s="986"/>
      <c r="F383" s="948"/>
      <c r="G383" s="949"/>
      <c r="H383" s="950">
        <f t="shared" si="43"/>
        <v>0</v>
      </c>
      <c r="I383" s="950">
        <f t="shared" si="41"/>
        <v>0</v>
      </c>
      <c r="J383" s="950">
        <f t="shared" si="42"/>
        <v>0</v>
      </c>
      <c r="K383" s="948"/>
    </row>
    <row r="384" spans="1:11" ht="15.75" hidden="1" customHeight="1" outlineLevel="1">
      <c r="A384" s="940"/>
      <c r="B384" s="998"/>
      <c r="C384" s="1033" t="s">
        <v>1333</v>
      </c>
      <c r="D384" s="961"/>
      <c r="E384" s="986"/>
      <c r="F384" s="948"/>
      <c r="G384" s="949"/>
      <c r="H384" s="950">
        <f t="shared" si="43"/>
        <v>0</v>
      </c>
      <c r="I384" s="950">
        <f t="shared" si="41"/>
        <v>0</v>
      </c>
      <c r="J384" s="950">
        <f t="shared" si="42"/>
        <v>0</v>
      </c>
      <c r="K384" s="948"/>
    </row>
    <row r="385" spans="1:11" ht="31.5" hidden="1" customHeight="1" outlineLevel="1">
      <c r="A385" s="940"/>
      <c r="B385" s="998"/>
      <c r="C385" s="1066" t="s">
        <v>1638</v>
      </c>
      <c r="D385" s="961"/>
      <c r="E385" s="986"/>
      <c r="F385" s="948"/>
      <c r="G385" s="949"/>
      <c r="H385" s="950">
        <f t="shared" si="43"/>
        <v>0</v>
      </c>
      <c r="I385" s="950">
        <f t="shared" si="41"/>
        <v>0</v>
      </c>
      <c r="J385" s="950">
        <f t="shared" si="42"/>
        <v>0</v>
      </c>
      <c r="K385" s="948"/>
    </row>
    <row r="386" spans="1:11" ht="31.5" hidden="1" customHeight="1" outlineLevel="1">
      <c r="A386" s="940"/>
      <c r="B386" s="998"/>
      <c r="C386" s="1066" t="s">
        <v>1639</v>
      </c>
      <c r="D386" s="961"/>
      <c r="E386" s="986"/>
      <c r="F386" s="948"/>
      <c r="G386" s="949"/>
      <c r="H386" s="950">
        <f t="shared" si="43"/>
        <v>0</v>
      </c>
      <c r="I386" s="950">
        <f t="shared" si="41"/>
        <v>0</v>
      </c>
      <c r="J386" s="950">
        <f t="shared" si="42"/>
        <v>0</v>
      </c>
      <c r="K386" s="948"/>
    </row>
    <row r="387" spans="1:11" ht="31.5" hidden="1" customHeight="1" outlineLevel="1">
      <c r="A387" s="940"/>
      <c r="B387" s="998"/>
      <c r="C387" s="1066" t="s">
        <v>1640</v>
      </c>
      <c r="D387" s="961"/>
      <c r="E387" s="986"/>
      <c r="F387" s="948"/>
      <c r="G387" s="949"/>
      <c r="H387" s="950">
        <f t="shared" si="43"/>
        <v>0</v>
      </c>
      <c r="I387" s="950">
        <f t="shared" si="41"/>
        <v>0</v>
      </c>
      <c r="J387" s="950">
        <f t="shared" si="42"/>
        <v>0</v>
      </c>
      <c r="K387" s="948"/>
    </row>
    <row r="388" spans="1:11" ht="15.75" hidden="1" customHeight="1" outlineLevel="1">
      <c r="A388" s="940"/>
      <c r="B388" s="998"/>
      <c r="C388" s="1066" t="s">
        <v>1641</v>
      </c>
      <c r="D388" s="961"/>
      <c r="E388" s="986"/>
      <c r="F388" s="948"/>
      <c r="G388" s="949"/>
      <c r="H388" s="950">
        <f t="shared" si="43"/>
        <v>0</v>
      </c>
      <c r="I388" s="950">
        <f t="shared" si="41"/>
        <v>0</v>
      </c>
      <c r="J388" s="950">
        <f t="shared" si="42"/>
        <v>0</v>
      </c>
      <c r="K388" s="948"/>
    </row>
    <row r="389" spans="1:11" ht="47.25" hidden="1" customHeight="1" outlineLevel="1">
      <c r="A389" s="940"/>
      <c r="B389" s="998"/>
      <c r="C389" s="1066" t="s">
        <v>1642</v>
      </c>
      <c r="D389" s="961"/>
      <c r="E389" s="986"/>
      <c r="F389" s="948"/>
      <c r="G389" s="949"/>
      <c r="H389" s="950">
        <f t="shared" si="43"/>
        <v>0</v>
      </c>
      <c r="I389" s="950">
        <f t="shared" si="41"/>
        <v>0</v>
      </c>
      <c r="J389" s="950">
        <f t="shared" si="42"/>
        <v>0</v>
      </c>
      <c r="K389" s="948"/>
    </row>
    <row r="390" spans="1:11" ht="15.75" hidden="1" customHeight="1" outlineLevel="1">
      <c r="A390" s="940"/>
      <c r="B390" s="998"/>
      <c r="C390" s="1033" t="s">
        <v>1334</v>
      </c>
      <c r="D390" s="961"/>
      <c r="E390" s="986"/>
      <c r="F390" s="948"/>
      <c r="G390" s="949"/>
      <c r="H390" s="950">
        <f t="shared" si="43"/>
        <v>0</v>
      </c>
      <c r="I390" s="950">
        <f t="shared" si="41"/>
        <v>0</v>
      </c>
      <c r="J390" s="950">
        <f t="shared" si="42"/>
        <v>0</v>
      </c>
      <c r="K390" s="948"/>
    </row>
    <row r="391" spans="1:11" ht="31.5" hidden="1" customHeight="1" outlineLevel="1">
      <c r="A391" s="940"/>
      <c r="B391" s="998"/>
      <c r="C391" s="1066" t="s">
        <v>1643</v>
      </c>
      <c r="D391" s="961"/>
      <c r="E391" s="986"/>
      <c r="F391" s="948"/>
      <c r="G391" s="949"/>
      <c r="H391" s="950">
        <f t="shared" si="43"/>
        <v>0</v>
      </c>
      <c r="I391" s="950">
        <f t="shared" si="41"/>
        <v>0</v>
      </c>
      <c r="J391" s="950">
        <f t="shared" si="42"/>
        <v>0</v>
      </c>
      <c r="K391" s="948"/>
    </row>
    <row r="392" spans="1:11" ht="15.75" hidden="1" customHeight="1" outlineLevel="1">
      <c r="A392" s="940"/>
      <c r="B392" s="998"/>
      <c r="C392" s="1067" t="s">
        <v>1644</v>
      </c>
      <c r="D392" s="961"/>
      <c r="E392" s="986"/>
      <c r="F392" s="948"/>
      <c r="G392" s="949"/>
      <c r="H392" s="950">
        <f t="shared" si="43"/>
        <v>0</v>
      </c>
      <c r="I392" s="950">
        <f t="shared" si="41"/>
        <v>0</v>
      </c>
      <c r="J392" s="950">
        <f t="shared" si="42"/>
        <v>0</v>
      </c>
      <c r="K392" s="948"/>
    </row>
    <row r="393" spans="1:11" ht="15.75" hidden="1" customHeight="1" outlineLevel="1">
      <c r="A393" s="940"/>
      <c r="B393" s="998"/>
      <c r="C393" s="1033" t="s">
        <v>1645</v>
      </c>
      <c r="D393" s="961"/>
      <c r="E393" s="986"/>
      <c r="F393" s="948"/>
      <c r="G393" s="949"/>
      <c r="H393" s="950">
        <f t="shared" si="43"/>
        <v>0</v>
      </c>
      <c r="I393" s="950">
        <f t="shared" si="41"/>
        <v>0</v>
      </c>
      <c r="J393" s="950">
        <f t="shared" si="42"/>
        <v>0</v>
      </c>
      <c r="K393" s="948"/>
    </row>
    <row r="394" spans="1:11" ht="63" hidden="1" customHeight="1" outlineLevel="1">
      <c r="A394" s="940"/>
      <c r="B394" s="998"/>
      <c r="C394" s="1066" t="s">
        <v>1646</v>
      </c>
      <c r="D394" s="961"/>
      <c r="E394" s="986"/>
      <c r="F394" s="948"/>
      <c r="G394" s="949"/>
      <c r="H394" s="950">
        <f t="shared" si="43"/>
        <v>0</v>
      </c>
      <c r="I394" s="950">
        <f t="shared" ref="I394:I457" si="44">+ROUND(F394*1.1,0)</f>
        <v>0</v>
      </c>
      <c r="J394" s="950">
        <f t="shared" ref="J394:J457" si="45">+ROUND(I394*E394,0)</f>
        <v>0</v>
      </c>
      <c r="K394" s="948"/>
    </row>
    <row r="395" spans="1:11" ht="47.25" hidden="1" customHeight="1" outlineLevel="1">
      <c r="A395" s="940"/>
      <c r="B395" s="998"/>
      <c r="C395" s="1066" t="s">
        <v>1585</v>
      </c>
      <c r="D395" s="961"/>
      <c r="E395" s="986"/>
      <c r="F395" s="948"/>
      <c r="G395" s="949"/>
      <c r="H395" s="950">
        <f t="shared" si="43"/>
        <v>0</v>
      </c>
      <c r="I395" s="950">
        <f t="shared" si="44"/>
        <v>0</v>
      </c>
      <c r="J395" s="950">
        <f t="shared" si="45"/>
        <v>0</v>
      </c>
      <c r="K395" s="948"/>
    </row>
    <row r="396" spans="1:11" ht="15.75" hidden="1" customHeight="1" outlineLevel="1">
      <c r="A396" s="940"/>
      <c r="B396" s="998"/>
      <c r="C396" s="1033" t="s">
        <v>1647</v>
      </c>
      <c r="D396" s="961"/>
      <c r="E396" s="986"/>
      <c r="F396" s="948"/>
      <c r="G396" s="949"/>
      <c r="H396" s="950">
        <f t="shared" si="43"/>
        <v>0</v>
      </c>
      <c r="I396" s="950">
        <f t="shared" si="44"/>
        <v>0</v>
      </c>
      <c r="J396" s="950">
        <f t="shared" si="45"/>
        <v>0</v>
      </c>
      <c r="K396" s="948"/>
    </row>
    <row r="397" spans="1:11" ht="47.25" hidden="1" customHeight="1" outlineLevel="1">
      <c r="A397" s="940"/>
      <c r="B397" s="998"/>
      <c r="C397" s="1066" t="s">
        <v>1648</v>
      </c>
      <c r="D397" s="961"/>
      <c r="E397" s="986"/>
      <c r="F397" s="948"/>
      <c r="G397" s="949"/>
      <c r="H397" s="950">
        <f t="shared" si="43"/>
        <v>0</v>
      </c>
      <c r="I397" s="950">
        <f t="shared" si="44"/>
        <v>0</v>
      </c>
      <c r="J397" s="950">
        <f t="shared" si="45"/>
        <v>0</v>
      </c>
      <c r="K397" s="948"/>
    </row>
    <row r="398" spans="1:11" ht="15.75" hidden="1" customHeight="1" outlineLevel="1">
      <c r="A398" s="940"/>
      <c r="B398" s="998"/>
      <c r="C398" s="1033" t="s">
        <v>1649</v>
      </c>
      <c r="D398" s="961"/>
      <c r="E398" s="986"/>
      <c r="F398" s="948"/>
      <c r="G398" s="949"/>
      <c r="H398" s="950">
        <f t="shared" si="43"/>
        <v>0</v>
      </c>
      <c r="I398" s="950">
        <f t="shared" si="44"/>
        <v>0</v>
      </c>
      <c r="J398" s="950">
        <f t="shared" si="45"/>
        <v>0</v>
      </c>
      <c r="K398" s="948"/>
    </row>
    <row r="399" spans="1:11" ht="47.25" hidden="1" customHeight="1" outlineLevel="1">
      <c r="A399" s="940"/>
      <c r="B399" s="998"/>
      <c r="C399" s="1066" t="s">
        <v>1588</v>
      </c>
      <c r="D399" s="961"/>
      <c r="E399" s="986"/>
      <c r="F399" s="948"/>
      <c r="G399" s="949"/>
      <c r="H399" s="950">
        <f t="shared" si="43"/>
        <v>0</v>
      </c>
      <c r="I399" s="950">
        <f t="shared" si="44"/>
        <v>0</v>
      </c>
      <c r="J399" s="950">
        <f t="shared" si="45"/>
        <v>0</v>
      </c>
      <c r="K399" s="948"/>
    </row>
    <row r="400" spans="1:11" ht="31.5" hidden="1" customHeight="1" outlineLevel="1">
      <c r="A400" s="940"/>
      <c r="B400" s="998"/>
      <c r="C400" s="1033" t="s">
        <v>1650</v>
      </c>
      <c r="D400" s="961"/>
      <c r="E400" s="986"/>
      <c r="F400" s="948"/>
      <c r="G400" s="949"/>
      <c r="H400" s="950">
        <f t="shared" si="43"/>
        <v>0</v>
      </c>
      <c r="I400" s="950">
        <f t="shared" si="44"/>
        <v>0</v>
      </c>
      <c r="J400" s="950">
        <f t="shared" si="45"/>
        <v>0</v>
      </c>
      <c r="K400" s="948"/>
    </row>
    <row r="401" spans="1:11" ht="47.25" hidden="1" customHeight="1" outlineLevel="1">
      <c r="A401" s="940"/>
      <c r="B401" s="998"/>
      <c r="C401" s="1066" t="s">
        <v>1651</v>
      </c>
      <c r="D401" s="961"/>
      <c r="E401" s="986"/>
      <c r="F401" s="948"/>
      <c r="G401" s="949"/>
      <c r="H401" s="950">
        <f t="shared" si="43"/>
        <v>0</v>
      </c>
      <c r="I401" s="950">
        <f t="shared" si="44"/>
        <v>0</v>
      </c>
      <c r="J401" s="950">
        <f t="shared" si="45"/>
        <v>0</v>
      </c>
      <c r="K401" s="948"/>
    </row>
    <row r="402" spans="1:11" ht="31.5" hidden="1" customHeight="1" outlineLevel="1">
      <c r="A402" s="940"/>
      <c r="B402" s="998"/>
      <c r="C402" s="1066" t="s">
        <v>1652</v>
      </c>
      <c r="D402" s="961"/>
      <c r="E402" s="986"/>
      <c r="F402" s="948"/>
      <c r="G402" s="949"/>
      <c r="H402" s="950">
        <f t="shared" si="43"/>
        <v>0</v>
      </c>
      <c r="I402" s="950">
        <f t="shared" si="44"/>
        <v>0</v>
      </c>
      <c r="J402" s="950">
        <f t="shared" si="45"/>
        <v>0</v>
      </c>
      <c r="K402" s="948"/>
    </row>
    <row r="403" spans="1:11" ht="31.5" hidden="1" customHeight="1" outlineLevel="1">
      <c r="A403" s="940"/>
      <c r="B403" s="998"/>
      <c r="C403" s="1066" t="s">
        <v>1591</v>
      </c>
      <c r="D403" s="961"/>
      <c r="E403" s="986"/>
      <c r="F403" s="948"/>
      <c r="G403" s="949"/>
      <c r="H403" s="950">
        <f t="shared" si="43"/>
        <v>0</v>
      </c>
      <c r="I403" s="950">
        <f t="shared" si="44"/>
        <v>0</v>
      </c>
      <c r="J403" s="950">
        <f t="shared" si="45"/>
        <v>0</v>
      </c>
      <c r="K403" s="948"/>
    </row>
    <row r="404" spans="1:11" ht="15.75" hidden="1" customHeight="1" outlineLevel="1">
      <c r="A404" s="940"/>
      <c r="B404" s="998"/>
      <c r="C404" s="1066" t="s">
        <v>1653</v>
      </c>
      <c r="D404" s="961"/>
      <c r="E404" s="986"/>
      <c r="F404" s="948"/>
      <c r="G404" s="949"/>
      <c r="H404" s="950">
        <f t="shared" si="43"/>
        <v>0</v>
      </c>
      <c r="I404" s="950">
        <f t="shared" si="44"/>
        <v>0</v>
      </c>
      <c r="J404" s="950">
        <f t="shared" si="45"/>
        <v>0</v>
      </c>
      <c r="K404" s="948"/>
    </row>
    <row r="405" spans="1:11" ht="63" hidden="1" customHeight="1" outlineLevel="1">
      <c r="A405" s="940"/>
      <c r="B405" s="998"/>
      <c r="C405" s="1033" t="s">
        <v>1654</v>
      </c>
      <c r="D405" s="961"/>
      <c r="E405" s="986"/>
      <c r="F405" s="948"/>
      <c r="G405" s="949"/>
      <c r="H405" s="950">
        <f t="shared" si="43"/>
        <v>0</v>
      </c>
      <c r="I405" s="950">
        <f t="shared" si="44"/>
        <v>0</v>
      </c>
      <c r="J405" s="950">
        <f t="shared" si="45"/>
        <v>0</v>
      </c>
      <c r="K405" s="948"/>
    </row>
    <row r="406" spans="1:11" ht="47.25" hidden="1" customHeight="1" outlineLevel="1">
      <c r="A406" s="940"/>
      <c r="B406" s="998"/>
      <c r="C406" s="1033" t="s">
        <v>1655</v>
      </c>
      <c r="D406" s="961"/>
      <c r="E406" s="986"/>
      <c r="F406" s="948"/>
      <c r="G406" s="949"/>
      <c r="H406" s="950">
        <f t="shared" si="43"/>
        <v>0</v>
      </c>
      <c r="I406" s="950">
        <f t="shared" si="44"/>
        <v>0</v>
      </c>
      <c r="J406" s="950">
        <f t="shared" si="45"/>
        <v>0</v>
      </c>
      <c r="K406" s="948"/>
    </row>
    <row r="407" spans="1:11" ht="15.75" hidden="1" customHeight="1" outlineLevel="1">
      <c r="A407" s="940"/>
      <c r="B407" s="998"/>
      <c r="C407" s="1033" t="s">
        <v>1656</v>
      </c>
      <c r="D407" s="961"/>
      <c r="E407" s="986"/>
      <c r="F407" s="948"/>
      <c r="G407" s="949"/>
      <c r="H407" s="950">
        <f t="shared" si="43"/>
        <v>0</v>
      </c>
      <c r="I407" s="950">
        <f t="shared" si="44"/>
        <v>0</v>
      </c>
      <c r="J407" s="950">
        <f t="shared" si="45"/>
        <v>0</v>
      </c>
      <c r="K407" s="948"/>
    </row>
    <row r="408" spans="1:11" ht="31.5" hidden="1" customHeight="1" outlineLevel="1">
      <c r="A408" s="940"/>
      <c r="B408" s="998"/>
      <c r="C408" s="1066" t="s">
        <v>1657</v>
      </c>
      <c r="D408" s="961"/>
      <c r="E408" s="986"/>
      <c r="F408" s="948"/>
      <c r="G408" s="949"/>
      <c r="H408" s="950">
        <f t="shared" si="43"/>
        <v>0</v>
      </c>
      <c r="I408" s="950">
        <f t="shared" si="44"/>
        <v>0</v>
      </c>
      <c r="J408" s="950">
        <f t="shared" si="45"/>
        <v>0</v>
      </c>
      <c r="K408" s="948"/>
    </row>
    <row r="409" spans="1:11" ht="15.75" hidden="1" customHeight="1" outlineLevel="1">
      <c r="A409" s="940"/>
      <c r="B409" s="998"/>
      <c r="C409" s="1066" t="s">
        <v>1658</v>
      </c>
      <c r="D409" s="961"/>
      <c r="E409" s="986"/>
      <c r="F409" s="948"/>
      <c r="G409" s="949"/>
      <c r="H409" s="950">
        <f t="shared" si="43"/>
        <v>0</v>
      </c>
      <c r="I409" s="950">
        <f t="shared" si="44"/>
        <v>0</v>
      </c>
      <c r="J409" s="950">
        <f t="shared" si="45"/>
        <v>0</v>
      </c>
      <c r="K409" s="948"/>
    </row>
    <row r="410" spans="1:11" ht="47.25" hidden="1" customHeight="1" outlineLevel="1">
      <c r="A410" s="940"/>
      <c r="B410" s="998"/>
      <c r="C410" s="1033" t="s">
        <v>1659</v>
      </c>
      <c r="D410" s="961"/>
      <c r="E410" s="986"/>
      <c r="F410" s="948"/>
      <c r="G410" s="949"/>
      <c r="H410" s="950">
        <f t="shared" si="43"/>
        <v>0</v>
      </c>
      <c r="I410" s="950">
        <f t="shared" si="44"/>
        <v>0</v>
      </c>
      <c r="J410" s="950">
        <f t="shared" si="45"/>
        <v>0</v>
      </c>
      <c r="K410" s="948"/>
    </row>
    <row r="411" spans="1:11" ht="47.25" hidden="1" customHeight="1" outlineLevel="1">
      <c r="A411" s="940"/>
      <c r="B411" s="998"/>
      <c r="C411" s="1033" t="s">
        <v>1660</v>
      </c>
      <c r="D411" s="961"/>
      <c r="E411" s="986"/>
      <c r="F411" s="948"/>
      <c r="G411" s="949"/>
      <c r="H411" s="950">
        <f t="shared" si="43"/>
        <v>0</v>
      </c>
      <c r="I411" s="950">
        <f t="shared" si="44"/>
        <v>0</v>
      </c>
      <c r="J411" s="950">
        <f t="shared" si="45"/>
        <v>0</v>
      </c>
      <c r="K411" s="948"/>
    </row>
    <row r="412" spans="1:11" ht="47.25" hidden="1" customHeight="1" outlineLevel="1">
      <c r="A412" s="940"/>
      <c r="B412" s="998"/>
      <c r="C412" s="1033" t="s">
        <v>1661</v>
      </c>
      <c r="D412" s="961"/>
      <c r="E412" s="986"/>
      <c r="F412" s="948"/>
      <c r="G412" s="949"/>
      <c r="H412" s="950">
        <f t="shared" si="43"/>
        <v>0</v>
      </c>
      <c r="I412" s="950">
        <f t="shared" si="44"/>
        <v>0</v>
      </c>
      <c r="J412" s="950">
        <f t="shared" si="45"/>
        <v>0</v>
      </c>
      <c r="K412" s="948"/>
    </row>
    <row r="413" spans="1:11" ht="15.75" hidden="1" customHeight="1" outlineLevel="1">
      <c r="A413" s="940"/>
      <c r="B413" s="998"/>
      <c r="C413" s="1066" t="s">
        <v>1662</v>
      </c>
      <c r="D413" s="961"/>
      <c r="E413" s="986"/>
      <c r="F413" s="948"/>
      <c r="G413" s="949"/>
      <c r="H413" s="950">
        <f t="shared" si="43"/>
        <v>0</v>
      </c>
      <c r="I413" s="950">
        <f t="shared" si="44"/>
        <v>0</v>
      </c>
      <c r="J413" s="950">
        <f t="shared" si="45"/>
        <v>0</v>
      </c>
      <c r="K413" s="948"/>
    </row>
    <row r="414" spans="1:11" ht="15.75" hidden="1" customHeight="1" outlineLevel="1">
      <c r="A414" s="940"/>
      <c r="B414" s="998"/>
      <c r="C414" s="1066" t="s">
        <v>1663</v>
      </c>
      <c r="D414" s="961"/>
      <c r="E414" s="986"/>
      <c r="F414" s="948"/>
      <c r="G414" s="949"/>
      <c r="H414" s="950">
        <f t="shared" si="43"/>
        <v>0</v>
      </c>
      <c r="I414" s="950">
        <f t="shared" si="44"/>
        <v>0</v>
      </c>
      <c r="J414" s="950">
        <f t="shared" si="45"/>
        <v>0</v>
      </c>
      <c r="K414" s="948"/>
    </row>
    <row r="415" spans="1:11" ht="15.75" hidden="1" customHeight="1" outlineLevel="1">
      <c r="A415" s="940"/>
      <c r="B415" s="998"/>
      <c r="C415" s="1066" t="s">
        <v>1664</v>
      </c>
      <c r="D415" s="961"/>
      <c r="E415" s="986"/>
      <c r="F415" s="948"/>
      <c r="G415" s="949"/>
      <c r="H415" s="950">
        <f t="shared" si="43"/>
        <v>0</v>
      </c>
      <c r="I415" s="950">
        <f t="shared" si="44"/>
        <v>0</v>
      </c>
      <c r="J415" s="950">
        <f t="shared" si="45"/>
        <v>0</v>
      </c>
      <c r="K415" s="948"/>
    </row>
    <row r="416" spans="1:11" ht="15.75" hidden="1" customHeight="1" outlineLevel="1">
      <c r="A416" s="940"/>
      <c r="B416" s="998"/>
      <c r="C416" s="1066" t="s">
        <v>1665</v>
      </c>
      <c r="D416" s="961"/>
      <c r="E416" s="986"/>
      <c r="F416" s="948"/>
      <c r="G416" s="949"/>
      <c r="H416" s="950">
        <f t="shared" si="43"/>
        <v>0</v>
      </c>
      <c r="I416" s="950">
        <f t="shared" si="44"/>
        <v>0</v>
      </c>
      <c r="J416" s="950">
        <f t="shared" si="45"/>
        <v>0</v>
      </c>
      <c r="K416" s="948"/>
    </row>
    <row r="417" spans="1:11" ht="15.75" hidden="1" customHeight="1" outlineLevel="1">
      <c r="A417" s="940"/>
      <c r="B417" s="998"/>
      <c r="C417" s="1066" t="s">
        <v>1666</v>
      </c>
      <c r="D417" s="961"/>
      <c r="E417" s="986"/>
      <c r="F417" s="948"/>
      <c r="G417" s="949"/>
      <c r="H417" s="950">
        <f t="shared" si="43"/>
        <v>0</v>
      </c>
      <c r="I417" s="950">
        <f t="shared" si="44"/>
        <v>0</v>
      </c>
      <c r="J417" s="950">
        <f t="shared" si="45"/>
        <v>0</v>
      </c>
      <c r="K417" s="948"/>
    </row>
    <row r="418" spans="1:11" ht="15.75" hidden="1" customHeight="1" outlineLevel="1">
      <c r="A418" s="940"/>
      <c r="B418" s="998"/>
      <c r="C418" s="1066" t="s">
        <v>1667</v>
      </c>
      <c r="D418" s="961"/>
      <c r="E418" s="986"/>
      <c r="F418" s="948"/>
      <c r="G418" s="949"/>
      <c r="H418" s="950">
        <f t="shared" si="43"/>
        <v>0</v>
      </c>
      <c r="I418" s="950">
        <f t="shared" si="44"/>
        <v>0</v>
      </c>
      <c r="J418" s="950">
        <f t="shared" si="45"/>
        <v>0</v>
      </c>
      <c r="K418" s="948"/>
    </row>
    <row r="419" spans="1:11" ht="15.75" hidden="1" customHeight="1" outlineLevel="1">
      <c r="A419" s="940"/>
      <c r="B419" s="998"/>
      <c r="C419" s="1066" t="s">
        <v>1668</v>
      </c>
      <c r="D419" s="961"/>
      <c r="E419" s="986"/>
      <c r="F419" s="948"/>
      <c r="G419" s="949"/>
      <c r="H419" s="950">
        <f t="shared" si="43"/>
        <v>0</v>
      </c>
      <c r="I419" s="950">
        <f t="shared" si="44"/>
        <v>0</v>
      </c>
      <c r="J419" s="950">
        <f t="shared" si="45"/>
        <v>0</v>
      </c>
      <c r="K419" s="948"/>
    </row>
    <row r="420" spans="1:11" ht="15.75" hidden="1" customHeight="1" outlineLevel="1">
      <c r="A420" s="940"/>
      <c r="B420" s="998"/>
      <c r="C420" s="1066" t="s">
        <v>1669</v>
      </c>
      <c r="D420" s="961"/>
      <c r="E420" s="986"/>
      <c r="F420" s="948"/>
      <c r="G420" s="949"/>
      <c r="H420" s="950">
        <f t="shared" si="43"/>
        <v>0</v>
      </c>
      <c r="I420" s="950">
        <f t="shared" si="44"/>
        <v>0</v>
      </c>
      <c r="J420" s="950">
        <f t="shared" si="45"/>
        <v>0</v>
      </c>
      <c r="K420" s="948"/>
    </row>
    <row r="421" spans="1:11" ht="15.75" hidden="1" customHeight="1" outlineLevel="1">
      <c r="A421" s="940"/>
      <c r="B421" s="998"/>
      <c r="C421" s="1066" t="s">
        <v>1670</v>
      </c>
      <c r="D421" s="961"/>
      <c r="E421" s="986"/>
      <c r="F421" s="948"/>
      <c r="G421" s="949"/>
      <c r="H421" s="950">
        <f t="shared" ref="H421:H484" si="46">E421*F421</f>
        <v>0</v>
      </c>
      <c r="I421" s="950">
        <f t="shared" si="44"/>
        <v>0</v>
      </c>
      <c r="J421" s="950">
        <f t="shared" si="45"/>
        <v>0</v>
      </c>
      <c r="K421" s="948"/>
    </row>
    <row r="422" spans="1:11" ht="15.75" hidden="1" customHeight="1" outlineLevel="1">
      <c r="A422" s="940"/>
      <c r="B422" s="998"/>
      <c r="C422" s="1066" t="s">
        <v>1671</v>
      </c>
      <c r="D422" s="961"/>
      <c r="E422" s="986"/>
      <c r="F422" s="948"/>
      <c r="G422" s="949"/>
      <c r="H422" s="950">
        <f t="shared" si="46"/>
        <v>0</v>
      </c>
      <c r="I422" s="950">
        <f t="shared" si="44"/>
        <v>0</v>
      </c>
      <c r="J422" s="950">
        <f t="shared" si="45"/>
        <v>0</v>
      </c>
      <c r="K422" s="948"/>
    </row>
    <row r="423" spans="1:11" ht="15.75" hidden="1" customHeight="1" outlineLevel="1">
      <c r="A423" s="940"/>
      <c r="B423" s="998"/>
      <c r="C423" s="1066" t="s">
        <v>1672</v>
      </c>
      <c r="D423" s="961"/>
      <c r="E423" s="986"/>
      <c r="F423" s="948"/>
      <c r="G423" s="949"/>
      <c r="H423" s="950">
        <f t="shared" si="46"/>
        <v>0</v>
      </c>
      <c r="I423" s="950">
        <f t="shared" si="44"/>
        <v>0</v>
      </c>
      <c r="J423" s="950">
        <f t="shared" si="45"/>
        <v>0</v>
      </c>
      <c r="K423" s="948"/>
    </row>
    <row r="424" spans="1:11" ht="15.75" hidden="1" customHeight="1" outlineLevel="1">
      <c r="A424" s="940"/>
      <c r="B424" s="998"/>
      <c r="C424" s="1066" t="s">
        <v>1673</v>
      </c>
      <c r="D424" s="961"/>
      <c r="E424" s="986"/>
      <c r="F424" s="948"/>
      <c r="G424" s="949"/>
      <c r="H424" s="950">
        <f t="shared" si="46"/>
        <v>0</v>
      </c>
      <c r="I424" s="950">
        <f t="shared" si="44"/>
        <v>0</v>
      </c>
      <c r="J424" s="950">
        <f t="shared" si="45"/>
        <v>0</v>
      </c>
      <c r="K424" s="948"/>
    </row>
    <row r="425" spans="1:11" ht="15.75" hidden="1" customHeight="1" outlineLevel="1">
      <c r="A425" s="940"/>
      <c r="B425" s="998"/>
      <c r="C425" s="1066" t="s">
        <v>1674</v>
      </c>
      <c r="D425" s="961"/>
      <c r="E425" s="986"/>
      <c r="F425" s="948"/>
      <c r="G425" s="949"/>
      <c r="H425" s="950">
        <f t="shared" si="46"/>
        <v>0</v>
      </c>
      <c r="I425" s="950">
        <f t="shared" si="44"/>
        <v>0</v>
      </c>
      <c r="J425" s="950">
        <f t="shared" si="45"/>
        <v>0</v>
      </c>
      <c r="K425" s="948"/>
    </row>
    <row r="426" spans="1:11" ht="15.75" hidden="1" customHeight="1" outlineLevel="1">
      <c r="A426" s="940"/>
      <c r="B426" s="998"/>
      <c r="C426" s="1066" t="s">
        <v>1675</v>
      </c>
      <c r="D426" s="961"/>
      <c r="E426" s="986"/>
      <c r="F426" s="948"/>
      <c r="G426" s="949"/>
      <c r="H426" s="950">
        <f t="shared" si="46"/>
        <v>0</v>
      </c>
      <c r="I426" s="950">
        <f t="shared" si="44"/>
        <v>0</v>
      </c>
      <c r="J426" s="950">
        <f t="shared" si="45"/>
        <v>0</v>
      </c>
      <c r="K426" s="948"/>
    </row>
    <row r="427" spans="1:11" ht="15.75" hidden="1" customHeight="1" outlineLevel="1">
      <c r="A427" s="940"/>
      <c r="B427" s="998"/>
      <c r="C427" s="1066" t="s">
        <v>1676</v>
      </c>
      <c r="D427" s="961"/>
      <c r="E427" s="986"/>
      <c r="F427" s="948"/>
      <c r="G427" s="949"/>
      <c r="H427" s="950">
        <f t="shared" si="46"/>
        <v>0</v>
      </c>
      <c r="I427" s="950">
        <f t="shared" si="44"/>
        <v>0</v>
      </c>
      <c r="J427" s="950">
        <f t="shared" si="45"/>
        <v>0</v>
      </c>
      <c r="K427" s="948"/>
    </row>
    <row r="428" spans="1:11" ht="15.75" hidden="1" customHeight="1" outlineLevel="1">
      <c r="A428" s="940"/>
      <c r="B428" s="998"/>
      <c r="C428" s="1066" t="s">
        <v>1677</v>
      </c>
      <c r="D428" s="961"/>
      <c r="E428" s="986"/>
      <c r="F428" s="948"/>
      <c r="G428" s="949"/>
      <c r="H428" s="950">
        <f t="shared" si="46"/>
        <v>0</v>
      </c>
      <c r="I428" s="950">
        <f t="shared" si="44"/>
        <v>0</v>
      </c>
      <c r="J428" s="950">
        <f t="shared" si="45"/>
        <v>0</v>
      </c>
      <c r="K428" s="948"/>
    </row>
    <row r="429" spans="1:11" ht="47.25" hidden="1" customHeight="1" outlineLevel="1">
      <c r="A429" s="940"/>
      <c r="B429" s="998"/>
      <c r="C429" s="1033" t="s">
        <v>1678</v>
      </c>
      <c r="D429" s="961"/>
      <c r="E429" s="986"/>
      <c r="F429" s="948"/>
      <c r="G429" s="949"/>
      <c r="H429" s="950">
        <f t="shared" si="46"/>
        <v>0</v>
      </c>
      <c r="I429" s="950">
        <f t="shared" si="44"/>
        <v>0</v>
      </c>
      <c r="J429" s="950">
        <f t="shared" si="45"/>
        <v>0</v>
      </c>
      <c r="K429" s="948"/>
    </row>
    <row r="430" spans="1:11" ht="31.5" hidden="1" customHeight="1" outlineLevel="1">
      <c r="A430" s="940"/>
      <c r="B430" s="998"/>
      <c r="C430" s="1033" t="s">
        <v>1679</v>
      </c>
      <c r="D430" s="961"/>
      <c r="E430" s="986"/>
      <c r="F430" s="948"/>
      <c r="G430" s="949"/>
      <c r="H430" s="950">
        <f t="shared" si="46"/>
        <v>0</v>
      </c>
      <c r="I430" s="950">
        <f t="shared" si="44"/>
        <v>0</v>
      </c>
      <c r="J430" s="950">
        <f t="shared" si="45"/>
        <v>0</v>
      </c>
      <c r="K430" s="948"/>
    </row>
    <row r="431" spans="1:11" ht="47.25" hidden="1" customHeight="1" outlineLevel="1">
      <c r="A431" s="940"/>
      <c r="B431" s="998"/>
      <c r="C431" s="1033" t="s">
        <v>1680</v>
      </c>
      <c r="D431" s="961"/>
      <c r="E431" s="986"/>
      <c r="F431" s="948"/>
      <c r="G431" s="949"/>
      <c r="H431" s="950">
        <f t="shared" si="46"/>
        <v>0</v>
      </c>
      <c r="I431" s="950">
        <f t="shared" si="44"/>
        <v>0</v>
      </c>
      <c r="J431" s="950">
        <f t="shared" si="45"/>
        <v>0</v>
      </c>
      <c r="K431" s="948"/>
    </row>
    <row r="432" spans="1:11" ht="47.25" hidden="1" customHeight="1" outlineLevel="1">
      <c r="A432" s="940"/>
      <c r="B432" s="998"/>
      <c r="C432" s="1033" t="s">
        <v>1681</v>
      </c>
      <c r="D432" s="961"/>
      <c r="E432" s="986"/>
      <c r="F432" s="948"/>
      <c r="G432" s="949"/>
      <c r="H432" s="950">
        <f t="shared" si="46"/>
        <v>0</v>
      </c>
      <c r="I432" s="950">
        <f t="shared" si="44"/>
        <v>0</v>
      </c>
      <c r="J432" s="950">
        <f t="shared" si="45"/>
        <v>0</v>
      </c>
      <c r="K432" s="948"/>
    </row>
    <row r="433" spans="1:11" ht="47.25" hidden="1" customHeight="1" outlineLevel="1">
      <c r="A433" s="940"/>
      <c r="B433" s="998"/>
      <c r="C433" s="1033" t="s">
        <v>1682</v>
      </c>
      <c r="D433" s="961"/>
      <c r="E433" s="986"/>
      <c r="F433" s="948"/>
      <c r="G433" s="949"/>
      <c r="H433" s="950">
        <f t="shared" si="46"/>
        <v>0</v>
      </c>
      <c r="I433" s="950">
        <f t="shared" si="44"/>
        <v>0</v>
      </c>
      <c r="J433" s="950">
        <f t="shared" si="45"/>
        <v>0</v>
      </c>
      <c r="K433" s="948"/>
    </row>
    <row r="434" spans="1:11" ht="47.25" hidden="1" customHeight="1" outlineLevel="1">
      <c r="A434" s="940"/>
      <c r="B434" s="998"/>
      <c r="C434" s="1033" t="s">
        <v>1683</v>
      </c>
      <c r="D434" s="961"/>
      <c r="E434" s="986"/>
      <c r="F434" s="948"/>
      <c r="G434" s="949"/>
      <c r="H434" s="950">
        <f t="shared" si="46"/>
        <v>0</v>
      </c>
      <c r="I434" s="950">
        <f t="shared" si="44"/>
        <v>0</v>
      </c>
      <c r="J434" s="950">
        <f t="shared" si="45"/>
        <v>0</v>
      </c>
      <c r="K434" s="948"/>
    </row>
    <row r="435" spans="1:11" ht="31.5" hidden="1" customHeight="1" outlineLevel="1">
      <c r="A435" s="940"/>
      <c r="B435" s="998"/>
      <c r="C435" s="1033" t="s">
        <v>1684</v>
      </c>
      <c r="D435" s="961"/>
      <c r="E435" s="986"/>
      <c r="F435" s="948"/>
      <c r="G435" s="949"/>
      <c r="H435" s="950">
        <f t="shared" si="46"/>
        <v>0</v>
      </c>
      <c r="I435" s="950">
        <f t="shared" si="44"/>
        <v>0</v>
      </c>
      <c r="J435" s="950">
        <f t="shared" si="45"/>
        <v>0</v>
      </c>
      <c r="K435" s="948"/>
    </row>
    <row r="436" spans="1:11" ht="31.5" hidden="1" customHeight="1" outlineLevel="1">
      <c r="A436" s="940"/>
      <c r="B436" s="998"/>
      <c r="C436" s="1066" t="s">
        <v>1634</v>
      </c>
      <c r="D436" s="961"/>
      <c r="E436" s="986"/>
      <c r="F436" s="948"/>
      <c r="G436" s="949"/>
      <c r="H436" s="950">
        <f t="shared" si="46"/>
        <v>0</v>
      </c>
      <c r="I436" s="950">
        <f t="shared" si="44"/>
        <v>0</v>
      </c>
      <c r="J436" s="950">
        <f t="shared" si="45"/>
        <v>0</v>
      </c>
      <c r="K436" s="948"/>
    </row>
    <row r="437" spans="1:11" ht="31.5" hidden="1" customHeight="1" outlineLevel="1">
      <c r="A437" s="940"/>
      <c r="B437" s="998"/>
      <c r="C437" s="1066" t="s">
        <v>1635</v>
      </c>
      <c r="D437" s="961"/>
      <c r="E437" s="986"/>
      <c r="F437" s="948"/>
      <c r="G437" s="949"/>
      <c r="H437" s="950">
        <f t="shared" si="46"/>
        <v>0</v>
      </c>
      <c r="I437" s="950">
        <f t="shared" si="44"/>
        <v>0</v>
      </c>
      <c r="J437" s="950">
        <f t="shared" si="45"/>
        <v>0</v>
      </c>
      <c r="K437" s="948"/>
    </row>
    <row r="438" spans="1:11" ht="15.75" hidden="1" customHeight="1" outlineLevel="1">
      <c r="A438" s="940"/>
      <c r="B438" s="998"/>
      <c r="C438" s="1066" t="s">
        <v>1636</v>
      </c>
      <c r="D438" s="961"/>
      <c r="E438" s="986"/>
      <c r="F438" s="948"/>
      <c r="G438" s="949"/>
      <c r="H438" s="950">
        <f t="shared" si="46"/>
        <v>0</v>
      </c>
      <c r="I438" s="950">
        <f t="shared" si="44"/>
        <v>0</v>
      </c>
      <c r="J438" s="950">
        <f t="shared" si="45"/>
        <v>0</v>
      </c>
      <c r="K438" s="948"/>
    </row>
    <row r="439" spans="1:11" ht="31.5" hidden="1" customHeight="1" outlineLevel="1">
      <c r="A439" s="940"/>
      <c r="B439" s="998"/>
      <c r="C439" s="1033" t="s">
        <v>1685</v>
      </c>
      <c r="D439" s="961"/>
      <c r="E439" s="986"/>
      <c r="F439" s="948"/>
      <c r="G439" s="949"/>
      <c r="H439" s="950">
        <f t="shared" si="46"/>
        <v>0</v>
      </c>
      <c r="I439" s="950">
        <f t="shared" si="44"/>
        <v>0</v>
      </c>
      <c r="J439" s="950">
        <f t="shared" si="45"/>
        <v>0</v>
      </c>
      <c r="K439" s="948"/>
    </row>
    <row r="440" spans="1:11" ht="47.25" hidden="1" customHeight="1" outlineLevel="1">
      <c r="A440" s="940"/>
      <c r="B440" s="998"/>
      <c r="C440" s="1068" t="s">
        <v>1686</v>
      </c>
      <c r="D440" s="961"/>
      <c r="E440" s="986"/>
      <c r="F440" s="948"/>
      <c r="G440" s="949"/>
      <c r="H440" s="950">
        <f t="shared" si="46"/>
        <v>0</v>
      </c>
      <c r="I440" s="950">
        <f t="shared" si="44"/>
        <v>0</v>
      </c>
      <c r="J440" s="950">
        <f t="shared" si="45"/>
        <v>0</v>
      </c>
      <c r="K440" s="948"/>
    </row>
    <row r="441" spans="1:11" ht="94.5" hidden="1" customHeight="1" outlineLevel="1">
      <c r="A441" s="940"/>
      <c r="B441" s="998"/>
      <c r="C441" s="1033" t="s">
        <v>1687</v>
      </c>
      <c r="D441" s="961"/>
      <c r="E441" s="986"/>
      <c r="F441" s="948"/>
      <c r="G441" s="949"/>
      <c r="H441" s="950">
        <f t="shared" si="46"/>
        <v>0</v>
      </c>
      <c r="I441" s="950">
        <f t="shared" si="44"/>
        <v>0</v>
      </c>
      <c r="J441" s="950">
        <f t="shared" si="45"/>
        <v>0</v>
      </c>
      <c r="K441" s="948"/>
    </row>
    <row r="442" spans="1:11" ht="31.5" hidden="1" customHeight="1" outlineLevel="1">
      <c r="A442" s="940"/>
      <c r="B442" s="998"/>
      <c r="C442" s="1069" t="s">
        <v>1688</v>
      </c>
      <c r="D442" s="961"/>
      <c r="E442" s="986"/>
      <c r="F442" s="948"/>
      <c r="G442" s="949"/>
      <c r="H442" s="950">
        <f t="shared" si="46"/>
        <v>0</v>
      </c>
      <c r="I442" s="950">
        <f t="shared" si="44"/>
        <v>0</v>
      </c>
      <c r="J442" s="950">
        <f t="shared" si="45"/>
        <v>0</v>
      </c>
      <c r="K442" s="948"/>
    </row>
    <row r="443" spans="1:11" ht="63" hidden="1" customHeight="1" outlineLevel="1">
      <c r="A443" s="940"/>
      <c r="B443" s="998"/>
      <c r="C443" s="1070" t="s">
        <v>1379</v>
      </c>
      <c r="D443" s="961"/>
      <c r="E443" s="986"/>
      <c r="F443" s="948"/>
      <c r="G443" s="949"/>
      <c r="H443" s="950">
        <f t="shared" si="46"/>
        <v>0</v>
      </c>
      <c r="I443" s="950">
        <f t="shared" si="44"/>
        <v>0</v>
      </c>
      <c r="J443" s="950">
        <f t="shared" si="45"/>
        <v>0</v>
      </c>
      <c r="K443" s="948"/>
    </row>
    <row r="444" spans="1:11" ht="15.75" hidden="1" customHeight="1" outlineLevel="1">
      <c r="A444" s="940"/>
      <c r="B444" s="998"/>
      <c r="C444" s="1070" t="s">
        <v>1380</v>
      </c>
      <c r="D444" s="961"/>
      <c r="E444" s="986"/>
      <c r="F444" s="948"/>
      <c r="G444" s="949"/>
      <c r="H444" s="950">
        <f t="shared" si="46"/>
        <v>0</v>
      </c>
      <c r="I444" s="950">
        <f t="shared" si="44"/>
        <v>0</v>
      </c>
      <c r="J444" s="950">
        <f t="shared" si="45"/>
        <v>0</v>
      </c>
      <c r="K444" s="948"/>
    </row>
    <row r="445" spans="1:11" ht="78.75" hidden="1" customHeight="1" outlineLevel="1">
      <c r="A445" s="940"/>
      <c r="B445" s="998"/>
      <c r="C445" s="1070" t="s">
        <v>1689</v>
      </c>
      <c r="D445" s="961"/>
      <c r="E445" s="986"/>
      <c r="F445" s="948"/>
      <c r="G445" s="949"/>
      <c r="H445" s="950">
        <f t="shared" si="46"/>
        <v>0</v>
      </c>
      <c r="I445" s="950">
        <f t="shared" si="44"/>
        <v>0</v>
      </c>
      <c r="J445" s="950">
        <f t="shared" si="45"/>
        <v>0</v>
      </c>
      <c r="K445" s="948"/>
    </row>
    <row r="446" spans="1:11" ht="47.25" hidden="1" customHeight="1" outlineLevel="1">
      <c r="A446" s="940"/>
      <c r="B446" s="998"/>
      <c r="C446" s="1070" t="s">
        <v>1690</v>
      </c>
      <c r="D446" s="961"/>
      <c r="E446" s="986"/>
      <c r="F446" s="948"/>
      <c r="G446" s="949"/>
      <c r="H446" s="950">
        <f t="shared" si="46"/>
        <v>0</v>
      </c>
      <c r="I446" s="950">
        <f t="shared" si="44"/>
        <v>0</v>
      </c>
      <c r="J446" s="950">
        <f t="shared" si="45"/>
        <v>0</v>
      </c>
      <c r="K446" s="948"/>
    </row>
    <row r="447" spans="1:11" ht="15.75" hidden="1" customHeight="1" outlineLevel="1">
      <c r="A447" s="940"/>
      <c r="B447" s="998"/>
      <c r="C447" s="1071" t="s">
        <v>1383</v>
      </c>
      <c r="D447" s="961"/>
      <c r="E447" s="986"/>
      <c r="F447" s="948"/>
      <c r="G447" s="949"/>
      <c r="H447" s="950">
        <f t="shared" si="46"/>
        <v>0</v>
      </c>
      <c r="I447" s="950">
        <f t="shared" si="44"/>
        <v>0</v>
      </c>
      <c r="J447" s="950">
        <f t="shared" si="45"/>
        <v>0</v>
      </c>
      <c r="K447" s="948"/>
    </row>
    <row r="448" spans="1:11" ht="31.5" hidden="1" customHeight="1" outlineLevel="1">
      <c r="A448" s="940"/>
      <c r="B448" s="998"/>
      <c r="C448" s="1070" t="s">
        <v>1384</v>
      </c>
      <c r="D448" s="961"/>
      <c r="E448" s="986"/>
      <c r="F448" s="948"/>
      <c r="G448" s="949"/>
      <c r="H448" s="950">
        <f t="shared" si="46"/>
        <v>0</v>
      </c>
      <c r="I448" s="950">
        <f t="shared" si="44"/>
        <v>0</v>
      </c>
      <c r="J448" s="950">
        <f t="shared" si="45"/>
        <v>0</v>
      </c>
      <c r="K448" s="948"/>
    </row>
    <row r="449" spans="1:11" ht="47.25" hidden="1" customHeight="1" outlineLevel="1">
      <c r="A449" s="940"/>
      <c r="B449" s="998"/>
      <c r="C449" s="1070" t="s">
        <v>1385</v>
      </c>
      <c r="D449" s="961"/>
      <c r="E449" s="986"/>
      <c r="F449" s="948"/>
      <c r="G449" s="949"/>
      <c r="H449" s="950">
        <f t="shared" si="46"/>
        <v>0</v>
      </c>
      <c r="I449" s="950">
        <f t="shared" si="44"/>
        <v>0</v>
      </c>
      <c r="J449" s="950">
        <f t="shared" si="45"/>
        <v>0</v>
      </c>
      <c r="K449" s="948"/>
    </row>
    <row r="450" spans="1:11" ht="47.25" hidden="1" customHeight="1" outlineLevel="1">
      <c r="A450" s="940"/>
      <c r="B450" s="998"/>
      <c r="C450" s="1070" t="s">
        <v>1386</v>
      </c>
      <c r="D450" s="961"/>
      <c r="E450" s="986"/>
      <c r="F450" s="948"/>
      <c r="G450" s="949"/>
      <c r="H450" s="950">
        <f t="shared" si="46"/>
        <v>0</v>
      </c>
      <c r="I450" s="950">
        <f t="shared" si="44"/>
        <v>0</v>
      </c>
      <c r="J450" s="950">
        <f t="shared" si="45"/>
        <v>0</v>
      </c>
      <c r="K450" s="948"/>
    </row>
    <row r="451" spans="1:11" ht="31.5" hidden="1" customHeight="1" outlineLevel="1">
      <c r="A451" s="940"/>
      <c r="B451" s="998"/>
      <c r="C451" s="1070" t="s">
        <v>1387</v>
      </c>
      <c r="D451" s="961"/>
      <c r="E451" s="986"/>
      <c r="F451" s="948"/>
      <c r="G451" s="949"/>
      <c r="H451" s="950">
        <f t="shared" si="46"/>
        <v>0</v>
      </c>
      <c r="I451" s="950">
        <f t="shared" si="44"/>
        <v>0</v>
      </c>
      <c r="J451" s="950">
        <f t="shared" si="45"/>
        <v>0</v>
      </c>
      <c r="K451" s="948"/>
    </row>
    <row r="452" spans="1:11" ht="47.25" hidden="1" customHeight="1" outlineLevel="1">
      <c r="A452" s="940"/>
      <c r="B452" s="998"/>
      <c r="C452" s="1070" t="s">
        <v>1388</v>
      </c>
      <c r="D452" s="961"/>
      <c r="E452" s="986"/>
      <c r="F452" s="948"/>
      <c r="G452" s="949"/>
      <c r="H452" s="950">
        <f t="shared" si="46"/>
        <v>0</v>
      </c>
      <c r="I452" s="950">
        <f t="shared" si="44"/>
        <v>0</v>
      </c>
      <c r="J452" s="950">
        <f t="shared" si="45"/>
        <v>0</v>
      </c>
      <c r="K452" s="948"/>
    </row>
    <row r="453" spans="1:11" ht="31.5" hidden="1" customHeight="1" outlineLevel="1">
      <c r="A453" s="940"/>
      <c r="B453" s="998"/>
      <c r="C453" s="1070" t="s">
        <v>1389</v>
      </c>
      <c r="D453" s="961"/>
      <c r="E453" s="986"/>
      <c r="F453" s="948"/>
      <c r="G453" s="949"/>
      <c r="H453" s="950">
        <f t="shared" si="46"/>
        <v>0</v>
      </c>
      <c r="I453" s="950">
        <f t="shared" si="44"/>
        <v>0</v>
      </c>
      <c r="J453" s="950">
        <f t="shared" si="45"/>
        <v>0</v>
      </c>
      <c r="K453" s="948"/>
    </row>
    <row r="454" spans="1:11" ht="15.75" hidden="1" customHeight="1" outlineLevel="1">
      <c r="A454" s="940"/>
      <c r="B454" s="998"/>
      <c r="C454" s="1071" t="s">
        <v>1390</v>
      </c>
      <c r="D454" s="961"/>
      <c r="E454" s="986"/>
      <c r="F454" s="948"/>
      <c r="G454" s="949"/>
      <c r="H454" s="950">
        <f t="shared" si="46"/>
        <v>0</v>
      </c>
      <c r="I454" s="950">
        <f t="shared" si="44"/>
        <v>0</v>
      </c>
      <c r="J454" s="950">
        <f t="shared" si="45"/>
        <v>0</v>
      </c>
      <c r="K454" s="948"/>
    </row>
    <row r="455" spans="1:11" ht="47.25" hidden="1" customHeight="1" outlineLevel="1">
      <c r="A455" s="940"/>
      <c r="B455" s="998"/>
      <c r="C455" s="1070" t="s">
        <v>1391</v>
      </c>
      <c r="D455" s="961"/>
      <c r="E455" s="986"/>
      <c r="F455" s="948"/>
      <c r="G455" s="949"/>
      <c r="H455" s="950">
        <f t="shared" si="46"/>
        <v>0</v>
      </c>
      <c r="I455" s="950">
        <f t="shared" si="44"/>
        <v>0</v>
      </c>
      <c r="J455" s="950">
        <f t="shared" si="45"/>
        <v>0</v>
      </c>
      <c r="K455" s="948"/>
    </row>
    <row r="456" spans="1:11" ht="47.25" hidden="1" customHeight="1" outlineLevel="1">
      <c r="A456" s="940"/>
      <c r="B456" s="998"/>
      <c r="C456" s="1070" t="s">
        <v>1392</v>
      </c>
      <c r="D456" s="961"/>
      <c r="E456" s="986"/>
      <c r="F456" s="948"/>
      <c r="G456" s="949"/>
      <c r="H456" s="950">
        <f t="shared" si="46"/>
        <v>0</v>
      </c>
      <c r="I456" s="950">
        <f t="shared" si="44"/>
        <v>0</v>
      </c>
      <c r="J456" s="950">
        <f t="shared" si="45"/>
        <v>0</v>
      </c>
      <c r="K456" s="948"/>
    </row>
    <row r="457" spans="1:11" ht="47.25" hidden="1" customHeight="1" outlineLevel="1">
      <c r="A457" s="940"/>
      <c r="B457" s="998"/>
      <c r="C457" s="1070" t="s">
        <v>1393</v>
      </c>
      <c r="D457" s="961"/>
      <c r="E457" s="986"/>
      <c r="F457" s="948"/>
      <c r="G457" s="949"/>
      <c r="H457" s="950">
        <f t="shared" si="46"/>
        <v>0</v>
      </c>
      <c r="I457" s="950">
        <f t="shared" si="44"/>
        <v>0</v>
      </c>
      <c r="J457" s="950">
        <f t="shared" si="45"/>
        <v>0</v>
      </c>
      <c r="K457" s="948"/>
    </row>
    <row r="458" spans="1:11" ht="31.5" hidden="1" customHeight="1" outlineLevel="1">
      <c r="A458" s="940"/>
      <c r="B458" s="998"/>
      <c r="C458" s="1070" t="s">
        <v>1394</v>
      </c>
      <c r="D458" s="961"/>
      <c r="E458" s="986"/>
      <c r="F458" s="948"/>
      <c r="G458" s="949"/>
      <c r="H458" s="950">
        <f t="shared" si="46"/>
        <v>0</v>
      </c>
      <c r="I458" s="950">
        <f t="shared" ref="I458:I521" si="47">+ROUND(F458*1.1,0)</f>
        <v>0</v>
      </c>
      <c r="J458" s="950">
        <f t="shared" ref="J458:J521" si="48">+ROUND(I458*E458,0)</f>
        <v>0</v>
      </c>
      <c r="K458" s="948"/>
    </row>
    <row r="459" spans="1:11" ht="15.75" hidden="1" customHeight="1" outlineLevel="1">
      <c r="A459" s="940"/>
      <c r="B459" s="998"/>
      <c r="C459" s="1071" t="s">
        <v>1395</v>
      </c>
      <c r="D459" s="961"/>
      <c r="E459" s="986"/>
      <c r="F459" s="948"/>
      <c r="G459" s="949"/>
      <c r="H459" s="950">
        <f t="shared" si="46"/>
        <v>0</v>
      </c>
      <c r="I459" s="950">
        <f t="shared" si="47"/>
        <v>0</v>
      </c>
      <c r="J459" s="950">
        <f t="shared" si="48"/>
        <v>0</v>
      </c>
      <c r="K459" s="948"/>
    </row>
    <row r="460" spans="1:11" ht="47.25" hidden="1" customHeight="1" outlineLevel="1">
      <c r="A460" s="940"/>
      <c r="B460" s="998"/>
      <c r="C460" s="1070" t="s">
        <v>1396</v>
      </c>
      <c r="D460" s="961"/>
      <c r="E460" s="986"/>
      <c r="F460" s="948"/>
      <c r="G460" s="949"/>
      <c r="H460" s="950">
        <f t="shared" si="46"/>
        <v>0</v>
      </c>
      <c r="I460" s="950">
        <f t="shared" si="47"/>
        <v>0</v>
      </c>
      <c r="J460" s="950">
        <f t="shared" si="48"/>
        <v>0</v>
      </c>
      <c r="K460" s="948"/>
    </row>
    <row r="461" spans="1:11" ht="31.5" hidden="1" customHeight="1" outlineLevel="1">
      <c r="A461" s="940"/>
      <c r="B461" s="998"/>
      <c r="C461" s="1070" t="s">
        <v>1397</v>
      </c>
      <c r="D461" s="961"/>
      <c r="E461" s="986"/>
      <c r="F461" s="948"/>
      <c r="G461" s="949"/>
      <c r="H461" s="950">
        <f t="shared" si="46"/>
        <v>0</v>
      </c>
      <c r="I461" s="950">
        <f t="shared" si="47"/>
        <v>0</v>
      </c>
      <c r="J461" s="950">
        <f t="shared" si="48"/>
        <v>0</v>
      </c>
      <c r="K461" s="948"/>
    </row>
    <row r="462" spans="1:11" ht="47.25" hidden="1" customHeight="1" outlineLevel="1">
      <c r="A462" s="940"/>
      <c r="B462" s="998"/>
      <c r="C462" s="1070" t="s">
        <v>1398</v>
      </c>
      <c r="D462" s="961"/>
      <c r="E462" s="986"/>
      <c r="F462" s="948"/>
      <c r="G462" s="949"/>
      <c r="H462" s="950">
        <f t="shared" si="46"/>
        <v>0</v>
      </c>
      <c r="I462" s="950">
        <f t="shared" si="47"/>
        <v>0</v>
      </c>
      <c r="J462" s="950">
        <f t="shared" si="48"/>
        <v>0</v>
      </c>
      <c r="K462" s="948"/>
    </row>
    <row r="463" spans="1:11" ht="47.25" hidden="1" customHeight="1" outlineLevel="1">
      <c r="A463" s="940"/>
      <c r="B463" s="998"/>
      <c r="C463" s="1070" t="s">
        <v>1399</v>
      </c>
      <c r="D463" s="961"/>
      <c r="E463" s="986"/>
      <c r="F463" s="948"/>
      <c r="G463" s="949"/>
      <c r="H463" s="950">
        <f t="shared" si="46"/>
        <v>0</v>
      </c>
      <c r="I463" s="950">
        <f t="shared" si="47"/>
        <v>0</v>
      </c>
      <c r="J463" s="950">
        <f t="shared" si="48"/>
        <v>0</v>
      </c>
      <c r="K463" s="948"/>
    </row>
    <row r="464" spans="1:11" ht="47.25" hidden="1" customHeight="1" outlineLevel="1">
      <c r="A464" s="940"/>
      <c r="B464" s="998"/>
      <c r="C464" s="1070" t="s">
        <v>1400</v>
      </c>
      <c r="D464" s="961"/>
      <c r="E464" s="986"/>
      <c r="F464" s="948"/>
      <c r="G464" s="949"/>
      <c r="H464" s="950">
        <f t="shared" si="46"/>
        <v>0</v>
      </c>
      <c r="I464" s="950">
        <f t="shared" si="47"/>
        <v>0</v>
      </c>
      <c r="J464" s="950">
        <f t="shared" si="48"/>
        <v>0</v>
      </c>
      <c r="K464" s="948"/>
    </row>
    <row r="465" spans="1:11" ht="63" hidden="1" customHeight="1" outlineLevel="1">
      <c r="A465" s="940"/>
      <c r="B465" s="998"/>
      <c r="C465" s="1070" t="s">
        <v>1401</v>
      </c>
      <c r="D465" s="961"/>
      <c r="E465" s="986"/>
      <c r="F465" s="948"/>
      <c r="G465" s="949"/>
      <c r="H465" s="950">
        <f t="shared" si="46"/>
        <v>0</v>
      </c>
      <c r="I465" s="950">
        <f t="shared" si="47"/>
        <v>0</v>
      </c>
      <c r="J465" s="950">
        <f t="shared" si="48"/>
        <v>0</v>
      </c>
      <c r="K465" s="948"/>
    </row>
    <row r="466" spans="1:11" ht="47.25" hidden="1" customHeight="1" outlineLevel="1">
      <c r="A466" s="940"/>
      <c r="B466" s="998"/>
      <c r="C466" s="1070" t="s">
        <v>1402</v>
      </c>
      <c r="D466" s="961"/>
      <c r="E466" s="986"/>
      <c r="F466" s="948"/>
      <c r="G466" s="949"/>
      <c r="H466" s="950">
        <f t="shared" si="46"/>
        <v>0</v>
      </c>
      <c r="I466" s="950">
        <f t="shared" si="47"/>
        <v>0</v>
      </c>
      <c r="J466" s="950">
        <f t="shared" si="48"/>
        <v>0</v>
      </c>
      <c r="K466" s="948"/>
    </row>
    <row r="467" spans="1:11" ht="15.75" hidden="1" customHeight="1" outlineLevel="1">
      <c r="A467" s="940"/>
      <c r="B467" s="998"/>
      <c r="C467" s="1071" t="s">
        <v>1403</v>
      </c>
      <c r="D467" s="961"/>
      <c r="E467" s="986"/>
      <c r="F467" s="948"/>
      <c r="G467" s="949"/>
      <c r="H467" s="950">
        <f t="shared" si="46"/>
        <v>0</v>
      </c>
      <c r="I467" s="950">
        <f t="shared" si="47"/>
        <v>0</v>
      </c>
      <c r="J467" s="950">
        <f t="shared" si="48"/>
        <v>0</v>
      </c>
      <c r="K467" s="948"/>
    </row>
    <row r="468" spans="1:11" ht="15.75" hidden="1" customHeight="1" outlineLevel="1">
      <c r="A468" s="940"/>
      <c r="B468" s="998"/>
      <c r="C468" s="1071" t="s">
        <v>1404</v>
      </c>
      <c r="D468" s="961"/>
      <c r="E468" s="986"/>
      <c r="F468" s="948"/>
      <c r="G468" s="949"/>
      <c r="H468" s="950">
        <f t="shared" si="46"/>
        <v>0</v>
      </c>
      <c r="I468" s="950">
        <f t="shared" si="47"/>
        <v>0</v>
      </c>
      <c r="J468" s="950">
        <f t="shared" si="48"/>
        <v>0</v>
      </c>
      <c r="K468" s="948"/>
    </row>
    <row r="469" spans="1:11" ht="63" hidden="1" customHeight="1" outlineLevel="1">
      <c r="A469" s="940"/>
      <c r="B469" s="998"/>
      <c r="C469" s="1070" t="s">
        <v>1405</v>
      </c>
      <c r="D469" s="961"/>
      <c r="E469" s="986"/>
      <c r="F469" s="948"/>
      <c r="G469" s="949"/>
      <c r="H469" s="950">
        <f t="shared" si="46"/>
        <v>0</v>
      </c>
      <c r="I469" s="950">
        <f t="shared" si="47"/>
        <v>0</v>
      </c>
      <c r="J469" s="950">
        <f t="shared" si="48"/>
        <v>0</v>
      </c>
      <c r="K469" s="948"/>
    </row>
    <row r="470" spans="1:11" ht="47.25" hidden="1" customHeight="1" outlineLevel="1">
      <c r="A470" s="940"/>
      <c r="B470" s="998"/>
      <c r="C470" s="1070" t="s">
        <v>1406</v>
      </c>
      <c r="D470" s="961"/>
      <c r="E470" s="986"/>
      <c r="F470" s="948"/>
      <c r="G470" s="949"/>
      <c r="H470" s="950">
        <f t="shared" si="46"/>
        <v>0</v>
      </c>
      <c r="I470" s="950">
        <f t="shared" si="47"/>
        <v>0</v>
      </c>
      <c r="J470" s="950">
        <f t="shared" si="48"/>
        <v>0</v>
      </c>
      <c r="K470" s="948"/>
    </row>
    <row r="471" spans="1:11" ht="31.5" hidden="1" customHeight="1" outlineLevel="1">
      <c r="A471" s="940"/>
      <c r="B471" s="998"/>
      <c r="C471" s="1070" t="s">
        <v>1407</v>
      </c>
      <c r="D471" s="961"/>
      <c r="E471" s="986"/>
      <c r="F471" s="948"/>
      <c r="G471" s="949"/>
      <c r="H471" s="950">
        <f t="shared" si="46"/>
        <v>0</v>
      </c>
      <c r="I471" s="950">
        <f t="shared" si="47"/>
        <v>0</v>
      </c>
      <c r="J471" s="950">
        <f t="shared" si="48"/>
        <v>0</v>
      </c>
      <c r="K471" s="948"/>
    </row>
    <row r="472" spans="1:11" ht="31.5" hidden="1" customHeight="1" outlineLevel="1">
      <c r="A472" s="940"/>
      <c r="B472" s="998"/>
      <c r="C472" s="1070" t="s">
        <v>1408</v>
      </c>
      <c r="D472" s="961"/>
      <c r="E472" s="986"/>
      <c r="F472" s="948"/>
      <c r="G472" s="949"/>
      <c r="H472" s="950">
        <f t="shared" si="46"/>
        <v>0</v>
      </c>
      <c r="I472" s="950">
        <f t="shared" si="47"/>
        <v>0</v>
      </c>
      <c r="J472" s="950">
        <f t="shared" si="48"/>
        <v>0</v>
      </c>
      <c r="K472" s="948"/>
    </row>
    <row r="473" spans="1:11" ht="78.75" hidden="1" customHeight="1" outlineLevel="1">
      <c r="A473" s="940"/>
      <c r="B473" s="998"/>
      <c r="C473" s="1070" t="s">
        <v>1409</v>
      </c>
      <c r="D473" s="961"/>
      <c r="E473" s="986"/>
      <c r="F473" s="948"/>
      <c r="G473" s="949"/>
      <c r="H473" s="950">
        <f t="shared" si="46"/>
        <v>0</v>
      </c>
      <c r="I473" s="950">
        <f t="shared" si="47"/>
        <v>0</v>
      </c>
      <c r="J473" s="950">
        <f t="shared" si="48"/>
        <v>0</v>
      </c>
      <c r="K473" s="948"/>
    </row>
    <row r="474" spans="1:11" ht="31.5" hidden="1" customHeight="1" outlineLevel="1">
      <c r="A474" s="940"/>
      <c r="B474" s="998"/>
      <c r="C474" s="1070" t="s">
        <v>1410</v>
      </c>
      <c r="D474" s="961"/>
      <c r="E474" s="986"/>
      <c r="F474" s="948"/>
      <c r="G474" s="949"/>
      <c r="H474" s="950">
        <f t="shared" si="46"/>
        <v>0</v>
      </c>
      <c r="I474" s="950">
        <f t="shared" si="47"/>
        <v>0</v>
      </c>
      <c r="J474" s="950">
        <f t="shared" si="48"/>
        <v>0</v>
      </c>
      <c r="K474" s="948"/>
    </row>
    <row r="475" spans="1:11" ht="47.25" hidden="1" customHeight="1" outlineLevel="1">
      <c r="A475" s="940"/>
      <c r="B475" s="998"/>
      <c r="C475" s="1070" t="s">
        <v>1411</v>
      </c>
      <c r="D475" s="961"/>
      <c r="E475" s="986"/>
      <c r="F475" s="948"/>
      <c r="G475" s="949"/>
      <c r="H475" s="950">
        <f t="shared" si="46"/>
        <v>0</v>
      </c>
      <c r="I475" s="950">
        <f t="shared" si="47"/>
        <v>0</v>
      </c>
      <c r="J475" s="950">
        <f t="shared" si="48"/>
        <v>0</v>
      </c>
      <c r="K475" s="948"/>
    </row>
    <row r="476" spans="1:11" ht="63" hidden="1" customHeight="1" outlineLevel="1">
      <c r="A476" s="940"/>
      <c r="B476" s="998"/>
      <c r="C476" s="1070" t="s">
        <v>1412</v>
      </c>
      <c r="D476" s="961"/>
      <c r="E476" s="986"/>
      <c r="F476" s="948"/>
      <c r="G476" s="949"/>
      <c r="H476" s="950">
        <f t="shared" si="46"/>
        <v>0</v>
      </c>
      <c r="I476" s="950">
        <f t="shared" si="47"/>
        <v>0</v>
      </c>
      <c r="J476" s="950">
        <f t="shared" si="48"/>
        <v>0</v>
      </c>
      <c r="K476" s="948"/>
    </row>
    <row r="477" spans="1:11" ht="78.75" hidden="1" customHeight="1" outlineLevel="1">
      <c r="A477" s="940"/>
      <c r="B477" s="998"/>
      <c r="C477" s="1070" t="s">
        <v>1413</v>
      </c>
      <c r="D477" s="961"/>
      <c r="E477" s="986"/>
      <c r="F477" s="948"/>
      <c r="G477" s="949"/>
      <c r="H477" s="950">
        <f t="shared" si="46"/>
        <v>0</v>
      </c>
      <c r="I477" s="950">
        <f t="shared" si="47"/>
        <v>0</v>
      </c>
      <c r="J477" s="950">
        <f t="shared" si="48"/>
        <v>0</v>
      </c>
      <c r="K477" s="948"/>
    </row>
    <row r="478" spans="1:11" ht="15.75" hidden="1" customHeight="1" outlineLevel="1">
      <c r="A478" s="940"/>
      <c r="B478" s="998"/>
      <c r="C478" s="1071" t="s">
        <v>1414</v>
      </c>
      <c r="D478" s="961"/>
      <c r="E478" s="986"/>
      <c r="F478" s="948"/>
      <c r="G478" s="949"/>
      <c r="H478" s="950">
        <f t="shared" si="46"/>
        <v>0</v>
      </c>
      <c r="I478" s="950">
        <f t="shared" si="47"/>
        <v>0</v>
      </c>
      <c r="J478" s="950">
        <f t="shared" si="48"/>
        <v>0</v>
      </c>
      <c r="K478" s="948"/>
    </row>
    <row r="479" spans="1:11" ht="78.75" hidden="1" customHeight="1" outlineLevel="1">
      <c r="A479" s="940"/>
      <c r="B479" s="998"/>
      <c r="C479" s="1070" t="s">
        <v>1415</v>
      </c>
      <c r="D479" s="961"/>
      <c r="E479" s="986"/>
      <c r="F479" s="948"/>
      <c r="G479" s="949"/>
      <c r="H479" s="950">
        <f t="shared" si="46"/>
        <v>0</v>
      </c>
      <c r="I479" s="950">
        <f t="shared" si="47"/>
        <v>0</v>
      </c>
      <c r="J479" s="950">
        <f t="shared" si="48"/>
        <v>0</v>
      </c>
      <c r="K479" s="948"/>
    </row>
    <row r="480" spans="1:11" ht="31.5" hidden="1" customHeight="1" outlineLevel="1">
      <c r="A480" s="940"/>
      <c r="B480" s="998"/>
      <c r="C480" s="1070" t="s">
        <v>1416</v>
      </c>
      <c r="D480" s="961"/>
      <c r="E480" s="986"/>
      <c r="F480" s="948"/>
      <c r="G480" s="949"/>
      <c r="H480" s="950">
        <f t="shared" si="46"/>
        <v>0</v>
      </c>
      <c r="I480" s="950">
        <f t="shared" si="47"/>
        <v>0</v>
      </c>
      <c r="J480" s="950">
        <f t="shared" si="48"/>
        <v>0</v>
      </c>
      <c r="K480" s="948"/>
    </row>
    <row r="481" spans="1:11" ht="47.25" hidden="1" customHeight="1" outlineLevel="1">
      <c r="A481" s="940"/>
      <c r="B481" s="998"/>
      <c r="C481" s="1070" t="s">
        <v>1417</v>
      </c>
      <c r="D481" s="961"/>
      <c r="E481" s="986"/>
      <c r="F481" s="948"/>
      <c r="G481" s="949"/>
      <c r="H481" s="950">
        <f t="shared" si="46"/>
        <v>0</v>
      </c>
      <c r="I481" s="950">
        <f t="shared" si="47"/>
        <v>0</v>
      </c>
      <c r="J481" s="950">
        <f t="shared" si="48"/>
        <v>0</v>
      </c>
      <c r="K481" s="948"/>
    </row>
    <row r="482" spans="1:11" ht="63" hidden="1" customHeight="1" outlineLevel="1">
      <c r="A482" s="940"/>
      <c r="B482" s="998"/>
      <c r="C482" s="1070" t="s">
        <v>1418</v>
      </c>
      <c r="D482" s="961"/>
      <c r="E482" s="986"/>
      <c r="F482" s="948"/>
      <c r="G482" s="949"/>
      <c r="H482" s="950">
        <f t="shared" si="46"/>
        <v>0</v>
      </c>
      <c r="I482" s="950">
        <f t="shared" si="47"/>
        <v>0</v>
      </c>
      <c r="J482" s="950">
        <f t="shared" si="48"/>
        <v>0</v>
      </c>
      <c r="K482" s="948"/>
    </row>
    <row r="483" spans="1:11" ht="31.5" hidden="1" customHeight="1" outlineLevel="1">
      <c r="A483" s="940"/>
      <c r="B483" s="998"/>
      <c r="C483" s="1070" t="s">
        <v>1419</v>
      </c>
      <c r="D483" s="961"/>
      <c r="E483" s="986"/>
      <c r="F483" s="948"/>
      <c r="G483" s="949"/>
      <c r="H483" s="950">
        <f t="shared" si="46"/>
        <v>0</v>
      </c>
      <c r="I483" s="950">
        <f t="shared" si="47"/>
        <v>0</v>
      </c>
      <c r="J483" s="950">
        <f t="shared" si="48"/>
        <v>0</v>
      </c>
      <c r="K483" s="948"/>
    </row>
    <row r="484" spans="1:11" ht="15.75" hidden="1" customHeight="1" outlineLevel="1">
      <c r="A484" s="940"/>
      <c r="B484" s="998"/>
      <c r="C484" s="1071" t="s">
        <v>1420</v>
      </c>
      <c r="D484" s="961"/>
      <c r="E484" s="986"/>
      <c r="F484" s="948"/>
      <c r="G484" s="949"/>
      <c r="H484" s="950">
        <f t="shared" si="46"/>
        <v>0</v>
      </c>
      <c r="I484" s="950">
        <f t="shared" si="47"/>
        <v>0</v>
      </c>
      <c r="J484" s="950">
        <f t="shared" si="48"/>
        <v>0</v>
      </c>
      <c r="K484" s="948"/>
    </row>
    <row r="485" spans="1:11" ht="63" hidden="1" customHeight="1" outlineLevel="1">
      <c r="A485" s="940"/>
      <c r="B485" s="998"/>
      <c r="C485" s="1070" t="s">
        <v>1421</v>
      </c>
      <c r="D485" s="961"/>
      <c r="E485" s="986"/>
      <c r="F485" s="948"/>
      <c r="G485" s="949"/>
      <c r="H485" s="950">
        <f t="shared" ref="H485:H548" si="49">E485*F485</f>
        <v>0</v>
      </c>
      <c r="I485" s="950">
        <f t="shared" si="47"/>
        <v>0</v>
      </c>
      <c r="J485" s="950">
        <f t="shared" si="48"/>
        <v>0</v>
      </c>
      <c r="K485" s="948"/>
    </row>
    <row r="486" spans="1:11" ht="63" hidden="1" customHeight="1" outlineLevel="1">
      <c r="A486" s="940"/>
      <c r="B486" s="998"/>
      <c r="C486" s="1072" t="s">
        <v>1422</v>
      </c>
      <c r="D486" s="961"/>
      <c r="E486" s="986"/>
      <c r="F486" s="948"/>
      <c r="G486" s="949"/>
      <c r="H486" s="950">
        <f t="shared" si="49"/>
        <v>0</v>
      </c>
      <c r="I486" s="950">
        <f t="shared" si="47"/>
        <v>0</v>
      </c>
      <c r="J486" s="950">
        <f t="shared" si="48"/>
        <v>0</v>
      </c>
      <c r="K486" s="948"/>
    </row>
    <row r="487" spans="1:11" ht="31.5" hidden="1" customHeight="1" outlineLevel="1">
      <c r="A487" s="940"/>
      <c r="B487" s="998"/>
      <c r="C487" s="1073" t="s">
        <v>1691</v>
      </c>
      <c r="D487" s="961"/>
      <c r="E487" s="986"/>
      <c r="F487" s="948"/>
      <c r="G487" s="949"/>
      <c r="H487" s="950">
        <f t="shared" si="49"/>
        <v>0</v>
      </c>
      <c r="I487" s="950">
        <f t="shared" si="47"/>
        <v>0</v>
      </c>
      <c r="J487" s="950">
        <f t="shared" si="48"/>
        <v>0</v>
      </c>
      <c r="K487" s="948"/>
    </row>
    <row r="488" spans="1:11" ht="16.5" hidden="1" customHeight="1" outlineLevel="1">
      <c r="A488" s="940"/>
      <c r="B488" s="998"/>
      <c r="C488" s="1074" t="s">
        <v>1692</v>
      </c>
      <c r="D488" s="961"/>
      <c r="E488" s="986"/>
      <c r="F488" s="948"/>
      <c r="G488" s="949"/>
      <c r="H488" s="950">
        <f t="shared" si="49"/>
        <v>0</v>
      </c>
      <c r="I488" s="950">
        <f t="shared" si="47"/>
        <v>0</v>
      </c>
      <c r="J488" s="950">
        <f t="shared" si="48"/>
        <v>0</v>
      </c>
      <c r="K488" s="948"/>
    </row>
    <row r="489" spans="1:11" ht="16.5" hidden="1" customHeight="1" outlineLevel="1">
      <c r="A489" s="940"/>
      <c r="B489" s="998"/>
      <c r="C489" s="1075" t="s">
        <v>1693</v>
      </c>
      <c r="D489" s="961"/>
      <c r="E489" s="986"/>
      <c r="F489" s="948"/>
      <c r="G489" s="949"/>
      <c r="H489" s="950">
        <f t="shared" si="49"/>
        <v>0</v>
      </c>
      <c r="I489" s="950">
        <f t="shared" si="47"/>
        <v>0</v>
      </c>
      <c r="J489" s="950">
        <f t="shared" si="48"/>
        <v>0</v>
      </c>
      <c r="K489" s="948"/>
    </row>
    <row r="490" spans="1:11" ht="16.5" hidden="1" customHeight="1" outlineLevel="1">
      <c r="A490" s="940"/>
      <c r="B490" s="998"/>
      <c r="C490" s="1075" t="s">
        <v>1694</v>
      </c>
      <c r="D490" s="961"/>
      <c r="E490" s="986"/>
      <c r="F490" s="948"/>
      <c r="G490" s="949"/>
      <c r="H490" s="950">
        <f t="shared" si="49"/>
        <v>0</v>
      </c>
      <c r="I490" s="950">
        <f t="shared" si="47"/>
        <v>0</v>
      </c>
      <c r="J490" s="950">
        <f t="shared" si="48"/>
        <v>0</v>
      </c>
      <c r="K490" s="948"/>
    </row>
    <row r="491" spans="1:11" ht="16.5" hidden="1" customHeight="1" outlineLevel="1">
      <c r="A491" s="940"/>
      <c r="B491" s="998"/>
      <c r="C491" s="1075" t="s">
        <v>1695</v>
      </c>
      <c r="D491" s="961"/>
      <c r="E491" s="986"/>
      <c r="F491" s="948"/>
      <c r="G491" s="949"/>
      <c r="H491" s="950">
        <f t="shared" si="49"/>
        <v>0</v>
      </c>
      <c r="I491" s="950">
        <f t="shared" si="47"/>
        <v>0</v>
      </c>
      <c r="J491" s="950">
        <f t="shared" si="48"/>
        <v>0</v>
      </c>
      <c r="K491" s="948"/>
    </row>
    <row r="492" spans="1:11" ht="33" hidden="1" customHeight="1" outlineLevel="1">
      <c r="A492" s="940"/>
      <c r="B492" s="998"/>
      <c r="C492" s="1075" t="s">
        <v>1696</v>
      </c>
      <c r="D492" s="961"/>
      <c r="E492" s="986"/>
      <c r="F492" s="948"/>
      <c r="G492" s="949"/>
      <c r="H492" s="950">
        <f t="shared" si="49"/>
        <v>0</v>
      </c>
      <c r="I492" s="950">
        <f t="shared" si="47"/>
        <v>0</v>
      </c>
      <c r="J492" s="950">
        <f t="shared" si="48"/>
        <v>0</v>
      </c>
      <c r="K492" s="948"/>
    </row>
    <row r="493" spans="1:11" ht="16.5" hidden="1" customHeight="1" outlineLevel="1">
      <c r="A493" s="940"/>
      <c r="B493" s="998"/>
      <c r="C493" s="1076" t="s">
        <v>1697</v>
      </c>
      <c r="D493" s="961"/>
      <c r="E493" s="986"/>
      <c r="F493" s="948"/>
      <c r="G493" s="949"/>
      <c r="H493" s="950">
        <f t="shared" si="49"/>
        <v>0</v>
      </c>
      <c r="I493" s="950">
        <f t="shared" si="47"/>
        <v>0</v>
      </c>
      <c r="J493" s="950">
        <f t="shared" si="48"/>
        <v>0</v>
      </c>
      <c r="K493" s="948"/>
    </row>
    <row r="494" spans="1:11" ht="16.5" hidden="1" customHeight="1" outlineLevel="1">
      <c r="A494" s="940"/>
      <c r="B494" s="998"/>
      <c r="C494" s="1076" t="s">
        <v>1698</v>
      </c>
      <c r="D494" s="961"/>
      <c r="E494" s="986"/>
      <c r="F494" s="948"/>
      <c r="G494" s="949"/>
      <c r="H494" s="950">
        <f t="shared" si="49"/>
        <v>0</v>
      </c>
      <c r="I494" s="950">
        <f t="shared" si="47"/>
        <v>0</v>
      </c>
      <c r="J494" s="950">
        <f t="shared" si="48"/>
        <v>0</v>
      </c>
      <c r="K494" s="948"/>
    </row>
    <row r="495" spans="1:11" ht="16.5" hidden="1" customHeight="1" outlineLevel="1">
      <c r="A495" s="940"/>
      <c r="B495" s="998"/>
      <c r="C495" s="1076" t="s">
        <v>1699</v>
      </c>
      <c r="D495" s="961"/>
      <c r="E495" s="986"/>
      <c r="F495" s="948"/>
      <c r="G495" s="949"/>
      <c r="H495" s="950">
        <f t="shared" si="49"/>
        <v>0</v>
      </c>
      <c r="I495" s="950">
        <f t="shared" si="47"/>
        <v>0</v>
      </c>
      <c r="J495" s="950">
        <f t="shared" si="48"/>
        <v>0</v>
      </c>
      <c r="K495" s="948"/>
    </row>
    <row r="496" spans="1:11" ht="16.5" hidden="1" customHeight="1" outlineLevel="1">
      <c r="A496" s="940"/>
      <c r="B496" s="998"/>
      <c r="C496" s="1076" t="s">
        <v>1700</v>
      </c>
      <c r="D496" s="961"/>
      <c r="E496" s="986"/>
      <c r="F496" s="948"/>
      <c r="G496" s="949"/>
      <c r="H496" s="950">
        <f t="shared" si="49"/>
        <v>0</v>
      </c>
      <c r="I496" s="950">
        <f t="shared" si="47"/>
        <v>0</v>
      </c>
      <c r="J496" s="950">
        <f t="shared" si="48"/>
        <v>0</v>
      </c>
      <c r="K496" s="948"/>
    </row>
    <row r="497" spans="1:11" ht="16.5" hidden="1" customHeight="1" outlineLevel="1">
      <c r="A497" s="940"/>
      <c r="B497" s="998"/>
      <c r="C497" s="1076" t="s">
        <v>1701</v>
      </c>
      <c r="D497" s="961"/>
      <c r="E497" s="986"/>
      <c r="F497" s="948"/>
      <c r="G497" s="949"/>
      <c r="H497" s="950">
        <f t="shared" si="49"/>
        <v>0</v>
      </c>
      <c r="I497" s="950">
        <f t="shared" si="47"/>
        <v>0</v>
      </c>
      <c r="J497" s="950">
        <f t="shared" si="48"/>
        <v>0</v>
      </c>
      <c r="K497" s="948"/>
    </row>
    <row r="498" spans="1:11" ht="16.5" hidden="1" customHeight="1" outlineLevel="1">
      <c r="A498" s="940"/>
      <c r="B498" s="998"/>
      <c r="C498" s="1076" t="s">
        <v>1702</v>
      </c>
      <c r="D498" s="961"/>
      <c r="E498" s="986"/>
      <c r="F498" s="948"/>
      <c r="G498" s="949"/>
      <c r="H498" s="950">
        <f t="shared" si="49"/>
        <v>0</v>
      </c>
      <c r="I498" s="950">
        <f t="shared" si="47"/>
        <v>0</v>
      </c>
      <c r="J498" s="950">
        <f t="shared" si="48"/>
        <v>0</v>
      </c>
      <c r="K498" s="948"/>
    </row>
    <row r="499" spans="1:11" ht="33" hidden="1" customHeight="1" outlineLevel="1">
      <c r="A499" s="940"/>
      <c r="B499" s="998"/>
      <c r="C499" s="1076" t="s">
        <v>1703</v>
      </c>
      <c r="D499" s="961"/>
      <c r="E499" s="986"/>
      <c r="F499" s="948"/>
      <c r="G499" s="949"/>
      <c r="H499" s="950">
        <f t="shared" si="49"/>
        <v>0</v>
      </c>
      <c r="I499" s="950">
        <f t="shared" si="47"/>
        <v>0</v>
      </c>
      <c r="J499" s="950">
        <f t="shared" si="48"/>
        <v>0</v>
      </c>
      <c r="K499" s="948"/>
    </row>
    <row r="500" spans="1:11" ht="66" hidden="1" customHeight="1" outlineLevel="1">
      <c r="A500" s="940"/>
      <c r="B500" s="998"/>
      <c r="C500" s="1076" t="s">
        <v>1704</v>
      </c>
      <c r="D500" s="961"/>
      <c r="E500" s="986"/>
      <c r="F500" s="948"/>
      <c r="G500" s="949"/>
      <c r="H500" s="950">
        <f t="shared" si="49"/>
        <v>0</v>
      </c>
      <c r="I500" s="950">
        <f t="shared" si="47"/>
        <v>0</v>
      </c>
      <c r="J500" s="950">
        <f t="shared" si="48"/>
        <v>0</v>
      </c>
      <c r="K500" s="948"/>
    </row>
    <row r="501" spans="1:11" ht="49.5" hidden="1" customHeight="1" outlineLevel="1">
      <c r="A501" s="940"/>
      <c r="B501" s="998"/>
      <c r="C501" s="1076" t="s">
        <v>1705</v>
      </c>
      <c r="D501" s="961"/>
      <c r="E501" s="986"/>
      <c r="F501" s="948"/>
      <c r="G501" s="949"/>
      <c r="H501" s="950">
        <f t="shared" si="49"/>
        <v>0</v>
      </c>
      <c r="I501" s="950">
        <f t="shared" si="47"/>
        <v>0</v>
      </c>
      <c r="J501" s="950">
        <f t="shared" si="48"/>
        <v>0</v>
      </c>
      <c r="K501" s="948"/>
    </row>
    <row r="502" spans="1:11" ht="33" hidden="1" customHeight="1" outlineLevel="1">
      <c r="A502" s="940"/>
      <c r="B502" s="998"/>
      <c r="C502" s="1076" t="s">
        <v>1706</v>
      </c>
      <c r="D502" s="961"/>
      <c r="E502" s="986"/>
      <c r="F502" s="948"/>
      <c r="G502" s="949"/>
      <c r="H502" s="950">
        <f t="shared" si="49"/>
        <v>0</v>
      </c>
      <c r="I502" s="950">
        <f t="shared" si="47"/>
        <v>0</v>
      </c>
      <c r="J502" s="950">
        <f t="shared" si="48"/>
        <v>0</v>
      </c>
      <c r="K502" s="948"/>
    </row>
    <row r="503" spans="1:11" ht="33" hidden="1" customHeight="1" outlineLevel="1">
      <c r="A503" s="940"/>
      <c r="B503" s="998"/>
      <c r="C503" s="1076" t="s">
        <v>1707</v>
      </c>
      <c r="D503" s="961"/>
      <c r="E503" s="986"/>
      <c r="F503" s="948"/>
      <c r="G503" s="949"/>
      <c r="H503" s="950">
        <f t="shared" si="49"/>
        <v>0</v>
      </c>
      <c r="I503" s="950">
        <f t="shared" si="47"/>
        <v>0</v>
      </c>
      <c r="J503" s="950">
        <f t="shared" si="48"/>
        <v>0</v>
      </c>
      <c r="K503" s="948"/>
    </row>
    <row r="504" spans="1:11" ht="16.5" hidden="1" customHeight="1" outlineLevel="1">
      <c r="A504" s="940"/>
      <c r="B504" s="998"/>
      <c r="C504" s="1076" t="s">
        <v>1708</v>
      </c>
      <c r="D504" s="961"/>
      <c r="E504" s="986"/>
      <c r="F504" s="948"/>
      <c r="G504" s="949"/>
      <c r="H504" s="950">
        <f t="shared" si="49"/>
        <v>0</v>
      </c>
      <c r="I504" s="950">
        <f t="shared" si="47"/>
        <v>0</v>
      </c>
      <c r="J504" s="950">
        <f t="shared" si="48"/>
        <v>0</v>
      </c>
      <c r="K504" s="948"/>
    </row>
    <row r="505" spans="1:11" ht="33" hidden="1" customHeight="1" outlineLevel="1">
      <c r="A505" s="940"/>
      <c r="B505" s="998"/>
      <c r="C505" s="1076" t="s">
        <v>1709</v>
      </c>
      <c r="D505" s="961"/>
      <c r="E505" s="986"/>
      <c r="F505" s="948"/>
      <c r="G505" s="949"/>
      <c r="H505" s="950">
        <f t="shared" si="49"/>
        <v>0</v>
      </c>
      <c r="I505" s="950">
        <f t="shared" si="47"/>
        <v>0</v>
      </c>
      <c r="J505" s="950">
        <f t="shared" si="48"/>
        <v>0</v>
      </c>
      <c r="K505" s="948"/>
    </row>
    <row r="506" spans="1:11" ht="16.5" hidden="1" customHeight="1" outlineLevel="1">
      <c r="A506" s="940"/>
      <c r="B506" s="998"/>
      <c r="C506" s="1076" t="s">
        <v>1710</v>
      </c>
      <c r="D506" s="961"/>
      <c r="E506" s="986"/>
      <c r="F506" s="948"/>
      <c r="G506" s="949"/>
      <c r="H506" s="950">
        <f t="shared" si="49"/>
        <v>0</v>
      </c>
      <c r="I506" s="950">
        <f t="shared" si="47"/>
        <v>0</v>
      </c>
      <c r="J506" s="950">
        <f t="shared" si="48"/>
        <v>0</v>
      </c>
      <c r="K506" s="948"/>
    </row>
    <row r="507" spans="1:11" ht="33" hidden="1" customHeight="1" outlineLevel="1">
      <c r="A507" s="940"/>
      <c r="B507" s="998"/>
      <c r="C507" s="1076" t="s">
        <v>1711</v>
      </c>
      <c r="D507" s="961"/>
      <c r="E507" s="986"/>
      <c r="F507" s="948"/>
      <c r="G507" s="949"/>
      <c r="H507" s="950">
        <f t="shared" si="49"/>
        <v>0</v>
      </c>
      <c r="I507" s="950">
        <f t="shared" si="47"/>
        <v>0</v>
      </c>
      <c r="J507" s="950">
        <f t="shared" si="48"/>
        <v>0</v>
      </c>
      <c r="K507" s="948"/>
    </row>
    <row r="508" spans="1:11" ht="33" hidden="1" customHeight="1" outlineLevel="1">
      <c r="A508" s="940"/>
      <c r="B508" s="998"/>
      <c r="C508" s="1076" t="s">
        <v>1712</v>
      </c>
      <c r="D508" s="961"/>
      <c r="E508" s="986"/>
      <c r="F508" s="948"/>
      <c r="G508" s="949"/>
      <c r="H508" s="950">
        <f t="shared" si="49"/>
        <v>0</v>
      </c>
      <c r="I508" s="950">
        <f t="shared" si="47"/>
        <v>0</v>
      </c>
      <c r="J508" s="950">
        <f t="shared" si="48"/>
        <v>0</v>
      </c>
      <c r="K508" s="948"/>
    </row>
    <row r="509" spans="1:11" ht="33" hidden="1" customHeight="1" outlineLevel="1">
      <c r="A509" s="940"/>
      <c r="B509" s="998"/>
      <c r="C509" s="1077" t="s">
        <v>1713</v>
      </c>
      <c r="D509" s="961"/>
      <c r="E509" s="986"/>
      <c r="F509" s="948"/>
      <c r="G509" s="949"/>
      <c r="H509" s="950">
        <f t="shared" si="49"/>
        <v>0</v>
      </c>
      <c r="I509" s="950">
        <f t="shared" si="47"/>
        <v>0</v>
      </c>
      <c r="J509" s="950">
        <f t="shared" si="48"/>
        <v>0</v>
      </c>
      <c r="K509" s="948"/>
    </row>
    <row r="510" spans="1:11" ht="16.5" hidden="1" customHeight="1" outlineLevel="1">
      <c r="A510" s="940"/>
      <c r="B510" s="998"/>
      <c r="C510" s="1075" t="s">
        <v>1714</v>
      </c>
      <c r="D510" s="961"/>
      <c r="E510" s="986"/>
      <c r="F510" s="948"/>
      <c r="G510" s="949"/>
      <c r="H510" s="950">
        <f t="shared" si="49"/>
        <v>0</v>
      </c>
      <c r="I510" s="950">
        <f t="shared" si="47"/>
        <v>0</v>
      </c>
      <c r="J510" s="950">
        <f t="shared" si="48"/>
        <v>0</v>
      </c>
      <c r="K510" s="948"/>
    </row>
    <row r="511" spans="1:11" ht="16.5" hidden="1" customHeight="1" outlineLevel="1">
      <c r="A511" s="940"/>
      <c r="B511" s="998"/>
      <c r="C511" s="1078" t="s">
        <v>1715</v>
      </c>
      <c r="D511" s="961"/>
      <c r="E511" s="986"/>
      <c r="F511" s="948"/>
      <c r="G511" s="949"/>
      <c r="H511" s="950">
        <f t="shared" si="49"/>
        <v>0</v>
      </c>
      <c r="I511" s="950">
        <f t="shared" si="47"/>
        <v>0</v>
      </c>
      <c r="J511" s="950">
        <f t="shared" si="48"/>
        <v>0</v>
      </c>
      <c r="K511" s="948"/>
    </row>
    <row r="512" spans="1:11" ht="66" hidden="1" customHeight="1" outlineLevel="1">
      <c r="A512" s="940"/>
      <c r="B512" s="998"/>
      <c r="C512" s="1079" t="s">
        <v>1716</v>
      </c>
      <c r="D512" s="961"/>
      <c r="E512" s="986"/>
      <c r="F512" s="948"/>
      <c r="G512" s="949"/>
      <c r="H512" s="950">
        <f t="shared" si="49"/>
        <v>0</v>
      </c>
      <c r="I512" s="950">
        <f t="shared" si="47"/>
        <v>0</v>
      </c>
      <c r="J512" s="950">
        <f t="shared" si="48"/>
        <v>0</v>
      </c>
      <c r="K512" s="948"/>
    </row>
    <row r="513" spans="1:11" ht="360" customHeight="1" outlineLevel="1">
      <c r="A513" s="940">
        <f>A289+1</f>
        <v>13</v>
      </c>
      <c r="B513" s="967" t="s">
        <v>1441</v>
      </c>
      <c r="C513" s="1011" t="s">
        <v>1153</v>
      </c>
      <c r="D513" s="961" t="s">
        <v>680</v>
      </c>
      <c r="E513" s="962">
        <v>2</v>
      </c>
      <c r="F513" s="948">
        <v>30190000</v>
      </c>
      <c r="G513" s="949">
        <v>0.1</v>
      </c>
      <c r="H513" s="950">
        <f t="shared" si="49"/>
        <v>60380000</v>
      </c>
      <c r="I513" s="950">
        <f t="shared" si="47"/>
        <v>33209000</v>
      </c>
      <c r="J513" s="950">
        <f t="shared" si="48"/>
        <v>66418000</v>
      </c>
      <c r="K513" s="982" t="s">
        <v>1201</v>
      </c>
    </row>
    <row r="514" spans="1:11" ht="173.25" outlineLevel="1">
      <c r="A514" s="940">
        <f>A513+1</f>
        <v>14</v>
      </c>
      <c r="B514" s="996" t="s">
        <v>1445</v>
      </c>
      <c r="C514" s="963" t="s">
        <v>1024</v>
      </c>
      <c r="D514" s="961" t="s">
        <v>680</v>
      </c>
      <c r="E514" s="962">
        <v>2</v>
      </c>
      <c r="F514" s="948">
        <v>8880000</v>
      </c>
      <c r="G514" s="949">
        <v>0.1</v>
      </c>
      <c r="H514" s="950">
        <f t="shared" si="49"/>
        <v>17760000</v>
      </c>
      <c r="I514" s="950">
        <f t="shared" si="47"/>
        <v>9768000</v>
      </c>
      <c r="J514" s="950">
        <f t="shared" si="48"/>
        <v>19536000</v>
      </c>
      <c r="K514" s="948"/>
    </row>
    <row r="515" spans="1:11" ht="15.75">
      <c r="A515" s="940">
        <v>34</v>
      </c>
      <c r="B515" s="987" t="s">
        <v>1446</v>
      </c>
      <c r="C515" s="942"/>
      <c r="D515" s="968" t="s">
        <v>1011</v>
      </c>
      <c r="E515" s="968">
        <v>1</v>
      </c>
      <c r="F515" s="948"/>
      <c r="G515" s="949"/>
      <c r="H515" s="950">
        <f t="shared" si="49"/>
        <v>0</v>
      </c>
      <c r="I515" s="950">
        <f t="shared" si="47"/>
        <v>0</v>
      </c>
      <c r="J515" s="950">
        <f t="shared" si="48"/>
        <v>0</v>
      </c>
      <c r="K515" s="948"/>
    </row>
    <row r="516" spans="1:11" ht="78.75" outlineLevel="1">
      <c r="A516" s="940">
        <v>1</v>
      </c>
      <c r="B516" s="944" t="s">
        <v>1082</v>
      </c>
      <c r="C516" s="953" t="s">
        <v>1083</v>
      </c>
      <c r="D516" s="940" t="s">
        <v>627</v>
      </c>
      <c r="E516" s="962">
        <v>1</v>
      </c>
      <c r="F516" s="948">
        <v>3150000</v>
      </c>
      <c r="G516" s="949">
        <v>0.1</v>
      </c>
      <c r="H516" s="950">
        <f t="shared" si="49"/>
        <v>3150000</v>
      </c>
      <c r="I516" s="950">
        <f t="shared" si="47"/>
        <v>3465000</v>
      </c>
      <c r="J516" s="950">
        <f t="shared" si="48"/>
        <v>3465000</v>
      </c>
      <c r="K516" s="948"/>
    </row>
    <row r="517" spans="1:11" ht="63" outlineLevel="1">
      <c r="A517" s="940">
        <f>A516+1</f>
        <v>2</v>
      </c>
      <c r="B517" s="944" t="s">
        <v>1077</v>
      </c>
      <c r="C517" s="991" t="s">
        <v>1259</v>
      </c>
      <c r="D517" s="940" t="s">
        <v>627</v>
      </c>
      <c r="E517" s="962">
        <v>1</v>
      </c>
      <c r="F517" s="948">
        <v>590000</v>
      </c>
      <c r="G517" s="949">
        <v>0.1</v>
      </c>
      <c r="H517" s="950">
        <f t="shared" si="49"/>
        <v>590000</v>
      </c>
      <c r="I517" s="950">
        <f t="shared" si="47"/>
        <v>649000</v>
      </c>
      <c r="J517" s="950">
        <f t="shared" si="48"/>
        <v>649000</v>
      </c>
      <c r="K517" s="948"/>
    </row>
    <row r="518" spans="1:11" ht="78.75" outlineLevel="1">
      <c r="A518" s="940">
        <f t="shared" ref="A518:A523" si="50">A517+1</f>
        <v>3</v>
      </c>
      <c r="B518" s="944" t="s">
        <v>1447</v>
      </c>
      <c r="C518" s="1080" t="s">
        <v>1448</v>
      </c>
      <c r="D518" s="940" t="s">
        <v>627</v>
      </c>
      <c r="E518" s="962">
        <v>1</v>
      </c>
      <c r="F518" s="948">
        <v>4990000</v>
      </c>
      <c r="G518" s="949">
        <v>0.1</v>
      </c>
      <c r="H518" s="950">
        <f t="shared" si="49"/>
        <v>4990000</v>
      </c>
      <c r="I518" s="950">
        <f t="shared" si="47"/>
        <v>5489000</v>
      </c>
      <c r="J518" s="950">
        <f t="shared" si="48"/>
        <v>5489000</v>
      </c>
      <c r="K518" s="948"/>
    </row>
    <row r="519" spans="1:11" ht="31.5" outlineLevel="1">
      <c r="A519" s="940">
        <f t="shared" si="50"/>
        <v>4</v>
      </c>
      <c r="B519" s="944" t="s">
        <v>1449</v>
      </c>
      <c r="C519" s="951" t="s">
        <v>1450</v>
      </c>
      <c r="D519" s="940" t="s">
        <v>655</v>
      </c>
      <c r="E519" s="962">
        <v>1</v>
      </c>
      <c r="F519" s="948">
        <v>1650000</v>
      </c>
      <c r="G519" s="949">
        <v>0.1</v>
      </c>
      <c r="H519" s="950">
        <f t="shared" si="49"/>
        <v>1650000</v>
      </c>
      <c r="I519" s="950">
        <f t="shared" si="47"/>
        <v>1815000</v>
      </c>
      <c r="J519" s="950">
        <f t="shared" si="48"/>
        <v>1815000</v>
      </c>
      <c r="K519" s="948"/>
    </row>
    <row r="520" spans="1:11" ht="110.25" outlineLevel="1">
      <c r="A520" s="940">
        <f t="shared" si="50"/>
        <v>5</v>
      </c>
      <c r="B520" s="944" t="s">
        <v>1185</v>
      </c>
      <c r="C520" s="944" t="s">
        <v>1186</v>
      </c>
      <c r="D520" s="940" t="s">
        <v>627</v>
      </c>
      <c r="E520" s="962">
        <v>1</v>
      </c>
      <c r="F520" s="948">
        <v>1200000</v>
      </c>
      <c r="G520" s="949">
        <v>0.1</v>
      </c>
      <c r="H520" s="950">
        <f t="shared" si="49"/>
        <v>1200000</v>
      </c>
      <c r="I520" s="950">
        <f t="shared" si="47"/>
        <v>1320000</v>
      </c>
      <c r="J520" s="950">
        <f t="shared" si="48"/>
        <v>1320000</v>
      </c>
      <c r="K520" s="948"/>
    </row>
    <row r="521" spans="1:11" ht="31.5" outlineLevel="1">
      <c r="A521" s="940">
        <f t="shared" si="50"/>
        <v>6</v>
      </c>
      <c r="B521" s="944" t="s">
        <v>1034</v>
      </c>
      <c r="C521" s="966" t="s">
        <v>1035</v>
      </c>
      <c r="D521" s="940" t="s">
        <v>1068</v>
      </c>
      <c r="E521" s="962">
        <f>E515</f>
        <v>1</v>
      </c>
      <c r="F521" s="948">
        <v>130000</v>
      </c>
      <c r="G521" s="949">
        <v>0.1</v>
      </c>
      <c r="H521" s="950">
        <f t="shared" si="49"/>
        <v>130000</v>
      </c>
      <c r="I521" s="950">
        <f t="shared" si="47"/>
        <v>143000</v>
      </c>
      <c r="J521" s="950">
        <f t="shared" si="48"/>
        <v>143000</v>
      </c>
      <c r="K521" s="948"/>
    </row>
    <row r="522" spans="1:11" ht="63" outlineLevel="1">
      <c r="A522" s="940">
        <f t="shared" si="50"/>
        <v>7</v>
      </c>
      <c r="B522" s="944" t="s">
        <v>1056</v>
      </c>
      <c r="C522" s="972" t="s">
        <v>1057</v>
      </c>
      <c r="D522" s="940" t="s">
        <v>627</v>
      </c>
      <c r="E522" s="962">
        <v>1</v>
      </c>
      <c r="F522" s="948">
        <v>1200000</v>
      </c>
      <c r="G522" s="949">
        <v>0.1</v>
      </c>
      <c r="H522" s="950">
        <f t="shared" si="49"/>
        <v>1200000</v>
      </c>
      <c r="I522" s="950">
        <f t="shared" ref="I522:I585" si="51">+ROUND(F522*1.1,0)</f>
        <v>1320000</v>
      </c>
      <c r="J522" s="950">
        <f t="shared" ref="J522:J585" si="52">+ROUND(I522*E522,0)</f>
        <v>1320000</v>
      </c>
      <c r="K522" s="948"/>
    </row>
    <row r="523" spans="1:11" ht="47.25" outlineLevel="1">
      <c r="A523" s="940">
        <f t="shared" si="50"/>
        <v>8</v>
      </c>
      <c r="B523" s="944" t="s">
        <v>1066</v>
      </c>
      <c r="C523" s="944" t="s">
        <v>1067</v>
      </c>
      <c r="D523" s="940" t="s">
        <v>627</v>
      </c>
      <c r="E523" s="962">
        <v>1</v>
      </c>
      <c r="F523" s="948">
        <v>300000</v>
      </c>
      <c r="G523" s="949">
        <v>0.1</v>
      </c>
      <c r="H523" s="950">
        <f t="shared" si="49"/>
        <v>300000</v>
      </c>
      <c r="I523" s="950">
        <f t="shared" si="51"/>
        <v>330000</v>
      </c>
      <c r="J523" s="950">
        <f t="shared" si="52"/>
        <v>330000</v>
      </c>
      <c r="K523" s="948"/>
    </row>
    <row r="524" spans="1:11" ht="15.75">
      <c r="A524" s="940">
        <v>35</v>
      </c>
      <c r="B524" s="987" t="s">
        <v>1133</v>
      </c>
      <c r="C524" s="942"/>
      <c r="D524" s="968" t="s">
        <v>1011</v>
      </c>
      <c r="E524" s="968">
        <v>1</v>
      </c>
      <c r="F524" s="948"/>
      <c r="G524" s="949"/>
      <c r="H524" s="950">
        <f t="shared" si="49"/>
        <v>0</v>
      </c>
      <c r="I524" s="950">
        <f t="shared" si="51"/>
        <v>0</v>
      </c>
      <c r="J524" s="950">
        <f t="shared" si="52"/>
        <v>0</v>
      </c>
      <c r="K524" s="948"/>
    </row>
    <row r="525" spans="1:11" ht="78.75" outlineLevel="1">
      <c r="A525" s="940">
        <v>1</v>
      </c>
      <c r="B525" s="944" t="s">
        <v>1082</v>
      </c>
      <c r="C525" s="953" t="s">
        <v>1083</v>
      </c>
      <c r="D525" s="940" t="s">
        <v>627</v>
      </c>
      <c r="E525" s="962">
        <v>1</v>
      </c>
      <c r="F525" s="948">
        <v>3150000</v>
      </c>
      <c r="G525" s="949">
        <v>0.1</v>
      </c>
      <c r="H525" s="950">
        <f t="shared" si="49"/>
        <v>3150000</v>
      </c>
      <c r="I525" s="950">
        <f t="shared" si="51"/>
        <v>3465000</v>
      </c>
      <c r="J525" s="950">
        <f t="shared" si="52"/>
        <v>3465000</v>
      </c>
      <c r="K525" s="948"/>
    </row>
    <row r="526" spans="1:11" ht="63" outlineLevel="1">
      <c r="A526" s="992">
        <f t="shared" ref="A526:A531" si="53">A525+1</f>
        <v>2</v>
      </c>
      <c r="B526" s="944" t="s">
        <v>1077</v>
      </c>
      <c r="C526" s="991" t="s">
        <v>1259</v>
      </c>
      <c r="D526" s="940" t="s">
        <v>627</v>
      </c>
      <c r="E526" s="962">
        <v>5</v>
      </c>
      <c r="F526" s="948">
        <v>590000</v>
      </c>
      <c r="G526" s="949">
        <v>0.1</v>
      </c>
      <c r="H526" s="950">
        <f t="shared" si="49"/>
        <v>2950000</v>
      </c>
      <c r="I526" s="950">
        <f t="shared" si="51"/>
        <v>649000</v>
      </c>
      <c r="J526" s="950">
        <f t="shared" si="52"/>
        <v>3245000</v>
      </c>
      <c r="K526" s="948"/>
    </row>
    <row r="527" spans="1:11" ht="110.25" outlineLevel="1">
      <c r="A527" s="992">
        <f t="shared" si="53"/>
        <v>3</v>
      </c>
      <c r="B527" s="944" t="s">
        <v>1021</v>
      </c>
      <c r="C527" s="953" t="s">
        <v>1022</v>
      </c>
      <c r="D527" s="940" t="s">
        <v>627</v>
      </c>
      <c r="E527" s="962">
        <v>1</v>
      </c>
      <c r="F527" s="948">
        <v>5600000</v>
      </c>
      <c r="G527" s="949">
        <v>0.1</v>
      </c>
      <c r="H527" s="950">
        <f t="shared" si="49"/>
        <v>5600000</v>
      </c>
      <c r="I527" s="950">
        <f t="shared" si="51"/>
        <v>6160000</v>
      </c>
      <c r="J527" s="950">
        <f t="shared" si="52"/>
        <v>6160000</v>
      </c>
      <c r="K527" s="948"/>
    </row>
    <row r="528" spans="1:11" ht="110.25" outlineLevel="1">
      <c r="A528" s="992">
        <f t="shared" si="53"/>
        <v>4</v>
      </c>
      <c r="B528" s="944" t="s">
        <v>1185</v>
      </c>
      <c r="C528" s="944" t="s">
        <v>1186</v>
      </c>
      <c r="D528" s="940" t="s">
        <v>627</v>
      </c>
      <c r="E528" s="962">
        <v>1</v>
      </c>
      <c r="F528" s="948">
        <v>1200000</v>
      </c>
      <c r="G528" s="949">
        <v>0.1</v>
      </c>
      <c r="H528" s="950">
        <f t="shared" si="49"/>
        <v>1200000</v>
      </c>
      <c r="I528" s="950">
        <f t="shared" si="51"/>
        <v>1320000</v>
      </c>
      <c r="J528" s="950">
        <f t="shared" si="52"/>
        <v>1320000</v>
      </c>
      <c r="K528" s="948"/>
    </row>
    <row r="529" spans="1:11" ht="31.5" outlineLevel="1">
      <c r="A529" s="992">
        <f t="shared" si="53"/>
        <v>5</v>
      </c>
      <c r="B529" s="944" t="s">
        <v>1034</v>
      </c>
      <c r="C529" s="966" t="s">
        <v>1035</v>
      </c>
      <c r="D529" s="940" t="s">
        <v>1068</v>
      </c>
      <c r="E529" s="962">
        <v>1</v>
      </c>
      <c r="F529" s="948">
        <v>130000</v>
      </c>
      <c r="G529" s="949">
        <v>0.1</v>
      </c>
      <c r="H529" s="950">
        <f t="shared" si="49"/>
        <v>130000</v>
      </c>
      <c r="I529" s="950">
        <f t="shared" si="51"/>
        <v>143000</v>
      </c>
      <c r="J529" s="950">
        <f t="shared" si="52"/>
        <v>143000</v>
      </c>
      <c r="K529" s="948"/>
    </row>
    <row r="530" spans="1:11" ht="63" outlineLevel="1">
      <c r="A530" s="992">
        <f t="shared" si="53"/>
        <v>6</v>
      </c>
      <c r="B530" s="944" t="s">
        <v>1056</v>
      </c>
      <c r="C530" s="972" t="s">
        <v>1057</v>
      </c>
      <c r="D530" s="940" t="s">
        <v>627</v>
      </c>
      <c r="E530" s="962">
        <v>1</v>
      </c>
      <c r="F530" s="948">
        <v>1200000</v>
      </c>
      <c r="G530" s="949">
        <v>0.1</v>
      </c>
      <c r="H530" s="950">
        <f t="shared" si="49"/>
        <v>1200000</v>
      </c>
      <c r="I530" s="950">
        <f t="shared" si="51"/>
        <v>1320000</v>
      </c>
      <c r="J530" s="950">
        <f t="shared" si="52"/>
        <v>1320000</v>
      </c>
      <c r="K530" s="948"/>
    </row>
    <row r="531" spans="1:11" ht="47.25" outlineLevel="1">
      <c r="A531" s="992">
        <f t="shared" si="53"/>
        <v>7</v>
      </c>
      <c r="B531" s="944" t="s">
        <v>1066</v>
      </c>
      <c r="C531" s="944" t="s">
        <v>1067</v>
      </c>
      <c r="D531" s="940" t="s">
        <v>627</v>
      </c>
      <c r="E531" s="962">
        <v>1</v>
      </c>
      <c r="F531" s="948">
        <v>300000</v>
      </c>
      <c r="G531" s="949">
        <v>0.1</v>
      </c>
      <c r="H531" s="950">
        <f t="shared" si="49"/>
        <v>300000</v>
      </c>
      <c r="I531" s="950">
        <f t="shared" si="51"/>
        <v>330000</v>
      </c>
      <c r="J531" s="950">
        <f t="shared" si="52"/>
        <v>330000</v>
      </c>
      <c r="K531" s="948"/>
    </row>
    <row r="532" spans="1:11" ht="15.75">
      <c r="A532" s="940">
        <v>36</v>
      </c>
      <c r="B532" s="943" t="s">
        <v>1451</v>
      </c>
      <c r="C532" s="1081"/>
      <c r="D532" s="994" t="s">
        <v>1134</v>
      </c>
      <c r="E532" s="994">
        <v>1</v>
      </c>
      <c r="F532" s="948"/>
      <c r="G532" s="949"/>
      <c r="H532" s="950">
        <f t="shared" si="49"/>
        <v>0</v>
      </c>
      <c r="I532" s="950">
        <f t="shared" si="51"/>
        <v>0</v>
      </c>
      <c r="J532" s="950">
        <f t="shared" si="52"/>
        <v>0</v>
      </c>
      <c r="K532" s="948"/>
    </row>
    <row r="533" spans="1:11" ht="78.75" outlineLevel="1">
      <c r="A533" s="940">
        <v>1</v>
      </c>
      <c r="B533" s="996" t="s">
        <v>1082</v>
      </c>
      <c r="C533" s="953" t="s">
        <v>1083</v>
      </c>
      <c r="D533" s="992" t="s">
        <v>655</v>
      </c>
      <c r="E533" s="993">
        <v>1</v>
      </c>
      <c r="F533" s="948">
        <v>3150000</v>
      </c>
      <c r="G533" s="949">
        <v>0.1</v>
      </c>
      <c r="H533" s="950">
        <f t="shared" si="49"/>
        <v>3150000</v>
      </c>
      <c r="I533" s="950">
        <f t="shared" si="51"/>
        <v>3465000</v>
      </c>
      <c r="J533" s="950">
        <f t="shared" si="52"/>
        <v>3465000</v>
      </c>
      <c r="K533" s="948"/>
    </row>
    <row r="534" spans="1:11" ht="78.75" outlineLevel="1">
      <c r="A534" s="992">
        <f t="shared" ref="A534:A539" si="54">A533+1</f>
        <v>2</v>
      </c>
      <c r="B534" s="1012" t="s">
        <v>1128</v>
      </c>
      <c r="C534" s="969" t="s">
        <v>1129</v>
      </c>
      <c r="D534" s="1082" t="s">
        <v>627</v>
      </c>
      <c r="E534" s="1083">
        <v>1</v>
      </c>
      <c r="F534" s="948">
        <v>7800000</v>
      </c>
      <c r="G534" s="949">
        <v>0.1</v>
      </c>
      <c r="H534" s="950">
        <f t="shared" si="49"/>
        <v>7800000</v>
      </c>
      <c r="I534" s="950">
        <f t="shared" si="51"/>
        <v>8580000</v>
      </c>
      <c r="J534" s="950">
        <f t="shared" si="52"/>
        <v>8580000</v>
      </c>
      <c r="K534" s="948"/>
    </row>
    <row r="535" spans="1:11" ht="63" outlineLevel="1">
      <c r="A535" s="940">
        <f t="shared" si="54"/>
        <v>3</v>
      </c>
      <c r="B535" s="944" t="s">
        <v>1077</v>
      </c>
      <c r="C535" s="944" t="s">
        <v>1100</v>
      </c>
      <c r="D535" s="992" t="s">
        <v>655</v>
      </c>
      <c r="E535" s="962">
        <v>3</v>
      </c>
      <c r="F535" s="948">
        <v>480000</v>
      </c>
      <c r="G535" s="949">
        <v>0.1</v>
      </c>
      <c r="H535" s="950">
        <f t="shared" si="49"/>
        <v>1440000</v>
      </c>
      <c r="I535" s="950">
        <f t="shared" si="51"/>
        <v>528000</v>
      </c>
      <c r="J535" s="950">
        <f t="shared" si="52"/>
        <v>1584000</v>
      </c>
      <c r="K535" s="948"/>
    </row>
    <row r="536" spans="1:11" ht="110.25" outlineLevel="1">
      <c r="A536" s="940">
        <f t="shared" si="54"/>
        <v>4</v>
      </c>
      <c r="B536" s="1012" t="s">
        <v>1101</v>
      </c>
      <c r="C536" s="953" t="s">
        <v>1161</v>
      </c>
      <c r="D536" s="961" t="s">
        <v>627</v>
      </c>
      <c r="E536" s="962">
        <v>5</v>
      </c>
      <c r="F536" s="948">
        <v>6000000</v>
      </c>
      <c r="G536" s="949">
        <v>0.1</v>
      </c>
      <c r="H536" s="950">
        <f t="shared" si="49"/>
        <v>30000000</v>
      </c>
      <c r="I536" s="950">
        <f t="shared" si="51"/>
        <v>6600000</v>
      </c>
      <c r="J536" s="950">
        <f t="shared" si="52"/>
        <v>33000000</v>
      </c>
      <c r="K536" s="982" t="s">
        <v>1218</v>
      </c>
    </row>
    <row r="537" spans="1:11" ht="110.25" outlineLevel="1">
      <c r="A537" s="940">
        <f t="shared" si="54"/>
        <v>5</v>
      </c>
      <c r="B537" s="1012" t="s">
        <v>1185</v>
      </c>
      <c r="C537" s="944" t="s">
        <v>1186</v>
      </c>
      <c r="D537" s="1082" t="s">
        <v>627</v>
      </c>
      <c r="E537" s="1083">
        <v>1</v>
      </c>
      <c r="F537" s="948">
        <v>1200000</v>
      </c>
      <c r="G537" s="949">
        <v>0.1</v>
      </c>
      <c r="H537" s="950">
        <f t="shared" si="49"/>
        <v>1200000</v>
      </c>
      <c r="I537" s="950">
        <f t="shared" si="51"/>
        <v>1320000</v>
      </c>
      <c r="J537" s="950">
        <f t="shared" si="52"/>
        <v>1320000</v>
      </c>
      <c r="K537" s="948"/>
    </row>
    <row r="538" spans="1:11" ht="94.5" outlineLevel="1">
      <c r="A538" s="940">
        <f t="shared" si="54"/>
        <v>6</v>
      </c>
      <c r="B538" s="1012" t="s">
        <v>1054</v>
      </c>
      <c r="C538" s="971" t="s">
        <v>1055</v>
      </c>
      <c r="D538" s="1082" t="s">
        <v>627</v>
      </c>
      <c r="E538" s="1083">
        <v>1</v>
      </c>
      <c r="F538" s="948">
        <v>2400000</v>
      </c>
      <c r="G538" s="949">
        <v>0.05</v>
      </c>
      <c r="H538" s="950">
        <f t="shared" si="49"/>
        <v>2400000</v>
      </c>
      <c r="I538" s="950">
        <f t="shared" si="51"/>
        <v>2640000</v>
      </c>
      <c r="J538" s="950">
        <f t="shared" si="52"/>
        <v>2640000</v>
      </c>
      <c r="K538" s="948"/>
    </row>
    <row r="539" spans="1:11" ht="31.5" outlineLevel="1">
      <c r="A539" s="940">
        <f t="shared" si="54"/>
        <v>7</v>
      </c>
      <c r="B539" s="1012" t="s">
        <v>1034</v>
      </c>
      <c r="C539" s="966" t="s">
        <v>1035</v>
      </c>
      <c r="D539" s="1082" t="s">
        <v>1068</v>
      </c>
      <c r="E539" s="1083">
        <f>E532</f>
        <v>1</v>
      </c>
      <c r="F539" s="948">
        <v>130000</v>
      </c>
      <c r="G539" s="949">
        <v>0.1</v>
      </c>
      <c r="H539" s="950">
        <f t="shared" si="49"/>
        <v>130000</v>
      </c>
      <c r="I539" s="950">
        <f t="shared" si="51"/>
        <v>143000</v>
      </c>
      <c r="J539" s="950">
        <f t="shared" si="52"/>
        <v>143000</v>
      </c>
      <c r="K539" s="948"/>
    </row>
    <row r="540" spans="1:11" ht="15.75">
      <c r="A540" s="940">
        <v>37</v>
      </c>
      <c r="B540" s="943" t="s">
        <v>1452</v>
      </c>
      <c r="C540" s="943"/>
      <c r="D540" s="994" t="s">
        <v>1134</v>
      </c>
      <c r="E540" s="994">
        <v>1</v>
      </c>
      <c r="F540" s="948"/>
      <c r="G540" s="949"/>
      <c r="H540" s="950">
        <f t="shared" si="49"/>
        <v>0</v>
      </c>
      <c r="I540" s="950">
        <f t="shared" si="51"/>
        <v>0</v>
      </c>
      <c r="J540" s="950">
        <f t="shared" si="52"/>
        <v>0</v>
      </c>
      <c r="K540" s="948"/>
    </row>
    <row r="541" spans="1:11" ht="110.25" outlineLevel="1">
      <c r="A541" s="940">
        <v>1</v>
      </c>
      <c r="B541" s="944" t="s">
        <v>1101</v>
      </c>
      <c r="C541" s="953" t="s">
        <v>1161</v>
      </c>
      <c r="D541" s="961" t="s">
        <v>627</v>
      </c>
      <c r="E541" s="962">
        <v>4</v>
      </c>
      <c r="F541" s="948">
        <v>6000000</v>
      </c>
      <c r="G541" s="949">
        <v>0.1</v>
      </c>
      <c r="H541" s="950">
        <f t="shared" si="49"/>
        <v>24000000</v>
      </c>
      <c r="I541" s="950">
        <f t="shared" si="51"/>
        <v>6600000</v>
      </c>
      <c r="J541" s="950">
        <f t="shared" si="52"/>
        <v>26400000</v>
      </c>
      <c r="K541" s="982" t="s">
        <v>1218</v>
      </c>
    </row>
    <row r="542" spans="1:11" ht="31.5" outlineLevel="1">
      <c r="A542" s="940">
        <f>A541+1</f>
        <v>2</v>
      </c>
      <c r="B542" s="944" t="s">
        <v>1034</v>
      </c>
      <c r="C542" s="966" t="s">
        <v>1035</v>
      </c>
      <c r="D542" s="961" t="s">
        <v>1068</v>
      </c>
      <c r="E542" s="962">
        <f>E540</f>
        <v>1</v>
      </c>
      <c r="F542" s="948">
        <v>130000</v>
      </c>
      <c r="G542" s="949">
        <v>0.1</v>
      </c>
      <c r="H542" s="950">
        <f t="shared" si="49"/>
        <v>130000</v>
      </c>
      <c r="I542" s="950">
        <f t="shared" si="51"/>
        <v>143000</v>
      </c>
      <c r="J542" s="950">
        <f t="shared" si="52"/>
        <v>143000</v>
      </c>
      <c r="K542" s="948"/>
    </row>
    <row r="543" spans="1:11" ht="15.75">
      <c r="A543" s="940">
        <v>38</v>
      </c>
      <c r="B543" s="941" t="s">
        <v>1453</v>
      </c>
      <c r="C543" s="1084"/>
      <c r="D543" s="968" t="s">
        <v>1011</v>
      </c>
      <c r="E543" s="940">
        <v>1</v>
      </c>
      <c r="F543" s="948"/>
      <c r="G543" s="949"/>
      <c r="H543" s="950">
        <f t="shared" si="49"/>
        <v>0</v>
      </c>
      <c r="I543" s="950">
        <f t="shared" si="51"/>
        <v>0</v>
      </c>
      <c r="J543" s="950">
        <f t="shared" si="52"/>
        <v>0</v>
      </c>
      <c r="K543" s="948"/>
    </row>
    <row r="544" spans="1:11" ht="78.75" outlineLevel="1">
      <c r="A544" s="940">
        <v>1</v>
      </c>
      <c r="B544" s="944" t="s">
        <v>1454</v>
      </c>
      <c r="C544" s="1080" t="s">
        <v>1455</v>
      </c>
      <c r="D544" s="940" t="s">
        <v>624</v>
      </c>
      <c r="E544" s="962">
        <v>62</v>
      </c>
      <c r="F544" s="948">
        <v>2200000</v>
      </c>
      <c r="G544" s="949">
        <v>0.1</v>
      </c>
      <c r="H544" s="950">
        <f t="shared" si="49"/>
        <v>136400000</v>
      </c>
      <c r="I544" s="950">
        <f t="shared" si="51"/>
        <v>2420000</v>
      </c>
      <c r="J544" s="950">
        <f t="shared" si="52"/>
        <v>150040000</v>
      </c>
      <c r="K544" s="948"/>
    </row>
    <row r="545" spans="1:11" ht="63" outlineLevel="1">
      <c r="A545" s="940">
        <f>A544+1</f>
        <v>2</v>
      </c>
      <c r="B545" s="944" t="s">
        <v>1458</v>
      </c>
      <c r="C545" s="945" t="s">
        <v>1459</v>
      </c>
      <c r="D545" s="999" t="s">
        <v>627</v>
      </c>
      <c r="E545" s="1000">
        <v>620</v>
      </c>
      <c r="F545" s="948">
        <v>250000</v>
      </c>
      <c r="G545" s="949">
        <v>0.1</v>
      </c>
      <c r="H545" s="950">
        <f t="shared" si="49"/>
        <v>155000000</v>
      </c>
      <c r="I545" s="950">
        <f t="shared" si="51"/>
        <v>275000</v>
      </c>
      <c r="J545" s="950">
        <f t="shared" si="52"/>
        <v>170500000</v>
      </c>
      <c r="K545" s="948"/>
    </row>
    <row r="546" spans="1:11" ht="47.25" outlineLevel="1">
      <c r="A546" s="940">
        <f>A545+1</f>
        <v>3</v>
      </c>
      <c r="B546" s="944" t="s">
        <v>1066</v>
      </c>
      <c r="C546" s="944" t="s">
        <v>1067</v>
      </c>
      <c r="D546" s="940" t="s">
        <v>627</v>
      </c>
      <c r="E546" s="962">
        <v>1</v>
      </c>
      <c r="F546" s="948">
        <v>300000</v>
      </c>
      <c r="G546" s="949">
        <v>0.1</v>
      </c>
      <c r="H546" s="950">
        <f t="shared" si="49"/>
        <v>300000</v>
      </c>
      <c r="I546" s="950">
        <f t="shared" si="51"/>
        <v>330000</v>
      </c>
      <c r="J546" s="950">
        <f t="shared" si="52"/>
        <v>330000</v>
      </c>
      <c r="K546" s="948"/>
    </row>
    <row r="547" spans="1:11" ht="94.5" outlineLevel="1">
      <c r="A547" s="940">
        <f>A546+1</f>
        <v>4</v>
      </c>
      <c r="B547" s="944" t="s">
        <v>1054</v>
      </c>
      <c r="C547" s="971" t="s">
        <v>1055</v>
      </c>
      <c r="D547" s="940" t="s">
        <v>655</v>
      </c>
      <c r="E547" s="962">
        <v>2</v>
      </c>
      <c r="F547" s="948">
        <v>2400000</v>
      </c>
      <c r="G547" s="949">
        <v>0.05</v>
      </c>
      <c r="H547" s="950">
        <f t="shared" si="49"/>
        <v>4800000</v>
      </c>
      <c r="I547" s="950">
        <f t="shared" si="51"/>
        <v>2640000</v>
      </c>
      <c r="J547" s="950">
        <f t="shared" si="52"/>
        <v>5280000</v>
      </c>
      <c r="K547" s="948"/>
    </row>
    <row r="548" spans="1:11" ht="31.5" outlineLevel="1">
      <c r="A548" s="940">
        <f>A547+1</f>
        <v>5</v>
      </c>
      <c r="B548" s="944" t="s">
        <v>1034</v>
      </c>
      <c r="C548" s="966" t="s">
        <v>1035</v>
      </c>
      <c r="D548" s="940" t="s">
        <v>1068</v>
      </c>
      <c r="E548" s="962">
        <f>E543</f>
        <v>1</v>
      </c>
      <c r="F548" s="948">
        <v>130000</v>
      </c>
      <c r="G548" s="949">
        <v>0.1</v>
      </c>
      <c r="H548" s="950">
        <f t="shared" si="49"/>
        <v>130000</v>
      </c>
      <c r="I548" s="950">
        <f t="shared" si="51"/>
        <v>143000</v>
      </c>
      <c r="J548" s="950">
        <f t="shared" si="52"/>
        <v>143000</v>
      </c>
      <c r="K548" s="948"/>
    </row>
    <row r="549" spans="1:11" ht="15.75">
      <c r="A549" s="940">
        <v>39</v>
      </c>
      <c r="B549" s="987" t="s">
        <v>1460</v>
      </c>
      <c r="C549" s="1084"/>
      <c r="D549" s="968" t="s">
        <v>1011</v>
      </c>
      <c r="E549" s="940">
        <v>1</v>
      </c>
      <c r="F549" s="948"/>
      <c r="G549" s="949"/>
      <c r="H549" s="950">
        <f t="shared" ref="H549:H594" si="55">E549*F549</f>
        <v>0</v>
      </c>
      <c r="I549" s="950">
        <f t="shared" si="51"/>
        <v>0</v>
      </c>
      <c r="J549" s="950">
        <f t="shared" si="52"/>
        <v>0</v>
      </c>
      <c r="K549" s="948"/>
    </row>
    <row r="550" spans="1:11" ht="47.25" outlineLevel="1">
      <c r="A550" s="940">
        <v>1</v>
      </c>
      <c r="B550" s="944" t="s">
        <v>1066</v>
      </c>
      <c r="C550" s="944" t="s">
        <v>1067</v>
      </c>
      <c r="D550" s="940" t="s">
        <v>627</v>
      </c>
      <c r="E550" s="962">
        <v>1</v>
      </c>
      <c r="F550" s="948">
        <v>300000</v>
      </c>
      <c r="G550" s="949">
        <v>0.1</v>
      </c>
      <c r="H550" s="950">
        <f t="shared" si="55"/>
        <v>300000</v>
      </c>
      <c r="I550" s="950">
        <f t="shared" si="51"/>
        <v>330000</v>
      </c>
      <c r="J550" s="950">
        <f t="shared" si="52"/>
        <v>330000</v>
      </c>
      <c r="K550" s="948"/>
    </row>
    <row r="551" spans="1:11" ht="31.5" outlineLevel="1">
      <c r="A551" s="940">
        <f>A550+1</f>
        <v>2</v>
      </c>
      <c r="B551" s="944" t="s">
        <v>1034</v>
      </c>
      <c r="C551" s="966" t="s">
        <v>1035</v>
      </c>
      <c r="D551" s="940" t="s">
        <v>1461</v>
      </c>
      <c r="E551" s="962">
        <v>1</v>
      </c>
      <c r="F551" s="948">
        <v>130000</v>
      </c>
      <c r="G551" s="949">
        <v>0.1</v>
      </c>
      <c r="H551" s="950">
        <f t="shared" si="55"/>
        <v>130000</v>
      </c>
      <c r="I551" s="950">
        <f t="shared" si="51"/>
        <v>143000</v>
      </c>
      <c r="J551" s="950">
        <f t="shared" si="52"/>
        <v>143000</v>
      </c>
      <c r="K551" s="948"/>
    </row>
    <row r="552" spans="1:11" ht="110.25" outlineLevel="1">
      <c r="A552" s="940">
        <f t="shared" ref="A552:A591" si="56">A551+1</f>
        <v>3</v>
      </c>
      <c r="B552" s="944" t="s">
        <v>1462</v>
      </c>
      <c r="C552" s="1085" t="s">
        <v>1463</v>
      </c>
      <c r="D552" s="940" t="s">
        <v>624</v>
      </c>
      <c r="E552" s="962">
        <v>3</v>
      </c>
      <c r="F552" s="948">
        <v>20625000</v>
      </c>
      <c r="G552" s="949">
        <v>0.1</v>
      </c>
      <c r="H552" s="950">
        <f t="shared" si="55"/>
        <v>61875000</v>
      </c>
      <c r="I552" s="950">
        <f t="shared" si="51"/>
        <v>22687500</v>
      </c>
      <c r="J552" s="950">
        <f t="shared" si="52"/>
        <v>68062500</v>
      </c>
      <c r="K552" s="982" t="s">
        <v>1218</v>
      </c>
    </row>
    <row r="553" spans="1:11" ht="78.75" outlineLevel="1">
      <c r="A553" s="940">
        <f t="shared" si="56"/>
        <v>4</v>
      </c>
      <c r="B553" s="944" t="s">
        <v>1464</v>
      </c>
      <c r="C553" s="945" t="s">
        <v>1465</v>
      </c>
      <c r="D553" s="961" t="s">
        <v>1466</v>
      </c>
      <c r="E553" s="962">
        <v>2</v>
      </c>
      <c r="F553" s="948">
        <v>77000000</v>
      </c>
      <c r="G553" s="949">
        <v>0.1</v>
      </c>
      <c r="H553" s="950">
        <f t="shared" si="55"/>
        <v>154000000</v>
      </c>
      <c r="I553" s="950">
        <f t="shared" si="51"/>
        <v>84700000</v>
      </c>
      <c r="J553" s="950">
        <f t="shared" si="52"/>
        <v>169400000</v>
      </c>
      <c r="K553" s="948"/>
    </row>
    <row r="554" spans="1:11" ht="220.5" outlineLevel="1">
      <c r="A554" s="940">
        <f t="shared" si="56"/>
        <v>5</v>
      </c>
      <c r="B554" s="944" t="s">
        <v>1467</v>
      </c>
      <c r="C554" s="953" t="s">
        <v>1468</v>
      </c>
      <c r="D554" s="999" t="s">
        <v>627</v>
      </c>
      <c r="E554" s="1000">
        <v>1</v>
      </c>
      <c r="F554" s="948">
        <v>48048000</v>
      </c>
      <c r="G554" s="949">
        <v>0.1</v>
      </c>
      <c r="H554" s="950">
        <f t="shared" si="55"/>
        <v>48048000</v>
      </c>
      <c r="I554" s="950">
        <f t="shared" si="51"/>
        <v>52852800</v>
      </c>
      <c r="J554" s="950">
        <f t="shared" si="52"/>
        <v>52852800</v>
      </c>
      <c r="K554" s="948"/>
    </row>
    <row r="555" spans="1:11" ht="110.25" outlineLevel="1">
      <c r="A555" s="940">
        <f t="shared" si="56"/>
        <v>6</v>
      </c>
      <c r="B555" s="944" t="s">
        <v>1469</v>
      </c>
      <c r="C555" s="945" t="s">
        <v>1470</v>
      </c>
      <c r="D555" s="999" t="s">
        <v>627</v>
      </c>
      <c r="E555" s="1000">
        <v>1</v>
      </c>
      <c r="F555" s="948">
        <v>7000000</v>
      </c>
      <c r="G555" s="949">
        <v>0.1</v>
      </c>
      <c r="H555" s="950">
        <f t="shared" si="55"/>
        <v>7000000</v>
      </c>
      <c r="I555" s="950">
        <f t="shared" si="51"/>
        <v>7700000</v>
      </c>
      <c r="J555" s="950">
        <f t="shared" si="52"/>
        <v>7700000</v>
      </c>
      <c r="K555" s="948"/>
    </row>
    <row r="556" spans="1:11" ht="15.75" outlineLevel="1">
      <c r="A556" s="940">
        <f t="shared" si="56"/>
        <v>7</v>
      </c>
      <c r="B556" s="971" t="s">
        <v>1471</v>
      </c>
      <c r="C556" s="1080" t="s">
        <v>1472</v>
      </c>
      <c r="D556" s="940" t="s">
        <v>655</v>
      </c>
      <c r="E556" s="962">
        <v>2</v>
      </c>
      <c r="F556" s="948">
        <v>1625000</v>
      </c>
      <c r="G556" s="949">
        <v>0.1</v>
      </c>
      <c r="H556" s="950">
        <f t="shared" si="55"/>
        <v>3250000</v>
      </c>
      <c r="I556" s="950">
        <f t="shared" si="51"/>
        <v>1787500</v>
      </c>
      <c r="J556" s="950">
        <f t="shared" si="52"/>
        <v>3575000</v>
      </c>
      <c r="K556" s="948"/>
    </row>
    <row r="557" spans="1:11" ht="47.25" outlineLevel="1">
      <c r="A557" s="940">
        <f t="shared" si="56"/>
        <v>8</v>
      </c>
      <c r="B557" s="944" t="s">
        <v>1473</v>
      </c>
      <c r="C557" s="944" t="s">
        <v>1474</v>
      </c>
      <c r="D557" s="940" t="s">
        <v>655</v>
      </c>
      <c r="E557" s="962">
        <v>4</v>
      </c>
      <c r="F557" s="948">
        <v>5500000</v>
      </c>
      <c r="G557" s="949">
        <v>0.1</v>
      </c>
      <c r="H557" s="950">
        <f t="shared" si="55"/>
        <v>22000000</v>
      </c>
      <c r="I557" s="950">
        <f t="shared" si="51"/>
        <v>6050000</v>
      </c>
      <c r="J557" s="950">
        <f t="shared" si="52"/>
        <v>24200000</v>
      </c>
      <c r="K557" s="948"/>
    </row>
    <row r="558" spans="1:11" ht="47.25" outlineLevel="1">
      <c r="A558" s="940">
        <f t="shared" si="56"/>
        <v>9</v>
      </c>
      <c r="B558" s="944" t="s">
        <v>1475</v>
      </c>
      <c r="C558" s="1001" t="s">
        <v>1476</v>
      </c>
      <c r="D558" s="999" t="s">
        <v>655</v>
      </c>
      <c r="E558" s="1000">
        <v>6</v>
      </c>
      <c r="F558" s="948">
        <v>9000000</v>
      </c>
      <c r="G558" s="949">
        <v>0.1</v>
      </c>
      <c r="H558" s="950">
        <f t="shared" si="55"/>
        <v>54000000</v>
      </c>
      <c r="I558" s="950">
        <f t="shared" si="51"/>
        <v>9900000</v>
      </c>
      <c r="J558" s="950">
        <f t="shared" si="52"/>
        <v>59400000</v>
      </c>
      <c r="K558" s="982" t="s">
        <v>1218</v>
      </c>
    </row>
    <row r="559" spans="1:11" ht="47.25" outlineLevel="1">
      <c r="A559" s="940">
        <f t="shared" si="56"/>
        <v>10</v>
      </c>
      <c r="B559" s="944" t="s">
        <v>1477</v>
      </c>
      <c r="C559" s="1001" t="s">
        <v>1478</v>
      </c>
      <c r="D559" s="999" t="s">
        <v>655</v>
      </c>
      <c r="E559" s="1000">
        <v>2</v>
      </c>
      <c r="F559" s="948">
        <v>10500000</v>
      </c>
      <c r="G559" s="949">
        <v>0.1</v>
      </c>
      <c r="H559" s="950">
        <f t="shared" si="55"/>
        <v>21000000</v>
      </c>
      <c r="I559" s="950">
        <f t="shared" si="51"/>
        <v>11550000</v>
      </c>
      <c r="J559" s="950">
        <f t="shared" si="52"/>
        <v>23100000</v>
      </c>
      <c r="K559" s="948"/>
    </row>
    <row r="560" spans="1:11" ht="63" outlineLevel="1">
      <c r="A560" s="940">
        <f t="shared" si="56"/>
        <v>11</v>
      </c>
      <c r="B560" s="944" t="s">
        <v>1479</v>
      </c>
      <c r="C560" s="1001" t="s">
        <v>1480</v>
      </c>
      <c r="D560" s="999" t="s">
        <v>655</v>
      </c>
      <c r="E560" s="1000">
        <v>2</v>
      </c>
      <c r="F560" s="948">
        <v>7200000</v>
      </c>
      <c r="G560" s="949">
        <v>0.1</v>
      </c>
      <c r="H560" s="950">
        <f t="shared" si="55"/>
        <v>14400000</v>
      </c>
      <c r="I560" s="950">
        <f t="shared" si="51"/>
        <v>7920000</v>
      </c>
      <c r="J560" s="950">
        <f t="shared" si="52"/>
        <v>15840000</v>
      </c>
      <c r="K560" s="948"/>
    </row>
    <row r="561" spans="1:11" ht="15.75" outlineLevel="1">
      <c r="A561" s="940">
        <f t="shared" si="56"/>
        <v>12</v>
      </c>
      <c r="B561" s="944" t="s">
        <v>1481</v>
      </c>
      <c r="C561" s="971" t="s">
        <v>1482</v>
      </c>
      <c r="D561" s="940" t="s">
        <v>655</v>
      </c>
      <c r="E561" s="962">
        <v>4</v>
      </c>
      <c r="F561" s="948">
        <v>750000</v>
      </c>
      <c r="G561" s="949">
        <v>0.1</v>
      </c>
      <c r="H561" s="950">
        <f t="shared" si="55"/>
        <v>3000000</v>
      </c>
      <c r="I561" s="950">
        <f t="shared" si="51"/>
        <v>825000</v>
      </c>
      <c r="J561" s="950">
        <f t="shared" si="52"/>
        <v>3300000</v>
      </c>
      <c r="K561" s="948"/>
    </row>
    <row r="562" spans="1:11" ht="47.25" outlineLevel="1">
      <c r="A562" s="940">
        <f t="shared" si="56"/>
        <v>13</v>
      </c>
      <c r="B562" s="944" t="s">
        <v>1483</v>
      </c>
      <c r="C562" s="1012" t="s">
        <v>1484</v>
      </c>
      <c r="D562" s="961" t="s">
        <v>624</v>
      </c>
      <c r="E562" s="962">
        <v>620</v>
      </c>
      <c r="F562" s="948">
        <v>180000</v>
      </c>
      <c r="G562" s="949">
        <v>0.1</v>
      </c>
      <c r="H562" s="950">
        <f t="shared" si="55"/>
        <v>111600000</v>
      </c>
      <c r="I562" s="950">
        <f t="shared" si="51"/>
        <v>198000</v>
      </c>
      <c r="J562" s="950">
        <f t="shared" si="52"/>
        <v>122760000</v>
      </c>
      <c r="K562" s="948"/>
    </row>
    <row r="563" spans="1:11" ht="126" outlineLevel="1">
      <c r="A563" s="940">
        <f t="shared" si="56"/>
        <v>14</v>
      </c>
      <c r="B563" s="944" t="s">
        <v>1485</v>
      </c>
      <c r="C563" s="945" t="s">
        <v>1486</v>
      </c>
      <c r="D563" s="999" t="s">
        <v>655</v>
      </c>
      <c r="E563" s="1000">
        <v>1</v>
      </c>
      <c r="F563" s="948">
        <v>13200000</v>
      </c>
      <c r="G563" s="949">
        <v>0.1</v>
      </c>
      <c r="H563" s="950">
        <f t="shared" si="55"/>
        <v>13200000</v>
      </c>
      <c r="I563" s="950">
        <f t="shared" si="51"/>
        <v>14520000</v>
      </c>
      <c r="J563" s="950">
        <f t="shared" si="52"/>
        <v>14520000</v>
      </c>
      <c r="K563" s="948"/>
    </row>
    <row r="564" spans="1:11" ht="126" outlineLevel="1">
      <c r="A564" s="940">
        <f t="shared" si="56"/>
        <v>15</v>
      </c>
      <c r="B564" s="944" t="s">
        <v>1487</v>
      </c>
      <c r="C564" s="1001" t="s">
        <v>1488</v>
      </c>
      <c r="D564" s="940" t="s">
        <v>655</v>
      </c>
      <c r="E564" s="962">
        <v>2</v>
      </c>
      <c r="F564" s="948">
        <v>8400000</v>
      </c>
      <c r="G564" s="949">
        <v>0.1</v>
      </c>
      <c r="H564" s="950">
        <f t="shared" si="55"/>
        <v>16800000</v>
      </c>
      <c r="I564" s="950">
        <f t="shared" si="51"/>
        <v>9240000</v>
      </c>
      <c r="J564" s="950">
        <f t="shared" si="52"/>
        <v>18480000</v>
      </c>
      <c r="K564" s="948"/>
    </row>
    <row r="565" spans="1:11" ht="110.25" outlineLevel="1">
      <c r="A565" s="940">
        <f t="shared" si="56"/>
        <v>16</v>
      </c>
      <c r="B565" s="944" t="s">
        <v>1489</v>
      </c>
      <c r="C565" s="1012" t="s">
        <v>1490</v>
      </c>
      <c r="D565" s="940" t="s">
        <v>655</v>
      </c>
      <c r="E565" s="962">
        <v>1</v>
      </c>
      <c r="F565" s="948">
        <v>12500000</v>
      </c>
      <c r="G565" s="949">
        <v>0.1</v>
      </c>
      <c r="H565" s="950">
        <f t="shared" si="55"/>
        <v>12500000</v>
      </c>
      <c r="I565" s="950">
        <f t="shared" si="51"/>
        <v>13750000</v>
      </c>
      <c r="J565" s="950">
        <f t="shared" si="52"/>
        <v>13750000</v>
      </c>
      <c r="K565" s="948"/>
    </row>
    <row r="566" spans="1:11" ht="110.25" outlineLevel="1">
      <c r="A566" s="940">
        <f t="shared" si="56"/>
        <v>17</v>
      </c>
      <c r="B566" s="944" t="s">
        <v>1491</v>
      </c>
      <c r="C566" s="1001" t="s">
        <v>1492</v>
      </c>
      <c r="D566" s="940" t="s">
        <v>655</v>
      </c>
      <c r="E566" s="962">
        <v>2</v>
      </c>
      <c r="F566" s="948">
        <v>11250000</v>
      </c>
      <c r="G566" s="949">
        <v>0.1</v>
      </c>
      <c r="H566" s="950">
        <f t="shared" si="55"/>
        <v>22500000</v>
      </c>
      <c r="I566" s="950">
        <f t="shared" si="51"/>
        <v>12375000</v>
      </c>
      <c r="J566" s="950">
        <f t="shared" si="52"/>
        <v>24750000</v>
      </c>
      <c r="K566" s="982" t="s">
        <v>1218</v>
      </c>
    </row>
    <row r="567" spans="1:11" ht="69.75" customHeight="1" outlineLevel="1">
      <c r="A567" s="940">
        <f t="shared" si="56"/>
        <v>18</v>
      </c>
      <c r="B567" s="944" t="s">
        <v>1493</v>
      </c>
      <c r="C567" s="1086" t="s">
        <v>1494</v>
      </c>
      <c r="D567" s="940" t="s">
        <v>655</v>
      </c>
      <c r="E567" s="962">
        <v>30</v>
      </c>
      <c r="F567" s="948">
        <v>600000</v>
      </c>
      <c r="G567" s="949">
        <v>0.1</v>
      </c>
      <c r="H567" s="950">
        <f t="shared" si="55"/>
        <v>18000000</v>
      </c>
      <c r="I567" s="950">
        <f t="shared" si="51"/>
        <v>660000</v>
      </c>
      <c r="J567" s="950">
        <f t="shared" si="52"/>
        <v>19800000</v>
      </c>
      <c r="K567" s="948"/>
    </row>
    <row r="568" spans="1:11" ht="16.5" outlineLevel="1">
      <c r="A568" s="940">
        <f t="shared" si="56"/>
        <v>19</v>
      </c>
      <c r="B568" s="944" t="s">
        <v>1495</v>
      </c>
      <c r="C568" s="944" t="s">
        <v>1496</v>
      </c>
      <c r="D568" s="940" t="s">
        <v>655</v>
      </c>
      <c r="E568" s="962">
        <v>12</v>
      </c>
      <c r="F568" s="1016">
        <v>380000</v>
      </c>
      <c r="G568" s="949">
        <v>0.1</v>
      </c>
      <c r="H568" s="950">
        <f t="shared" si="55"/>
        <v>4560000</v>
      </c>
      <c r="I568" s="950">
        <f t="shared" si="51"/>
        <v>418000</v>
      </c>
      <c r="J568" s="950">
        <f t="shared" si="52"/>
        <v>5016000</v>
      </c>
      <c r="K568" s="948"/>
    </row>
    <row r="569" spans="1:11" ht="16.5" outlineLevel="1">
      <c r="A569" s="940">
        <f t="shared" si="56"/>
        <v>20</v>
      </c>
      <c r="B569" s="944" t="s">
        <v>1497</v>
      </c>
      <c r="C569" s="944" t="s">
        <v>1498</v>
      </c>
      <c r="D569" s="940" t="s">
        <v>655</v>
      </c>
      <c r="E569" s="962">
        <v>2</v>
      </c>
      <c r="F569" s="1016">
        <v>1200000</v>
      </c>
      <c r="G569" s="949">
        <v>0.1</v>
      </c>
      <c r="H569" s="950">
        <f t="shared" si="55"/>
        <v>2400000</v>
      </c>
      <c r="I569" s="950">
        <f t="shared" si="51"/>
        <v>1320000</v>
      </c>
      <c r="J569" s="950">
        <f t="shared" si="52"/>
        <v>2640000</v>
      </c>
      <c r="K569" s="948"/>
    </row>
    <row r="570" spans="1:11" ht="16.5" outlineLevel="1">
      <c r="A570" s="940">
        <f t="shared" si="56"/>
        <v>21</v>
      </c>
      <c r="B570" s="944" t="s">
        <v>1499</v>
      </c>
      <c r="C570" s="944" t="s">
        <v>1500</v>
      </c>
      <c r="D570" s="940" t="s">
        <v>655</v>
      </c>
      <c r="E570" s="962">
        <v>2</v>
      </c>
      <c r="F570" s="1016">
        <v>750000</v>
      </c>
      <c r="G570" s="949">
        <v>0.1</v>
      </c>
      <c r="H570" s="950">
        <f t="shared" si="55"/>
        <v>1500000</v>
      </c>
      <c r="I570" s="950">
        <f t="shared" si="51"/>
        <v>825000</v>
      </c>
      <c r="J570" s="950">
        <f t="shared" si="52"/>
        <v>1650000</v>
      </c>
      <c r="K570" s="948"/>
    </row>
    <row r="571" spans="1:11" ht="16.5" outlineLevel="1">
      <c r="A571" s="940">
        <f t="shared" si="56"/>
        <v>22</v>
      </c>
      <c r="B571" s="944" t="s">
        <v>1501</v>
      </c>
      <c r="C571" s="944" t="s">
        <v>1502</v>
      </c>
      <c r="D571" s="940" t="s">
        <v>655</v>
      </c>
      <c r="E571" s="962">
        <v>3</v>
      </c>
      <c r="F571" s="1016">
        <v>480000</v>
      </c>
      <c r="G571" s="949">
        <v>0.1</v>
      </c>
      <c r="H571" s="950">
        <f t="shared" si="55"/>
        <v>1440000</v>
      </c>
      <c r="I571" s="950">
        <f t="shared" si="51"/>
        <v>528000</v>
      </c>
      <c r="J571" s="950">
        <f t="shared" si="52"/>
        <v>1584000</v>
      </c>
      <c r="K571" s="948"/>
    </row>
    <row r="572" spans="1:11" ht="220.5" outlineLevel="1">
      <c r="A572" s="940">
        <f t="shared" si="56"/>
        <v>23</v>
      </c>
      <c r="B572" s="944" t="s">
        <v>1503</v>
      </c>
      <c r="C572" s="1012" t="s">
        <v>1504</v>
      </c>
      <c r="D572" s="961" t="s">
        <v>627</v>
      </c>
      <c r="E572" s="962">
        <v>1</v>
      </c>
      <c r="F572" s="948">
        <v>45617000</v>
      </c>
      <c r="G572" s="949">
        <v>0.1</v>
      </c>
      <c r="H572" s="950">
        <f t="shared" si="55"/>
        <v>45617000</v>
      </c>
      <c r="I572" s="950">
        <f t="shared" si="51"/>
        <v>50178700</v>
      </c>
      <c r="J572" s="950">
        <f t="shared" si="52"/>
        <v>50178700</v>
      </c>
      <c r="K572" s="948"/>
    </row>
    <row r="573" spans="1:11" ht="189" outlineLevel="1">
      <c r="A573" s="940">
        <f t="shared" si="56"/>
        <v>24</v>
      </c>
      <c r="B573" s="944" t="s">
        <v>1505</v>
      </c>
      <c r="C573" s="1001" t="s">
        <v>1506</v>
      </c>
      <c r="D573" s="999" t="s">
        <v>655</v>
      </c>
      <c r="E573" s="1000">
        <v>1</v>
      </c>
      <c r="F573" s="948">
        <v>51840000</v>
      </c>
      <c r="G573" s="949">
        <v>0.1</v>
      </c>
      <c r="H573" s="950">
        <f t="shared" si="55"/>
        <v>51840000</v>
      </c>
      <c r="I573" s="950">
        <f t="shared" si="51"/>
        <v>57024000</v>
      </c>
      <c r="J573" s="950">
        <f t="shared" si="52"/>
        <v>57024000</v>
      </c>
      <c r="K573" s="948"/>
    </row>
    <row r="574" spans="1:11" ht="63" outlineLevel="1">
      <c r="A574" s="940">
        <f t="shared" si="56"/>
        <v>25</v>
      </c>
      <c r="B574" s="944" t="s">
        <v>1507</v>
      </c>
      <c r="C574" s="966" t="s">
        <v>1508</v>
      </c>
      <c r="D574" s="940" t="s">
        <v>1466</v>
      </c>
      <c r="E574" s="962">
        <v>1</v>
      </c>
      <c r="F574" s="948">
        <v>10000000</v>
      </c>
      <c r="G574" s="949">
        <v>0.1</v>
      </c>
      <c r="H574" s="950">
        <f t="shared" si="55"/>
        <v>10000000</v>
      </c>
      <c r="I574" s="950">
        <f t="shared" si="51"/>
        <v>11000000</v>
      </c>
      <c r="J574" s="950">
        <f t="shared" si="52"/>
        <v>11000000</v>
      </c>
      <c r="K574" s="948"/>
    </row>
    <row r="575" spans="1:11" ht="78.75" outlineLevel="1">
      <c r="A575" s="940">
        <f t="shared" si="56"/>
        <v>26</v>
      </c>
      <c r="B575" s="944" t="s">
        <v>1509</v>
      </c>
      <c r="C575" s="944" t="s">
        <v>1510</v>
      </c>
      <c r="D575" s="961" t="s">
        <v>1466</v>
      </c>
      <c r="E575" s="962">
        <v>1</v>
      </c>
      <c r="F575" s="948">
        <v>5000000</v>
      </c>
      <c r="G575" s="949">
        <v>0.1</v>
      </c>
      <c r="H575" s="950">
        <f t="shared" si="55"/>
        <v>5000000</v>
      </c>
      <c r="I575" s="950">
        <f t="shared" si="51"/>
        <v>5500000</v>
      </c>
      <c r="J575" s="950">
        <f t="shared" si="52"/>
        <v>5500000</v>
      </c>
      <c r="K575" s="948"/>
    </row>
    <row r="576" spans="1:11" ht="78.75" outlineLevel="1">
      <c r="A576" s="940">
        <f t="shared" si="56"/>
        <v>27</v>
      </c>
      <c r="B576" s="944" t="s">
        <v>1511</v>
      </c>
      <c r="C576" s="945" t="s">
        <v>1512</v>
      </c>
      <c r="D576" s="961" t="s">
        <v>627</v>
      </c>
      <c r="E576" s="962">
        <v>1</v>
      </c>
      <c r="F576" s="948">
        <v>9087000</v>
      </c>
      <c r="G576" s="949">
        <v>0.1</v>
      </c>
      <c r="H576" s="950">
        <f t="shared" si="55"/>
        <v>9087000</v>
      </c>
      <c r="I576" s="950">
        <f t="shared" si="51"/>
        <v>9995700</v>
      </c>
      <c r="J576" s="950">
        <f t="shared" si="52"/>
        <v>9995700</v>
      </c>
      <c r="K576" s="948"/>
    </row>
    <row r="577" spans="1:11" ht="78" customHeight="1" outlineLevel="1">
      <c r="A577" s="940">
        <f t="shared" si="56"/>
        <v>28</v>
      </c>
      <c r="B577" s="944" t="s">
        <v>1513</v>
      </c>
      <c r="C577" s="998" t="s">
        <v>1514</v>
      </c>
      <c r="D577" s="999" t="s">
        <v>655</v>
      </c>
      <c r="E577" s="1000">
        <v>2</v>
      </c>
      <c r="F577" s="948">
        <v>16000000</v>
      </c>
      <c r="G577" s="949">
        <v>0.1</v>
      </c>
      <c r="H577" s="950">
        <f t="shared" si="55"/>
        <v>32000000</v>
      </c>
      <c r="I577" s="950">
        <f t="shared" si="51"/>
        <v>17600000</v>
      </c>
      <c r="J577" s="950">
        <f t="shared" si="52"/>
        <v>35200000</v>
      </c>
      <c r="K577" s="948"/>
    </row>
    <row r="578" spans="1:11" ht="110.25" outlineLevel="1">
      <c r="A578" s="940">
        <f t="shared" si="56"/>
        <v>29</v>
      </c>
      <c r="B578" s="944" t="s">
        <v>1515</v>
      </c>
      <c r="C578" s="998" t="s">
        <v>1516</v>
      </c>
      <c r="D578" s="999" t="s">
        <v>655</v>
      </c>
      <c r="E578" s="1000">
        <v>2</v>
      </c>
      <c r="F578" s="948">
        <v>13860000</v>
      </c>
      <c r="G578" s="949">
        <v>0.1</v>
      </c>
      <c r="H578" s="950">
        <f t="shared" si="55"/>
        <v>27720000</v>
      </c>
      <c r="I578" s="950">
        <f t="shared" si="51"/>
        <v>15246000</v>
      </c>
      <c r="J578" s="950">
        <f t="shared" si="52"/>
        <v>30492000</v>
      </c>
      <c r="K578" s="948"/>
    </row>
    <row r="579" spans="1:11" ht="110.25" outlineLevel="1">
      <c r="A579" s="940">
        <f t="shared" si="56"/>
        <v>30</v>
      </c>
      <c r="B579" s="944" t="s">
        <v>1517</v>
      </c>
      <c r="C579" s="1001" t="s">
        <v>1518</v>
      </c>
      <c r="D579" s="999" t="s">
        <v>680</v>
      </c>
      <c r="E579" s="1000">
        <v>2</v>
      </c>
      <c r="F579" s="948">
        <v>4000000</v>
      </c>
      <c r="G579" s="949">
        <v>0.1</v>
      </c>
      <c r="H579" s="950">
        <f t="shared" si="55"/>
        <v>8000000</v>
      </c>
      <c r="I579" s="950">
        <f t="shared" si="51"/>
        <v>4400000</v>
      </c>
      <c r="J579" s="950">
        <f t="shared" si="52"/>
        <v>8800000</v>
      </c>
      <c r="K579" s="948"/>
    </row>
    <row r="580" spans="1:11" ht="16.5" outlineLevel="1">
      <c r="A580" s="940">
        <f t="shared" si="56"/>
        <v>31</v>
      </c>
      <c r="B580" s="944" t="s">
        <v>1519</v>
      </c>
      <c r="C580" s="1012" t="s">
        <v>1520</v>
      </c>
      <c r="D580" s="999" t="s">
        <v>655</v>
      </c>
      <c r="E580" s="1000">
        <v>5</v>
      </c>
      <c r="F580" s="1016" t="s">
        <v>1521</v>
      </c>
      <c r="G580" s="949">
        <v>0.1</v>
      </c>
      <c r="H580" s="950">
        <f t="shared" si="55"/>
        <v>3450000</v>
      </c>
      <c r="I580" s="950">
        <f t="shared" si="51"/>
        <v>759000</v>
      </c>
      <c r="J580" s="950">
        <f t="shared" si="52"/>
        <v>3795000</v>
      </c>
      <c r="K580" s="948"/>
    </row>
    <row r="581" spans="1:11" ht="16.5" outlineLevel="1">
      <c r="A581" s="940">
        <f t="shared" si="56"/>
        <v>32</v>
      </c>
      <c r="B581" s="944" t="s">
        <v>1522</v>
      </c>
      <c r="C581" s="971" t="s">
        <v>1523</v>
      </c>
      <c r="D581" s="940" t="s">
        <v>655</v>
      </c>
      <c r="E581" s="962">
        <v>1</v>
      </c>
      <c r="F581" s="1016">
        <v>650000</v>
      </c>
      <c r="G581" s="949">
        <v>0.1</v>
      </c>
      <c r="H581" s="950">
        <f t="shared" si="55"/>
        <v>650000</v>
      </c>
      <c r="I581" s="950">
        <f t="shared" si="51"/>
        <v>715000</v>
      </c>
      <c r="J581" s="950">
        <f t="shared" si="52"/>
        <v>715000</v>
      </c>
      <c r="K581" s="948"/>
    </row>
    <row r="582" spans="1:11" ht="16.5" outlineLevel="1">
      <c r="A582" s="940">
        <f t="shared" si="56"/>
        <v>33</v>
      </c>
      <c r="B582" s="944" t="s">
        <v>1522</v>
      </c>
      <c r="C582" s="971" t="s">
        <v>1524</v>
      </c>
      <c r="D582" s="940" t="s">
        <v>655</v>
      </c>
      <c r="E582" s="962">
        <v>1</v>
      </c>
      <c r="F582" s="1016">
        <v>1240000</v>
      </c>
      <c r="G582" s="949">
        <v>0.1</v>
      </c>
      <c r="H582" s="950">
        <f t="shared" si="55"/>
        <v>1240000</v>
      </c>
      <c r="I582" s="950">
        <f t="shared" si="51"/>
        <v>1364000</v>
      </c>
      <c r="J582" s="950">
        <f t="shared" si="52"/>
        <v>1364000</v>
      </c>
      <c r="K582" s="948"/>
    </row>
    <row r="583" spans="1:11" ht="47.25" outlineLevel="1">
      <c r="A583" s="940">
        <f t="shared" si="56"/>
        <v>34</v>
      </c>
      <c r="B583" s="944" t="s">
        <v>1525</v>
      </c>
      <c r="C583" s="998" t="s">
        <v>1526</v>
      </c>
      <c r="D583" s="999" t="s">
        <v>680</v>
      </c>
      <c r="E583" s="1000">
        <v>1</v>
      </c>
      <c r="F583" s="1016">
        <v>5640000</v>
      </c>
      <c r="G583" s="949">
        <v>0.1</v>
      </c>
      <c r="H583" s="950">
        <f t="shared" si="55"/>
        <v>5640000</v>
      </c>
      <c r="I583" s="950">
        <f t="shared" si="51"/>
        <v>6204000</v>
      </c>
      <c r="J583" s="950">
        <f t="shared" si="52"/>
        <v>6204000</v>
      </c>
      <c r="K583" s="948"/>
    </row>
    <row r="584" spans="1:11" ht="31.5" outlineLevel="1">
      <c r="A584" s="940">
        <f t="shared" si="56"/>
        <v>35</v>
      </c>
      <c r="B584" s="944" t="s">
        <v>1527</v>
      </c>
      <c r="C584" s="945" t="s">
        <v>1528</v>
      </c>
      <c r="D584" s="999" t="s">
        <v>680</v>
      </c>
      <c r="E584" s="1000">
        <v>1</v>
      </c>
      <c r="F584" s="948">
        <v>3000000</v>
      </c>
      <c r="G584" s="949">
        <v>0.1</v>
      </c>
      <c r="H584" s="950">
        <f t="shared" si="55"/>
        <v>3000000</v>
      </c>
      <c r="I584" s="950">
        <f t="shared" si="51"/>
        <v>3300000</v>
      </c>
      <c r="J584" s="950">
        <f t="shared" si="52"/>
        <v>3300000</v>
      </c>
      <c r="K584" s="948"/>
    </row>
    <row r="585" spans="1:11" ht="16.5" outlineLevel="1">
      <c r="A585" s="940">
        <f t="shared" si="56"/>
        <v>36</v>
      </c>
      <c r="B585" s="944" t="s">
        <v>1047</v>
      </c>
      <c r="C585" s="971" t="s">
        <v>1529</v>
      </c>
      <c r="D585" s="940" t="s">
        <v>680</v>
      </c>
      <c r="E585" s="962">
        <v>1</v>
      </c>
      <c r="F585" s="1016" t="s">
        <v>1530</v>
      </c>
      <c r="G585" s="949">
        <v>0.1</v>
      </c>
      <c r="H585" s="950">
        <f t="shared" si="55"/>
        <v>680000</v>
      </c>
      <c r="I585" s="950">
        <f t="shared" si="51"/>
        <v>748000</v>
      </c>
      <c r="J585" s="950">
        <f t="shared" si="52"/>
        <v>748000</v>
      </c>
      <c r="K585" s="948"/>
    </row>
    <row r="586" spans="1:11" ht="16.5" outlineLevel="1">
      <c r="A586" s="940">
        <f t="shared" si="56"/>
        <v>37</v>
      </c>
      <c r="B586" s="944" t="s">
        <v>1531</v>
      </c>
      <c r="C586" s="971" t="s">
        <v>1532</v>
      </c>
      <c r="D586" s="940" t="s">
        <v>655</v>
      </c>
      <c r="E586" s="962">
        <v>10</v>
      </c>
      <c r="F586" s="1016" t="s">
        <v>1533</v>
      </c>
      <c r="G586" s="949">
        <v>0.1</v>
      </c>
      <c r="H586" s="950">
        <f t="shared" si="55"/>
        <v>2300000</v>
      </c>
      <c r="I586" s="950">
        <f t="shared" ref="I586:I594" si="57">+ROUND(F586*1.1,0)</f>
        <v>253000</v>
      </c>
      <c r="J586" s="950">
        <f t="shared" ref="J586:J594" si="58">+ROUND(I586*E586,0)</f>
        <v>2530000</v>
      </c>
      <c r="K586" s="948"/>
    </row>
    <row r="587" spans="1:11" ht="16.5" outlineLevel="1">
      <c r="A587" s="940">
        <f t="shared" si="56"/>
        <v>38</v>
      </c>
      <c r="B587" s="944" t="s">
        <v>1534</v>
      </c>
      <c r="C587" s="971" t="s">
        <v>1532</v>
      </c>
      <c r="D587" s="940" t="s">
        <v>655</v>
      </c>
      <c r="E587" s="962">
        <v>10</v>
      </c>
      <c r="F587" s="1016" t="s">
        <v>1533</v>
      </c>
      <c r="G587" s="949">
        <v>0.1</v>
      </c>
      <c r="H587" s="950">
        <f t="shared" si="55"/>
        <v>2300000</v>
      </c>
      <c r="I587" s="950">
        <f t="shared" si="57"/>
        <v>253000</v>
      </c>
      <c r="J587" s="950">
        <f t="shared" si="58"/>
        <v>2530000</v>
      </c>
      <c r="K587" s="982" t="s">
        <v>1535</v>
      </c>
    </row>
    <row r="588" spans="1:11" ht="47.25" outlineLevel="1">
      <c r="A588" s="940">
        <f t="shared" si="56"/>
        <v>39</v>
      </c>
      <c r="B588" s="944" t="s">
        <v>1536</v>
      </c>
      <c r="C588" s="1001" t="s">
        <v>1537</v>
      </c>
      <c r="D588" s="999" t="s">
        <v>680</v>
      </c>
      <c r="E588" s="1000">
        <v>1</v>
      </c>
      <c r="F588" s="948">
        <v>5400000</v>
      </c>
      <c r="G588" s="949">
        <v>0.1</v>
      </c>
      <c r="H588" s="950">
        <f t="shared" si="55"/>
        <v>5400000</v>
      </c>
      <c r="I588" s="950">
        <f t="shared" si="57"/>
        <v>5940000</v>
      </c>
      <c r="J588" s="950">
        <f t="shared" si="58"/>
        <v>5940000</v>
      </c>
      <c r="K588" s="948"/>
    </row>
    <row r="589" spans="1:11" ht="31.5" outlineLevel="1">
      <c r="A589" s="940">
        <f t="shared" si="56"/>
        <v>40</v>
      </c>
      <c r="B589" s="944" t="s">
        <v>1538</v>
      </c>
      <c r="C589" s="944" t="s">
        <v>1539</v>
      </c>
      <c r="D589" s="940" t="s">
        <v>680</v>
      </c>
      <c r="E589" s="962">
        <v>1</v>
      </c>
      <c r="F589" s="948">
        <v>1500000</v>
      </c>
      <c r="G589" s="949">
        <v>0.1</v>
      </c>
      <c r="H589" s="950">
        <f t="shared" si="55"/>
        <v>1500000</v>
      </c>
      <c r="I589" s="950">
        <f t="shared" si="57"/>
        <v>1650000</v>
      </c>
      <c r="J589" s="950">
        <f t="shared" si="58"/>
        <v>1650000</v>
      </c>
      <c r="K589" s="948"/>
    </row>
    <row r="590" spans="1:11" ht="15.75" outlineLevel="1">
      <c r="A590" s="940">
        <f t="shared" si="56"/>
        <v>41</v>
      </c>
      <c r="B590" s="944" t="s">
        <v>1540</v>
      </c>
      <c r="C590" s="1012" t="s">
        <v>1541</v>
      </c>
      <c r="D590" s="961" t="s">
        <v>627</v>
      </c>
      <c r="E590" s="962">
        <v>50</v>
      </c>
      <c r="F590" s="948">
        <v>400000</v>
      </c>
      <c r="G590" s="949">
        <v>0.1</v>
      </c>
      <c r="H590" s="950">
        <f t="shared" si="55"/>
        <v>20000000</v>
      </c>
      <c r="I590" s="950">
        <f t="shared" si="57"/>
        <v>440000</v>
      </c>
      <c r="J590" s="950">
        <f t="shared" si="58"/>
        <v>22000000</v>
      </c>
      <c r="K590" s="948"/>
    </row>
    <row r="591" spans="1:11" ht="15.75" outlineLevel="1">
      <c r="A591" s="940">
        <f t="shared" si="56"/>
        <v>42</v>
      </c>
      <c r="B591" s="944" t="s">
        <v>1542</v>
      </c>
      <c r="C591" s="944" t="s">
        <v>1543</v>
      </c>
      <c r="D591" s="940" t="s">
        <v>655</v>
      </c>
      <c r="E591" s="962">
        <v>10</v>
      </c>
      <c r="F591" s="948">
        <v>200000</v>
      </c>
      <c r="G591" s="949">
        <v>0.1</v>
      </c>
      <c r="H591" s="950">
        <f t="shared" si="55"/>
        <v>2000000</v>
      </c>
      <c r="I591" s="950">
        <f t="shared" si="57"/>
        <v>220000</v>
      </c>
      <c r="J591" s="950">
        <f t="shared" si="58"/>
        <v>2200000</v>
      </c>
      <c r="K591" s="948"/>
    </row>
    <row r="592" spans="1:11" ht="15.75">
      <c r="A592" s="940">
        <v>40</v>
      </c>
      <c r="B592" s="987" t="s">
        <v>1544</v>
      </c>
      <c r="C592" s="942"/>
      <c r="D592" s="968"/>
      <c r="E592" s="1026"/>
      <c r="F592" s="948"/>
      <c r="G592" s="949"/>
      <c r="H592" s="950">
        <f t="shared" si="55"/>
        <v>0</v>
      </c>
      <c r="I592" s="950">
        <f t="shared" si="57"/>
        <v>0</v>
      </c>
      <c r="J592" s="950">
        <f t="shared" si="58"/>
        <v>0</v>
      </c>
      <c r="K592" s="948"/>
    </row>
    <row r="593" spans="1:11" ht="78.75" outlineLevel="1">
      <c r="A593" s="940">
        <v>1</v>
      </c>
      <c r="B593" s="944" t="s">
        <v>1545</v>
      </c>
      <c r="C593" s="971" t="s">
        <v>1546</v>
      </c>
      <c r="D593" s="940" t="s">
        <v>680</v>
      </c>
      <c r="E593" s="962">
        <v>1</v>
      </c>
      <c r="F593" s="948">
        <v>80000000</v>
      </c>
      <c r="G593" s="949">
        <v>0.1</v>
      </c>
      <c r="H593" s="950">
        <f t="shared" si="55"/>
        <v>80000000</v>
      </c>
      <c r="I593" s="950">
        <f t="shared" si="57"/>
        <v>88000000</v>
      </c>
      <c r="J593" s="950">
        <f t="shared" si="58"/>
        <v>88000000</v>
      </c>
      <c r="K593" s="948"/>
    </row>
    <row r="594" spans="1:11" ht="78.75" outlineLevel="1">
      <c r="A594" s="940">
        <f>A593+1</f>
        <v>2</v>
      </c>
      <c r="B594" s="1087" t="s">
        <v>1547</v>
      </c>
      <c r="C594" s="953" t="s">
        <v>1548</v>
      </c>
      <c r="D594" s="940" t="s">
        <v>627</v>
      </c>
      <c r="E594" s="962">
        <v>1</v>
      </c>
      <c r="F594" s="948">
        <v>3500000</v>
      </c>
      <c r="G594" s="949">
        <v>0.1</v>
      </c>
      <c r="H594" s="950">
        <f t="shared" si="55"/>
        <v>3500000</v>
      </c>
      <c r="I594" s="950">
        <f t="shared" si="57"/>
        <v>3850000</v>
      </c>
      <c r="J594" s="950">
        <f t="shared" si="58"/>
        <v>3850000</v>
      </c>
      <c r="K594" s="948"/>
    </row>
    <row r="595" spans="1:11" s="1093" customFormat="1" ht="17.25">
      <c r="A595" s="1088"/>
      <c r="B595" s="1725" t="s">
        <v>357</v>
      </c>
      <c r="C595" s="1726"/>
      <c r="D595" s="1088"/>
      <c r="E595" s="1089"/>
      <c r="F595" s="1090"/>
      <c r="G595" s="1089"/>
      <c r="H595" s="1091">
        <f>SUM(H9:H594)</f>
        <v>11485517000</v>
      </c>
      <c r="I595" s="1091"/>
      <c r="J595" s="1091">
        <f>SUM(J9:J594)</f>
        <v>12413613700</v>
      </c>
      <c r="K595" s="1092"/>
    </row>
    <row r="597" spans="1:11">
      <c r="H597" s="1098"/>
      <c r="I597" s="1098"/>
    </row>
  </sheetData>
  <autoFilter ref="A6:K595" xr:uid="{00000000-0009-0000-0000-00005A000000}"/>
  <mergeCells count="1">
    <mergeCell ref="B595:C595"/>
  </mergeCells>
  <hyperlinks>
    <hyperlink ref="C440" r:id="rId1" display="http://e-learning.bkt.net.vn/" xr:uid="{00000000-0004-0000-5A00-000000000000}"/>
  </hyperlinks>
  <pageMargins left="0.7" right="0.7" top="0.75" bottom="0.75" header="0.3" footer="0.3"/>
  <pageSetup paperSize="9" orientation="portrait"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FF0000"/>
  </sheetPr>
  <dimension ref="A1:E830"/>
  <sheetViews>
    <sheetView topLeftCell="A22" zoomScale="112" zoomScaleNormal="112" workbookViewId="0">
      <selection activeCell="B23" sqref="B23"/>
    </sheetView>
  </sheetViews>
  <sheetFormatPr defaultColWidth="9.140625" defaultRowHeight="12.75"/>
  <cols>
    <col min="1" max="1" width="9.140625" style="666"/>
    <col min="2" max="2" width="39" style="666" customWidth="1"/>
    <col min="3" max="3" width="11.85546875" style="666" customWidth="1"/>
    <col min="4" max="4" width="14.28515625" style="666" customWidth="1"/>
    <col min="5" max="5" width="22.5703125" style="666" customWidth="1"/>
    <col min="6" max="16384" width="9.140625" style="666"/>
  </cols>
  <sheetData>
    <row r="1" spans="1:5" ht="25.5">
      <c r="A1" s="1727" t="s">
        <v>1717</v>
      </c>
      <c r="B1" s="1727"/>
      <c r="C1" s="1727"/>
      <c r="D1" s="1727"/>
      <c r="E1" s="1727"/>
    </row>
    <row r="3" spans="1:5" s="680" customFormat="1" ht="15.75" customHeight="1">
      <c r="A3" s="679" t="s">
        <v>51</v>
      </c>
      <c r="B3" s="679" t="s">
        <v>1718</v>
      </c>
      <c r="C3" s="679" t="s">
        <v>1719</v>
      </c>
      <c r="D3" s="679" t="s">
        <v>7</v>
      </c>
      <c r="E3" s="679" t="s">
        <v>401</v>
      </c>
    </row>
    <row r="4" spans="1:5" s="678" customFormat="1" ht="15.75" customHeight="1">
      <c r="A4" s="676" t="s">
        <v>500</v>
      </c>
      <c r="B4" s="676" t="s">
        <v>1720</v>
      </c>
      <c r="C4" s="677"/>
      <c r="D4" s="677"/>
      <c r="E4" s="677"/>
    </row>
    <row r="5" spans="1:5" ht="15.75" customHeight="1">
      <c r="A5" s="674">
        <v>1</v>
      </c>
      <c r="B5" s="675" t="s">
        <v>1721</v>
      </c>
      <c r="C5" s="674" t="s">
        <v>1722</v>
      </c>
      <c r="D5" s="681">
        <v>3500000</v>
      </c>
      <c r="E5" s="675" t="s">
        <v>1723</v>
      </c>
    </row>
    <row r="6" spans="1:5" ht="15.75" customHeight="1">
      <c r="A6" s="674">
        <v>2</v>
      </c>
      <c r="B6" s="675" t="s">
        <v>1724</v>
      </c>
      <c r="C6" s="674" t="s">
        <v>1722</v>
      </c>
      <c r="D6" s="681">
        <v>1439731</v>
      </c>
      <c r="E6" s="675" t="s">
        <v>1725</v>
      </c>
    </row>
    <row r="7" spans="1:5" ht="15.75" customHeight="1">
      <c r="A7" s="674">
        <v>3</v>
      </c>
      <c r="B7" s="675" t="s">
        <v>1726</v>
      </c>
      <c r="C7" s="674" t="s">
        <v>1722</v>
      </c>
      <c r="D7" s="681">
        <v>1494276</v>
      </c>
      <c r="E7" s="675" t="s">
        <v>1725</v>
      </c>
    </row>
    <row r="8" spans="1:5" ht="15.75" customHeight="1">
      <c r="A8" s="674">
        <v>4</v>
      </c>
      <c r="B8" s="675" t="s">
        <v>1727</v>
      </c>
      <c r="C8" s="674" t="s">
        <v>1722</v>
      </c>
      <c r="D8" s="681">
        <v>380000</v>
      </c>
      <c r="E8" s="675" t="s">
        <v>1728</v>
      </c>
    </row>
    <row r="9" spans="1:5" ht="15.75" customHeight="1">
      <c r="A9" s="674">
        <v>5</v>
      </c>
      <c r="B9" s="675" t="s">
        <v>1729</v>
      </c>
      <c r="C9" s="674" t="s">
        <v>1730</v>
      </c>
      <c r="D9" s="681">
        <v>16700</v>
      </c>
      <c r="E9" s="675" t="s">
        <v>1731</v>
      </c>
    </row>
    <row r="10" spans="1:5" ht="15.75" customHeight="1">
      <c r="A10" s="674">
        <v>6</v>
      </c>
      <c r="B10" s="675" t="s">
        <v>1732</v>
      </c>
      <c r="C10" s="674" t="s">
        <v>1730</v>
      </c>
      <c r="D10" s="681">
        <v>20000</v>
      </c>
      <c r="E10" s="675" t="s">
        <v>1733</v>
      </c>
    </row>
    <row r="11" spans="1:5" ht="15.75" customHeight="1">
      <c r="A11" s="674">
        <v>7</v>
      </c>
      <c r="B11" s="675" t="s">
        <v>1734</v>
      </c>
      <c r="C11" s="674" t="s">
        <v>1722</v>
      </c>
      <c r="D11" s="681">
        <v>380000</v>
      </c>
      <c r="E11" s="675" t="s">
        <v>1728</v>
      </c>
    </row>
    <row r="12" spans="1:5" ht="15.75" customHeight="1">
      <c r="A12" s="674">
        <v>8</v>
      </c>
      <c r="B12" s="675" t="s">
        <v>1735</v>
      </c>
      <c r="C12" s="674" t="s">
        <v>1722</v>
      </c>
      <c r="D12" s="681">
        <v>330000</v>
      </c>
      <c r="E12" s="675" t="s">
        <v>1728</v>
      </c>
    </row>
    <row r="13" spans="1:5" ht="15.75" customHeight="1">
      <c r="A13" s="674">
        <v>9</v>
      </c>
      <c r="B13" s="675" t="s">
        <v>1736</v>
      </c>
      <c r="C13" s="674" t="s">
        <v>1730</v>
      </c>
      <c r="D13" s="681">
        <v>20000</v>
      </c>
      <c r="E13" s="675" t="s">
        <v>1733</v>
      </c>
    </row>
    <row r="14" spans="1:5" ht="15.75" customHeight="1">
      <c r="A14" s="674">
        <v>10</v>
      </c>
      <c r="B14" s="675" t="s">
        <v>1737</v>
      </c>
      <c r="C14" s="674" t="s">
        <v>655</v>
      </c>
      <c r="D14" s="681">
        <v>1000</v>
      </c>
      <c r="E14" s="675"/>
    </row>
    <row r="15" spans="1:5" ht="15.75" customHeight="1">
      <c r="A15" s="674">
        <v>11</v>
      </c>
      <c r="B15" s="675" t="s">
        <v>1738</v>
      </c>
      <c r="C15" s="674" t="s">
        <v>1722</v>
      </c>
      <c r="D15" s="681">
        <v>6500000</v>
      </c>
      <c r="E15" s="675" t="s">
        <v>1733</v>
      </c>
    </row>
    <row r="16" spans="1:5" ht="15.75" customHeight="1">
      <c r="A16" s="674">
        <v>12</v>
      </c>
      <c r="B16" s="675" t="s">
        <v>1739</v>
      </c>
      <c r="C16" s="674" t="s">
        <v>1722</v>
      </c>
      <c r="D16" s="681">
        <v>6500000</v>
      </c>
      <c r="E16" s="675" t="s">
        <v>1733</v>
      </c>
    </row>
    <row r="17" spans="1:5" ht="15.75" customHeight="1">
      <c r="A17" s="674">
        <v>13</v>
      </c>
      <c r="B17" s="675" t="s">
        <v>1740</v>
      </c>
      <c r="C17" s="674" t="s">
        <v>1722</v>
      </c>
      <c r="D17" s="681">
        <v>6500000</v>
      </c>
      <c r="E17" s="675" t="s">
        <v>1733</v>
      </c>
    </row>
    <row r="18" spans="1:5" ht="15.75" customHeight="1">
      <c r="A18" s="674">
        <v>14</v>
      </c>
      <c r="B18" s="675" t="s">
        <v>1741</v>
      </c>
      <c r="C18" s="674" t="s">
        <v>1722</v>
      </c>
      <c r="D18" s="681">
        <v>6500000</v>
      </c>
      <c r="E18" s="675" t="s">
        <v>1733</v>
      </c>
    </row>
    <row r="19" spans="1:5" ht="15.75" customHeight="1">
      <c r="A19" s="674">
        <v>15</v>
      </c>
      <c r="B19" s="675" t="s">
        <v>1742</v>
      </c>
      <c r="C19" s="674" t="s">
        <v>1730</v>
      </c>
      <c r="D19" s="681">
        <v>16700</v>
      </c>
      <c r="E19" s="675" t="s">
        <v>1731</v>
      </c>
    </row>
    <row r="20" spans="1:5" ht="15.75" customHeight="1">
      <c r="A20" s="674">
        <v>16</v>
      </c>
      <c r="B20" s="675" t="s">
        <v>1743</v>
      </c>
      <c r="C20" s="674" t="s">
        <v>1730</v>
      </c>
      <c r="D20" s="681">
        <v>20000</v>
      </c>
      <c r="E20" s="675" t="s">
        <v>1733</v>
      </c>
    </row>
    <row r="21" spans="1:5" ht="15.75" customHeight="1">
      <c r="A21" s="674">
        <v>17</v>
      </c>
      <c r="B21" s="675" t="s">
        <v>1744</v>
      </c>
      <c r="C21" s="674" t="s">
        <v>1745</v>
      </c>
      <c r="D21" s="681">
        <v>10</v>
      </c>
      <c r="E21" s="675"/>
    </row>
    <row r="22" spans="1:5" ht="15.75" customHeight="1">
      <c r="A22" s="674">
        <v>18</v>
      </c>
      <c r="B22" s="675" t="s">
        <v>1746</v>
      </c>
      <c r="C22" s="674" t="s">
        <v>1730</v>
      </c>
      <c r="D22" s="681">
        <v>25000</v>
      </c>
      <c r="E22" s="675" t="s">
        <v>1733</v>
      </c>
    </row>
    <row r="23" spans="1:5" ht="15.75" customHeight="1">
      <c r="A23" s="674">
        <v>19</v>
      </c>
      <c r="B23" s="675" t="s">
        <v>1747</v>
      </c>
      <c r="C23" s="674" t="s">
        <v>1730</v>
      </c>
      <c r="D23" s="681">
        <v>16700</v>
      </c>
      <c r="E23" s="675" t="s">
        <v>1731</v>
      </c>
    </row>
    <row r="24" spans="1:5" ht="15.75" customHeight="1">
      <c r="A24" s="674">
        <v>20</v>
      </c>
      <c r="B24" s="675" t="s">
        <v>1748</v>
      </c>
      <c r="C24" s="674" t="s">
        <v>1730</v>
      </c>
      <c r="D24" s="681">
        <v>16700</v>
      </c>
      <c r="E24" s="675" t="s">
        <v>1731</v>
      </c>
    </row>
    <row r="25" spans="1:5" ht="15.75" customHeight="1">
      <c r="A25" s="674">
        <v>21</v>
      </c>
      <c r="B25" s="675" t="s">
        <v>1749</v>
      </c>
      <c r="C25" s="674" t="s">
        <v>1730</v>
      </c>
      <c r="D25" s="681">
        <v>17500</v>
      </c>
      <c r="E25" s="675" t="s">
        <v>1750</v>
      </c>
    </row>
    <row r="26" spans="1:5" ht="15.75" customHeight="1">
      <c r="A26" s="674">
        <v>22</v>
      </c>
      <c r="B26" s="675" t="s">
        <v>1751</v>
      </c>
      <c r="C26" s="674" t="s">
        <v>1730</v>
      </c>
      <c r="D26" s="681">
        <v>17350</v>
      </c>
      <c r="E26" s="675" t="s">
        <v>1750</v>
      </c>
    </row>
    <row r="27" spans="1:5" ht="15.75" customHeight="1">
      <c r="A27" s="674">
        <v>23</v>
      </c>
      <c r="B27" s="675" t="s">
        <v>1752</v>
      </c>
      <c r="C27" s="674" t="s">
        <v>1730</v>
      </c>
      <c r="D27" s="681">
        <v>17350</v>
      </c>
      <c r="E27" s="675" t="s">
        <v>1750</v>
      </c>
    </row>
    <row r="28" spans="1:5">
      <c r="A28" s="674">
        <v>24</v>
      </c>
      <c r="B28" s="675" t="s">
        <v>1753</v>
      </c>
      <c r="C28" s="674" t="s">
        <v>1730</v>
      </c>
      <c r="D28" s="681">
        <v>17350</v>
      </c>
      <c r="E28" s="675" t="s">
        <v>1750</v>
      </c>
    </row>
    <row r="29" spans="1:5">
      <c r="A29" s="674">
        <v>25</v>
      </c>
      <c r="B29" s="675" t="s">
        <v>1754</v>
      </c>
      <c r="C29" s="674" t="s">
        <v>677</v>
      </c>
      <c r="D29" s="681">
        <v>165000</v>
      </c>
      <c r="E29" s="675" t="s">
        <v>1733</v>
      </c>
    </row>
    <row r="30" spans="1:5">
      <c r="A30" s="674">
        <v>26</v>
      </c>
      <c r="B30" s="675" t="s">
        <v>1755</v>
      </c>
      <c r="C30" s="674" t="s">
        <v>1730</v>
      </c>
      <c r="D30" s="681">
        <v>1763</v>
      </c>
      <c r="E30" s="675" t="s">
        <v>1756</v>
      </c>
    </row>
    <row r="31" spans="1:5">
      <c r="A31" s="674">
        <v>27</v>
      </c>
      <c r="B31" s="675" t="s">
        <v>1755</v>
      </c>
      <c r="C31" s="674" t="s">
        <v>1730</v>
      </c>
      <c r="D31" s="681">
        <v>1763</v>
      </c>
      <c r="E31" s="675" t="s">
        <v>1756</v>
      </c>
    </row>
    <row r="32" spans="1:5" s="678" customFormat="1" ht="15.75" customHeight="1">
      <c r="A32" s="676" t="s">
        <v>504</v>
      </c>
      <c r="B32" s="676" t="s">
        <v>1757</v>
      </c>
      <c r="C32" s="677"/>
      <c r="D32" s="677"/>
      <c r="E32" s="677"/>
    </row>
    <row r="33" spans="1:5">
      <c r="A33" s="675">
        <v>1</v>
      </c>
      <c r="B33" s="675" t="s">
        <v>1758</v>
      </c>
      <c r="C33" s="674" t="s">
        <v>655</v>
      </c>
      <c r="D33" s="681">
        <v>2500</v>
      </c>
      <c r="E33" s="675"/>
    </row>
    <row r="34" spans="1:5">
      <c r="A34" s="675">
        <v>2</v>
      </c>
      <c r="B34" s="675" t="s">
        <v>1759</v>
      </c>
      <c r="C34" s="674" t="s">
        <v>1730</v>
      </c>
      <c r="D34" s="681">
        <v>16650</v>
      </c>
      <c r="E34" s="675" t="s">
        <v>1760</v>
      </c>
    </row>
    <row r="35" spans="1:5">
      <c r="A35" s="675">
        <v>3</v>
      </c>
      <c r="B35" s="675" t="s">
        <v>1761</v>
      </c>
      <c r="C35" s="674" t="s">
        <v>1730</v>
      </c>
      <c r="D35" s="681">
        <v>12338</v>
      </c>
      <c r="E35" s="675" t="s">
        <v>1760</v>
      </c>
    </row>
    <row r="36" spans="1:5">
      <c r="A36" s="675">
        <v>4</v>
      </c>
      <c r="B36" s="675" t="s">
        <v>1762</v>
      </c>
      <c r="C36" s="674" t="s">
        <v>1730</v>
      </c>
      <c r="D36" s="681">
        <v>5000</v>
      </c>
      <c r="E36" s="675" t="s">
        <v>1733</v>
      </c>
    </row>
    <row r="37" spans="1:5">
      <c r="A37" s="675">
        <v>5</v>
      </c>
      <c r="B37" s="675" t="s">
        <v>1763</v>
      </c>
      <c r="C37" s="674" t="s">
        <v>1730</v>
      </c>
      <c r="D37" s="681">
        <v>28600</v>
      </c>
      <c r="E37" s="675" t="s">
        <v>1733</v>
      </c>
    </row>
    <row r="38" spans="1:5">
      <c r="A38" s="675">
        <v>6</v>
      </c>
      <c r="B38" s="675" t="s">
        <v>1764</v>
      </c>
      <c r="C38" s="674" t="s">
        <v>655</v>
      </c>
      <c r="D38" s="681">
        <v>10000</v>
      </c>
      <c r="E38" s="675" t="s">
        <v>1733</v>
      </c>
    </row>
    <row r="39" spans="1:5">
      <c r="A39" s="675">
        <v>7</v>
      </c>
      <c r="B39" s="675" t="s">
        <v>1765</v>
      </c>
      <c r="C39" s="674" t="s">
        <v>1722</v>
      </c>
      <c r="D39" s="681">
        <v>330000</v>
      </c>
      <c r="E39" s="675" t="s">
        <v>1728</v>
      </c>
    </row>
    <row r="40" spans="1:5">
      <c r="A40" s="675">
        <v>8</v>
      </c>
      <c r="B40" s="675" t="s">
        <v>1766</v>
      </c>
      <c r="C40" s="674" t="s">
        <v>1722</v>
      </c>
      <c r="D40" s="681">
        <v>280000</v>
      </c>
      <c r="E40" s="675" t="s">
        <v>1767</v>
      </c>
    </row>
    <row r="41" spans="1:5">
      <c r="A41" s="675">
        <v>9</v>
      </c>
      <c r="B41" s="675" t="s">
        <v>1768</v>
      </c>
      <c r="C41" s="674" t="s">
        <v>624</v>
      </c>
      <c r="D41" s="681">
        <v>90000000</v>
      </c>
      <c r="E41" s="675"/>
    </row>
    <row r="42" spans="1:5">
      <c r="A42" s="675">
        <v>10</v>
      </c>
      <c r="B42" s="675" t="s">
        <v>1769</v>
      </c>
      <c r="C42" s="674" t="s">
        <v>677</v>
      </c>
      <c r="D42" s="681">
        <v>4800000</v>
      </c>
      <c r="E42" s="675"/>
    </row>
    <row r="43" spans="1:5">
      <c r="A43" s="675">
        <v>11</v>
      </c>
      <c r="B43" s="915" t="s">
        <v>1770</v>
      </c>
      <c r="C43" s="674" t="s">
        <v>677</v>
      </c>
      <c r="D43" s="681">
        <v>80000</v>
      </c>
      <c r="E43" s="675"/>
    </row>
    <row r="44" spans="1:5">
      <c r="A44" s="675">
        <v>12</v>
      </c>
      <c r="B44" s="675" t="s">
        <v>1771</v>
      </c>
      <c r="C44" s="674" t="s">
        <v>655</v>
      </c>
      <c r="D44" s="681">
        <v>30000</v>
      </c>
      <c r="E44" s="675"/>
    </row>
    <row r="45" spans="1:5">
      <c r="A45" s="675">
        <v>13</v>
      </c>
      <c r="B45" s="675" t="s">
        <v>1772</v>
      </c>
      <c r="C45" s="674" t="s">
        <v>655</v>
      </c>
      <c r="D45" s="681">
        <v>35000</v>
      </c>
      <c r="E45" s="675"/>
    </row>
    <row r="46" spans="1:5">
      <c r="A46" s="675">
        <v>14</v>
      </c>
      <c r="B46" s="675" t="s">
        <v>1773</v>
      </c>
      <c r="C46" s="674" t="s">
        <v>655</v>
      </c>
      <c r="D46" s="681">
        <v>45000</v>
      </c>
      <c r="E46" s="675"/>
    </row>
    <row r="47" spans="1:5">
      <c r="A47" s="675">
        <v>15</v>
      </c>
      <c r="B47" s="675" t="s">
        <v>1774</v>
      </c>
      <c r="C47" s="674" t="s">
        <v>655</v>
      </c>
      <c r="D47" s="681">
        <v>5000</v>
      </c>
      <c r="E47" s="675"/>
    </row>
    <row r="48" spans="1:5">
      <c r="A48" s="675">
        <v>16</v>
      </c>
      <c r="B48" s="675" t="s">
        <v>1775</v>
      </c>
      <c r="C48" s="674" t="s">
        <v>655</v>
      </c>
      <c r="D48" s="681">
        <v>90000</v>
      </c>
      <c r="E48" s="675"/>
    </row>
    <row r="49" spans="1:5">
      <c r="A49" s="675">
        <v>17</v>
      </c>
      <c r="B49" s="675" t="s">
        <v>1776</v>
      </c>
      <c r="C49" s="674" t="s">
        <v>655</v>
      </c>
      <c r="D49" s="681">
        <v>110000</v>
      </c>
      <c r="E49" s="675"/>
    </row>
    <row r="50" spans="1:5">
      <c r="A50" s="675">
        <v>18</v>
      </c>
      <c r="B50" s="675" t="s">
        <v>1777</v>
      </c>
      <c r="C50" s="674" t="s">
        <v>685</v>
      </c>
      <c r="D50" s="681">
        <v>25000</v>
      </c>
      <c r="E50" s="675"/>
    </row>
    <row r="51" spans="1:5">
      <c r="A51" s="675">
        <v>19</v>
      </c>
      <c r="B51" s="675" t="s">
        <v>1778</v>
      </c>
      <c r="C51" s="674" t="s">
        <v>685</v>
      </c>
      <c r="D51" s="681">
        <v>30000</v>
      </c>
      <c r="E51" s="675"/>
    </row>
    <row r="52" spans="1:5">
      <c r="A52" s="675">
        <v>20</v>
      </c>
      <c r="B52" s="675" t="s">
        <v>1779</v>
      </c>
      <c r="C52" s="674" t="s">
        <v>677</v>
      </c>
      <c r="D52" s="681">
        <v>2800000</v>
      </c>
      <c r="E52" s="675"/>
    </row>
    <row r="53" spans="1:5">
      <c r="A53" s="675">
        <v>21</v>
      </c>
      <c r="B53" s="675" t="s">
        <v>1780</v>
      </c>
      <c r="C53" s="674" t="s">
        <v>677</v>
      </c>
      <c r="D53" s="681">
        <v>2800000</v>
      </c>
      <c r="E53" s="675"/>
    </row>
    <row r="54" spans="1:5">
      <c r="A54" s="675">
        <v>22</v>
      </c>
      <c r="B54" s="675" t="s">
        <v>1781</v>
      </c>
      <c r="C54" s="674" t="s">
        <v>677</v>
      </c>
      <c r="D54" s="681">
        <v>2800000</v>
      </c>
      <c r="E54" s="675"/>
    </row>
    <row r="55" spans="1:5">
      <c r="A55" s="675">
        <v>23</v>
      </c>
      <c r="B55" s="675" t="s">
        <v>1782</v>
      </c>
      <c r="C55" s="674" t="s">
        <v>677</v>
      </c>
      <c r="D55" s="681">
        <v>2800000</v>
      </c>
      <c r="E55" s="675"/>
    </row>
    <row r="56" spans="1:5">
      <c r="A56" s="675">
        <v>24</v>
      </c>
      <c r="B56" s="675" t="s">
        <v>1783</v>
      </c>
      <c r="C56" s="674" t="s">
        <v>677</v>
      </c>
      <c r="D56" s="681">
        <v>2800000</v>
      </c>
      <c r="E56" s="675"/>
    </row>
    <row r="57" spans="1:5">
      <c r="A57" s="675">
        <v>25</v>
      </c>
      <c r="B57" s="675" t="s">
        <v>1784</v>
      </c>
      <c r="C57" s="674" t="s">
        <v>677</v>
      </c>
      <c r="D57" s="681">
        <v>2800000</v>
      </c>
      <c r="E57" s="675"/>
    </row>
    <row r="58" spans="1:5">
      <c r="A58" s="675">
        <v>26</v>
      </c>
      <c r="B58" s="675" t="s">
        <v>1785</v>
      </c>
      <c r="C58" s="674" t="s">
        <v>677</v>
      </c>
      <c r="D58" s="681">
        <v>2800000</v>
      </c>
      <c r="E58" s="675"/>
    </row>
    <row r="59" spans="1:5">
      <c r="A59" s="675">
        <v>27</v>
      </c>
      <c r="B59" s="675" t="s">
        <v>1786</v>
      </c>
      <c r="C59" s="674" t="s">
        <v>677</v>
      </c>
      <c r="D59" s="681">
        <v>2800000</v>
      </c>
      <c r="E59" s="675"/>
    </row>
    <row r="60" spans="1:5">
      <c r="A60" s="675">
        <v>28</v>
      </c>
      <c r="B60" s="675" t="s">
        <v>1787</v>
      </c>
      <c r="C60" s="674" t="s">
        <v>677</v>
      </c>
      <c r="D60" s="681">
        <v>2800000</v>
      </c>
      <c r="E60" s="675"/>
    </row>
    <row r="61" spans="1:5">
      <c r="A61" s="675">
        <v>29</v>
      </c>
      <c r="B61" s="675" t="s">
        <v>1788</v>
      </c>
      <c r="C61" s="674" t="s">
        <v>677</v>
      </c>
      <c r="D61" s="681">
        <v>2800000</v>
      </c>
      <c r="E61" s="675"/>
    </row>
    <row r="62" spans="1:5">
      <c r="A62" s="675">
        <v>30</v>
      </c>
      <c r="B62" s="675" t="s">
        <v>1789</v>
      </c>
      <c r="C62" s="674" t="s">
        <v>677</v>
      </c>
      <c r="D62" s="681">
        <v>2800000</v>
      </c>
      <c r="E62" s="675"/>
    </row>
    <row r="63" spans="1:5">
      <c r="A63" s="675">
        <v>31</v>
      </c>
      <c r="B63" s="675" t="s">
        <v>1790</v>
      </c>
      <c r="C63" s="674" t="s">
        <v>677</v>
      </c>
      <c r="D63" s="681">
        <v>2800000</v>
      </c>
      <c r="E63" s="675"/>
    </row>
    <row r="64" spans="1:5">
      <c r="A64" s="675">
        <v>32</v>
      </c>
      <c r="B64" s="675" t="s">
        <v>1791</v>
      </c>
      <c r="C64" s="674" t="s">
        <v>677</v>
      </c>
      <c r="D64" s="681">
        <v>2800000</v>
      </c>
      <c r="E64" s="675"/>
    </row>
    <row r="65" spans="1:5">
      <c r="A65" s="675">
        <v>33</v>
      </c>
      <c r="B65" s="675" t="s">
        <v>1792</v>
      </c>
      <c r="C65" s="674" t="s">
        <v>677</v>
      </c>
      <c r="D65" s="681">
        <v>2800000</v>
      </c>
      <c r="E65" s="675"/>
    </row>
    <row r="66" spans="1:5">
      <c r="A66" s="675">
        <v>34</v>
      </c>
      <c r="B66" s="675" t="s">
        <v>1793</v>
      </c>
      <c r="C66" s="674" t="s">
        <v>677</v>
      </c>
      <c r="D66" s="681">
        <v>2800000</v>
      </c>
      <c r="E66" s="675"/>
    </row>
    <row r="67" spans="1:5">
      <c r="A67" s="675">
        <v>35</v>
      </c>
      <c r="B67" s="675" t="s">
        <v>1794</v>
      </c>
      <c r="C67" s="674" t="s">
        <v>685</v>
      </c>
      <c r="D67" s="681">
        <v>250000</v>
      </c>
      <c r="E67" s="675"/>
    </row>
    <row r="68" spans="1:5">
      <c r="A68" s="675">
        <v>36</v>
      </c>
      <c r="B68" s="675" t="s">
        <v>1732</v>
      </c>
      <c r="C68" s="674" t="s">
        <v>1730</v>
      </c>
      <c r="D68" s="681">
        <v>20000</v>
      </c>
      <c r="E68" s="675"/>
    </row>
    <row r="69" spans="1:5">
      <c r="A69" s="675">
        <v>37</v>
      </c>
      <c r="B69" s="675" t="s">
        <v>1795</v>
      </c>
      <c r="C69" s="674" t="s">
        <v>1730</v>
      </c>
      <c r="D69" s="681">
        <v>53000</v>
      </c>
      <c r="E69" s="675" t="s">
        <v>1796</v>
      </c>
    </row>
    <row r="70" spans="1:5">
      <c r="A70" s="675">
        <v>38</v>
      </c>
      <c r="B70" s="675" t="s">
        <v>1797</v>
      </c>
      <c r="C70" s="674" t="s">
        <v>677</v>
      </c>
      <c r="D70" s="681">
        <v>1200000</v>
      </c>
      <c r="E70" s="675"/>
    </row>
    <row r="71" spans="1:5">
      <c r="A71" s="675">
        <v>39</v>
      </c>
      <c r="B71" s="675" t="s">
        <v>1798</v>
      </c>
      <c r="C71" s="674" t="s">
        <v>1730</v>
      </c>
      <c r="D71" s="681">
        <v>10000</v>
      </c>
      <c r="E71" s="675"/>
    </row>
    <row r="72" spans="1:5">
      <c r="A72" s="675">
        <v>40</v>
      </c>
      <c r="B72" s="675" t="s">
        <v>1799</v>
      </c>
      <c r="C72" s="674" t="s">
        <v>1730</v>
      </c>
      <c r="D72" s="681">
        <v>20000</v>
      </c>
      <c r="E72" s="675"/>
    </row>
    <row r="73" spans="1:5">
      <c r="A73" s="675">
        <v>41</v>
      </c>
      <c r="B73" s="675" t="s">
        <v>1800</v>
      </c>
      <c r="C73" s="674" t="s">
        <v>655</v>
      </c>
      <c r="D73" s="681">
        <v>1000</v>
      </c>
      <c r="E73" s="675"/>
    </row>
    <row r="74" spans="1:5">
      <c r="A74" s="675">
        <v>42</v>
      </c>
      <c r="B74" s="675" t="s">
        <v>1801</v>
      </c>
      <c r="C74" s="674" t="s">
        <v>655</v>
      </c>
      <c r="D74" s="681">
        <v>1000</v>
      </c>
      <c r="E74" s="675"/>
    </row>
    <row r="75" spans="1:5">
      <c r="A75" s="675">
        <v>43</v>
      </c>
      <c r="B75" s="675" t="s">
        <v>1802</v>
      </c>
      <c r="C75" s="674" t="s">
        <v>677</v>
      </c>
      <c r="D75" s="681">
        <v>177273</v>
      </c>
      <c r="E75" s="675" t="s">
        <v>1803</v>
      </c>
    </row>
    <row r="76" spans="1:5">
      <c r="A76" s="675">
        <v>44</v>
      </c>
      <c r="B76" s="675" t="s">
        <v>1804</v>
      </c>
      <c r="C76" s="674" t="s">
        <v>677</v>
      </c>
      <c r="D76" s="681">
        <f>D75+70000</f>
        <v>247273</v>
      </c>
      <c r="E76" s="675" t="s">
        <v>1803</v>
      </c>
    </row>
    <row r="77" spans="1:5">
      <c r="A77" s="675">
        <v>45</v>
      </c>
      <c r="B77" s="675" t="s">
        <v>1805</v>
      </c>
      <c r="C77" s="674" t="s">
        <v>677</v>
      </c>
      <c r="D77" s="681">
        <f>D75+70000</f>
        <v>247273</v>
      </c>
      <c r="E77" s="675" t="s">
        <v>1803</v>
      </c>
    </row>
    <row r="78" spans="1:5">
      <c r="A78" s="675">
        <v>46</v>
      </c>
      <c r="B78" s="675" t="s">
        <v>1806</v>
      </c>
      <c r="C78" s="674" t="s">
        <v>677</v>
      </c>
      <c r="D78" s="681">
        <v>210000</v>
      </c>
      <c r="E78" s="675" t="s">
        <v>1803</v>
      </c>
    </row>
    <row r="79" spans="1:5">
      <c r="A79" s="675">
        <v>47</v>
      </c>
      <c r="B79" s="675" t="s">
        <v>1807</v>
      </c>
      <c r="C79" s="674" t="s">
        <v>1808</v>
      </c>
      <c r="D79" s="681">
        <v>1737</v>
      </c>
      <c r="E79" s="675" t="s">
        <v>1809</v>
      </c>
    </row>
    <row r="80" spans="1:5">
      <c r="A80" s="675">
        <v>48</v>
      </c>
      <c r="B80" s="675" t="s">
        <v>1810</v>
      </c>
      <c r="C80" s="674" t="s">
        <v>1808</v>
      </c>
      <c r="D80" s="681">
        <v>1737</v>
      </c>
      <c r="E80" s="675" t="s">
        <v>1809</v>
      </c>
    </row>
    <row r="81" spans="1:5">
      <c r="A81" s="675">
        <v>49</v>
      </c>
      <c r="B81" s="675" t="s">
        <v>1811</v>
      </c>
      <c r="C81" s="674" t="s">
        <v>677</v>
      </c>
      <c r="D81" s="681">
        <f>D82+70000</f>
        <v>327818</v>
      </c>
      <c r="E81" s="675" t="s">
        <v>1803</v>
      </c>
    </row>
    <row r="82" spans="1:5">
      <c r="A82" s="675">
        <v>50</v>
      </c>
      <c r="B82" s="675" t="s">
        <v>1812</v>
      </c>
      <c r="C82" s="674" t="s">
        <v>677</v>
      </c>
      <c r="D82" s="681">
        <v>257818</v>
      </c>
      <c r="E82" s="675" t="s">
        <v>1803</v>
      </c>
    </row>
    <row r="83" spans="1:5">
      <c r="A83" s="675">
        <v>51</v>
      </c>
      <c r="B83" s="675" t="s">
        <v>1813</v>
      </c>
      <c r="C83" s="674" t="s">
        <v>677</v>
      </c>
      <c r="D83" s="681">
        <f>D82+70000</f>
        <v>327818</v>
      </c>
      <c r="E83" s="675" t="s">
        <v>1803</v>
      </c>
    </row>
    <row r="84" spans="1:5">
      <c r="A84" s="675">
        <v>52</v>
      </c>
      <c r="B84" s="675" t="s">
        <v>1814</v>
      </c>
      <c r="C84" s="674" t="s">
        <v>1808</v>
      </c>
      <c r="D84" s="681">
        <v>1479</v>
      </c>
      <c r="E84" s="675" t="s">
        <v>1809</v>
      </c>
    </row>
    <row r="85" spans="1:5">
      <c r="A85" s="675">
        <v>53</v>
      </c>
      <c r="B85" s="675" t="s">
        <v>1815</v>
      </c>
      <c r="C85" s="674" t="s">
        <v>677</v>
      </c>
      <c r="D85" s="681">
        <v>350000</v>
      </c>
      <c r="E85" s="675"/>
    </row>
    <row r="86" spans="1:5">
      <c r="A86" s="675">
        <v>54</v>
      </c>
      <c r="B86" s="675" t="s">
        <v>1816</v>
      </c>
      <c r="C86" s="674" t="s">
        <v>1722</v>
      </c>
      <c r="D86" s="681">
        <v>6500000</v>
      </c>
      <c r="E86" s="675"/>
    </row>
    <row r="87" spans="1:5">
      <c r="A87" s="675">
        <v>55</v>
      </c>
      <c r="B87" s="675" t="s">
        <v>1817</v>
      </c>
      <c r="C87" s="674" t="s">
        <v>677</v>
      </c>
      <c r="D87" s="681">
        <v>650000</v>
      </c>
      <c r="E87" s="675"/>
    </row>
    <row r="88" spans="1:5">
      <c r="A88" s="675">
        <v>56</v>
      </c>
      <c r="B88" s="675" t="s">
        <v>1818</v>
      </c>
      <c r="C88" s="674" t="s">
        <v>677</v>
      </c>
      <c r="D88" s="681">
        <v>650000</v>
      </c>
      <c r="E88" s="675"/>
    </row>
    <row r="89" spans="1:5">
      <c r="A89" s="675">
        <v>57</v>
      </c>
      <c r="B89" s="675" t="s">
        <v>1741</v>
      </c>
      <c r="C89" s="674" t="s">
        <v>1722</v>
      </c>
      <c r="D89" s="681">
        <v>6500000</v>
      </c>
      <c r="E89" s="675"/>
    </row>
    <row r="90" spans="1:5">
      <c r="A90" s="675">
        <v>58</v>
      </c>
      <c r="B90" s="675" t="s">
        <v>1742</v>
      </c>
      <c r="C90" s="674" t="s">
        <v>1730</v>
      </c>
      <c r="D90" s="681">
        <f>D19</f>
        <v>16700</v>
      </c>
      <c r="E90" s="675"/>
    </row>
    <row r="91" spans="1:5">
      <c r="A91" s="675">
        <v>59</v>
      </c>
      <c r="B91" s="675" t="s">
        <v>1819</v>
      </c>
      <c r="C91" s="674" t="s">
        <v>1722</v>
      </c>
      <c r="D91" s="681">
        <v>6500000</v>
      </c>
      <c r="E91" s="675"/>
    </row>
    <row r="92" spans="1:5">
      <c r="A92" s="675">
        <v>60</v>
      </c>
      <c r="B92" s="675" t="s">
        <v>1820</v>
      </c>
      <c r="C92" s="674" t="s">
        <v>677</v>
      </c>
      <c r="D92" s="681">
        <v>30000</v>
      </c>
      <c r="E92" s="675"/>
    </row>
    <row r="93" spans="1:5">
      <c r="A93" s="675">
        <v>61</v>
      </c>
      <c r="B93" s="675" t="s">
        <v>1821</v>
      </c>
      <c r="C93" s="674" t="s">
        <v>1730</v>
      </c>
      <c r="D93" s="681">
        <v>35000</v>
      </c>
      <c r="E93" s="675"/>
    </row>
    <row r="94" spans="1:5">
      <c r="A94" s="675">
        <v>62</v>
      </c>
      <c r="B94" s="675" t="s">
        <v>1822</v>
      </c>
      <c r="C94" s="674" t="s">
        <v>624</v>
      </c>
      <c r="D94" s="681">
        <v>3500000</v>
      </c>
      <c r="E94" s="675"/>
    </row>
    <row r="95" spans="1:5">
      <c r="A95" s="675">
        <v>63</v>
      </c>
      <c r="B95" s="675" t="s">
        <v>1823</v>
      </c>
      <c r="C95" s="674" t="s">
        <v>677</v>
      </c>
      <c r="D95" s="681">
        <v>650000</v>
      </c>
      <c r="E95" s="675"/>
    </row>
    <row r="96" spans="1:5" ht="17.25" customHeight="1">
      <c r="A96" s="675">
        <v>64</v>
      </c>
      <c r="B96" s="915" t="s">
        <v>1824</v>
      </c>
      <c r="C96" s="674" t="s">
        <v>677</v>
      </c>
      <c r="D96" s="681">
        <v>1800000</v>
      </c>
      <c r="E96" s="675" t="s">
        <v>1723</v>
      </c>
    </row>
    <row r="97" spans="1:5">
      <c r="A97" s="675">
        <v>65</v>
      </c>
      <c r="B97" s="675" t="s">
        <v>1825</v>
      </c>
      <c r="C97" s="674" t="s">
        <v>685</v>
      </c>
      <c r="D97" s="681">
        <v>350000</v>
      </c>
      <c r="E97" s="675"/>
    </row>
    <row r="98" spans="1:5">
      <c r="A98" s="675">
        <v>66</v>
      </c>
      <c r="B98" s="675" t="s">
        <v>1826</v>
      </c>
      <c r="C98" s="674" t="s">
        <v>685</v>
      </c>
      <c r="D98" s="681">
        <v>270000</v>
      </c>
      <c r="E98" s="675"/>
    </row>
    <row r="99" spans="1:5">
      <c r="A99" s="675">
        <v>67</v>
      </c>
      <c r="B99" s="675" t="s">
        <v>1827</v>
      </c>
      <c r="C99" s="674" t="s">
        <v>677</v>
      </c>
      <c r="D99" s="681">
        <v>2600000</v>
      </c>
      <c r="E99" s="675"/>
    </row>
    <row r="100" spans="1:5">
      <c r="A100" s="675">
        <v>68</v>
      </c>
      <c r="B100" s="675" t="s">
        <v>1828</v>
      </c>
      <c r="C100" s="674" t="s">
        <v>677</v>
      </c>
      <c r="D100" s="681">
        <v>850000</v>
      </c>
      <c r="E100" s="675"/>
    </row>
    <row r="101" spans="1:5">
      <c r="A101" s="675">
        <v>69</v>
      </c>
      <c r="B101" s="675" t="s">
        <v>1829</v>
      </c>
      <c r="C101" s="674" t="s">
        <v>685</v>
      </c>
      <c r="D101" s="681">
        <v>350000</v>
      </c>
      <c r="E101" s="675"/>
    </row>
    <row r="102" spans="1:5">
      <c r="A102" s="675">
        <v>70</v>
      </c>
      <c r="B102" s="675" t="s">
        <v>1744</v>
      </c>
      <c r="C102" s="674" t="s">
        <v>1745</v>
      </c>
      <c r="D102" s="681">
        <v>10</v>
      </c>
      <c r="E102" s="675"/>
    </row>
    <row r="103" spans="1:5">
      <c r="A103" s="675">
        <v>71</v>
      </c>
      <c r="B103" s="675" t="s">
        <v>1830</v>
      </c>
      <c r="C103" s="674" t="s">
        <v>655</v>
      </c>
      <c r="D103" s="681">
        <v>20000</v>
      </c>
      <c r="E103" s="675"/>
    </row>
    <row r="104" spans="1:5">
      <c r="A104" s="675">
        <v>72</v>
      </c>
      <c r="B104" s="675" t="s">
        <v>1831</v>
      </c>
      <c r="C104" s="674" t="s">
        <v>655</v>
      </c>
      <c r="D104" s="681">
        <v>25000</v>
      </c>
      <c r="E104" s="675"/>
    </row>
    <row r="105" spans="1:5">
      <c r="A105" s="675">
        <v>73</v>
      </c>
      <c r="B105" s="675" t="s">
        <v>1832</v>
      </c>
      <c r="C105" s="674" t="s">
        <v>624</v>
      </c>
      <c r="D105" s="681">
        <v>500000</v>
      </c>
      <c r="E105" s="675"/>
    </row>
    <row r="106" spans="1:5">
      <c r="A106" s="675">
        <v>74</v>
      </c>
      <c r="B106" s="675" t="s">
        <v>1833</v>
      </c>
      <c r="C106" s="674" t="s">
        <v>1834</v>
      </c>
      <c r="D106" s="681">
        <v>150000</v>
      </c>
      <c r="E106" s="675"/>
    </row>
    <row r="107" spans="1:5">
      <c r="A107" s="675">
        <v>75</v>
      </c>
      <c r="B107" s="915" t="s">
        <v>1835</v>
      </c>
      <c r="C107" s="674" t="s">
        <v>677</v>
      </c>
      <c r="D107" s="681">
        <v>350000</v>
      </c>
      <c r="E107" s="675" t="s">
        <v>1723</v>
      </c>
    </row>
    <row r="108" spans="1:5">
      <c r="A108" s="675">
        <v>76</v>
      </c>
      <c r="B108" s="915" t="s">
        <v>1836</v>
      </c>
      <c r="C108" s="674" t="s">
        <v>677</v>
      </c>
      <c r="D108" s="681">
        <v>350000</v>
      </c>
      <c r="E108" s="675" t="s">
        <v>1723</v>
      </c>
    </row>
    <row r="109" spans="1:5">
      <c r="A109" s="675">
        <v>77</v>
      </c>
      <c r="B109" s="675" t="s">
        <v>1746</v>
      </c>
      <c r="C109" s="674" t="s">
        <v>1730</v>
      </c>
      <c r="D109" s="681">
        <v>25000</v>
      </c>
      <c r="E109" s="675"/>
    </row>
    <row r="110" spans="1:5">
      <c r="A110" s="675">
        <v>78</v>
      </c>
      <c r="B110" s="675" t="s">
        <v>1837</v>
      </c>
      <c r="C110" s="674" t="s">
        <v>1730</v>
      </c>
      <c r="D110" s="681">
        <v>138000</v>
      </c>
      <c r="E110" s="675" t="s">
        <v>1838</v>
      </c>
    </row>
    <row r="111" spans="1:5">
      <c r="A111" s="675">
        <v>79</v>
      </c>
      <c r="B111" s="675" t="s">
        <v>1839</v>
      </c>
      <c r="C111" s="674" t="s">
        <v>1745</v>
      </c>
      <c r="D111" s="681">
        <f>2234000/15/1.1</f>
        <v>135393.93939393939</v>
      </c>
      <c r="E111" s="675" t="s">
        <v>1840</v>
      </c>
    </row>
    <row r="112" spans="1:5">
      <c r="A112" s="675">
        <v>80</v>
      </c>
      <c r="B112" s="675" t="s">
        <v>1841</v>
      </c>
      <c r="C112" s="674" t="s">
        <v>1745</v>
      </c>
      <c r="D112" s="681">
        <f>4168000/18/1.1</f>
        <v>210505.05050505049</v>
      </c>
      <c r="E112" s="675" t="s">
        <v>1842</v>
      </c>
    </row>
    <row r="113" spans="1:5">
      <c r="A113" s="675">
        <v>81</v>
      </c>
      <c r="B113" s="675" t="s">
        <v>1843</v>
      </c>
      <c r="C113" s="674" t="s">
        <v>1730</v>
      </c>
      <c r="D113" s="681">
        <v>138000</v>
      </c>
      <c r="E113" s="675" t="s">
        <v>1838</v>
      </c>
    </row>
    <row r="114" spans="1:5">
      <c r="A114" s="675">
        <v>82</v>
      </c>
      <c r="B114" s="675" t="s">
        <v>1844</v>
      </c>
      <c r="C114" s="674" t="s">
        <v>1745</v>
      </c>
      <c r="D114" s="681">
        <f>3896000/15/1.1</f>
        <v>236121.2121212121</v>
      </c>
      <c r="E114" s="675" t="s">
        <v>1845</v>
      </c>
    </row>
    <row r="115" spans="1:5">
      <c r="A115" s="675">
        <v>83</v>
      </c>
      <c r="B115" s="675" t="s">
        <v>1846</v>
      </c>
      <c r="C115" s="674" t="s">
        <v>1745</v>
      </c>
      <c r="D115" s="681">
        <f>7250000/15/1.1</f>
        <v>439393.93939393933</v>
      </c>
      <c r="E115" s="675" t="s">
        <v>1847</v>
      </c>
    </row>
    <row r="116" spans="1:5">
      <c r="A116" s="675">
        <v>84</v>
      </c>
      <c r="B116" s="915" t="s">
        <v>1848</v>
      </c>
      <c r="C116" s="674" t="s">
        <v>685</v>
      </c>
      <c r="D116" s="681">
        <v>150000</v>
      </c>
      <c r="E116" s="675" t="s">
        <v>1723</v>
      </c>
    </row>
    <row r="117" spans="1:5">
      <c r="A117" s="675">
        <v>85</v>
      </c>
      <c r="B117" s="675" t="s">
        <v>1849</v>
      </c>
      <c r="C117" s="674" t="s">
        <v>1722</v>
      </c>
      <c r="D117" s="681">
        <v>1100000</v>
      </c>
      <c r="E117" s="675"/>
    </row>
    <row r="118" spans="1:5">
      <c r="A118" s="675">
        <v>86</v>
      </c>
      <c r="B118" s="675" t="s">
        <v>1850</v>
      </c>
      <c r="C118" s="674" t="s">
        <v>685</v>
      </c>
      <c r="D118" s="681">
        <v>350000</v>
      </c>
      <c r="E118" s="675"/>
    </row>
    <row r="119" spans="1:5">
      <c r="A119" s="675">
        <v>87</v>
      </c>
      <c r="B119" s="675" t="s">
        <v>1851</v>
      </c>
      <c r="C119" s="674" t="s">
        <v>677</v>
      </c>
      <c r="D119" s="681">
        <v>240000</v>
      </c>
      <c r="E119" s="675"/>
    </row>
    <row r="120" spans="1:5">
      <c r="A120" s="675">
        <v>88</v>
      </c>
      <c r="B120" s="675" t="s">
        <v>1747</v>
      </c>
      <c r="C120" s="674" t="s">
        <v>1730</v>
      </c>
      <c r="D120" s="681">
        <v>16700</v>
      </c>
      <c r="E120" s="675"/>
    </row>
    <row r="121" spans="1:5">
      <c r="A121" s="675">
        <v>89</v>
      </c>
      <c r="B121" s="675" t="s">
        <v>1748</v>
      </c>
      <c r="C121" s="674" t="s">
        <v>1730</v>
      </c>
      <c r="D121" s="681">
        <v>16700</v>
      </c>
      <c r="E121" s="675"/>
    </row>
    <row r="122" spans="1:5">
      <c r="A122" s="675">
        <v>90</v>
      </c>
      <c r="B122" s="675" t="s">
        <v>1852</v>
      </c>
      <c r="C122" s="674" t="s">
        <v>1730</v>
      </c>
      <c r="D122" s="681">
        <v>17500</v>
      </c>
      <c r="E122" s="675"/>
    </row>
    <row r="123" spans="1:5">
      <c r="A123" s="675">
        <v>91</v>
      </c>
      <c r="B123" s="675" t="s">
        <v>1751</v>
      </c>
      <c r="C123" s="674" t="s">
        <v>1730</v>
      </c>
      <c r="D123" s="681">
        <v>17350</v>
      </c>
      <c r="E123" s="675"/>
    </row>
    <row r="124" spans="1:5">
      <c r="A124" s="675">
        <v>92</v>
      </c>
      <c r="B124" s="675" t="s">
        <v>1853</v>
      </c>
      <c r="C124" s="674" t="s">
        <v>677</v>
      </c>
      <c r="D124" s="681">
        <v>180000</v>
      </c>
      <c r="E124" s="675"/>
    </row>
    <row r="125" spans="1:5">
      <c r="A125" s="675">
        <v>93</v>
      </c>
      <c r="B125" s="675" t="s">
        <v>1854</v>
      </c>
      <c r="C125" s="674" t="s">
        <v>677</v>
      </c>
      <c r="D125" s="681">
        <v>180000</v>
      </c>
      <c r="E125" s="675"/>
    </row>
    <row r="126" spans="1:5">
      <c r="A126" s="675">
        <v>94</v>
      </c>
      <c r="B126" s="675" t="s">
        <v>1855</v>
      </c>
      <c r="C126" s="674" t="s">
        <v>677</v>
      </c>
      <c r="D126" s="681">
        <v>2350000</v>
      </c>
      <c r="E126" s="675"/>
    </row>
    <row r="127" spans="1:5">
      <c r="A127" s="675">
        <v>95</v>
      </c>
      <c r="B127" s="675" t="s">
        <v>1856</v>
      </c>
      <c r="C127" s="674" t="s">
        <v>677</v>
      </c>
      <c r="D127" s="681">
        <v>1500000</v>
      </c>
      <c r="E127" s="675"/>
    </row>
    <row r="128" spans="1:5">
      <c r="A128" s="675">
        <v>96</v>
      </c>
      <c r="B128" s="675" t="s">
        <v>1857</v>
      </c>
      <c r="C128" s="674" t="s">
        <v>677</v>
      </c>
      <c r="D128" s="681">
        <v>650000</v>
      </c>
      <c r="E128" s="675"/>
    </row>
    <row r="129" spans="1:5">
      <c r="A129" s="675">
        <v>97</v>
      </c>
      <c r="B129" s="675" t="s">
        <v>1858</v>
      </c>
      <c r="C129" s="674" t="s">
        <v>677</v>
      </c>
      <c r="D129" s="681">
        <v>650000</v>
      </c>
      <c r="E129" s="675"/>
    </row>
    <row r="130" spans="1:5">
      <c r="A130" s="675">
        <v>98</v>
      </c>
      <c r="B130" s="675" t="s">
        <v>1859</v>
      </c>
      <c r="C130" s="674" t="s">
        <v>1730</v>
      </c>
      <c r="D130" s="681">
        <f>D31</f>
        <v>1763</v>
      </c>
      <c r="E130" s="675"/>
    </row>
    <row r="131" spans="1:5">
      <c r="A131" s="675">
        <v>99</v>
      </c>
      <c r="B131" s="675" t="s">
        <v>1860</v>
      </c>
      <c r="C131" s="674" t="s">
        <v>1730</v>
      </c>
      <c r="D131" s="681">
        <v>5000</v>
      </c>
      <c r="E131" s="675"/>
    </row>
    <row r="132" spans="1:5" s="678" customFormat="1" ht="15.75" customHeight="1">
      <c r="A132" s="676" t="s">
        <v>507</v>
      </c>
      <c r="B132" s="676" t="s">
        <v>1861</v>
      </c>
      <c r="C132" s="677"/>
      <c r="D132" s="677"/>
      <c r="E132" s="677"/>
    </row>
    <row r="133" spans="1:5">
      <c r="A133" s="674">
        <v>1</v>
      </c>
      <c r="B133" s="675" t="s">
        <v>1726</v>
      </c>
      <c r="C133" s="674" t="s">
        <v>1722</v>
      </c>
      <c r="D133" s="681">
        <f>D7</f>
        <v>1494276</v>
      </c>
      <c r="E133" s="675"/>
    </row>
    <row r="134" spans="1:5">
      <c r="A134" s="674">
        <v>2</v>
      </c>
      <c r="B134" s="675" t="s">
        <v>1759</v>
      </c>
      <c r="C134" s="674" t="s">
        <v>1730</v>
      </c>
      <c r="D134" s="681">
        <f>D34</f>
        <v>16650</v>
      </c>
      <c r="E134" s="675"/>
    </row>
    <row r="135" spans="1:5">
      <c r="A135" s="674">
        <v>3</v>
      </c>
      <c r="B135" s="675" t="s">
        <v>1761</v>
      </c>
      <c r="C135" s="674" t="s">
        <v>1730</v>
      </c>
      <c r="D135" s="681">
        <f>D35</f>
        <v>12338</v>
      </c>
      <c r="E135" s="675"/>
    </row>
    <row r="136" spans="1:5">
      <c r="A136" s="674">
        <v>4</v>
      </c>
      <c r="B136" s="675" t="s">
        <v>1862</v>
      </c>
      <c r="C136" s="674" t="s">
        <v>685</v>
      </c>
      <c r="D136" s="681">
        <v>5720</v>
      </c>
      <c r="E136" s="675" t="s">
        <v>1863</v>
      </c>
    </row>
    <row r="137" spans="1:5">
      <c r="A137" s="674">
        <v>5</v>
      </c>
      <c r="B137" s="675" t="s">
        <v>1864</v>
      </c>
      <c r="C137" s="674" t="s">
        <v>685</v>
      </c>
      <c r="D137" s="681">
        <v>9320</v>
      </c>
      <c r="E137" s="675"/>
    </row>
    <row r="138" spans="1:5">
      <c r="A138" s="674">
        <v>6</v>
      </c>
      <c r="B138" s="675" t="s">
        <v>1865</v>
      </c>
      <c r="C138" s="674" t="s">
        <v>685</v>
      </c>
      <c r="D138" s="681">
        <v>24210</v>
      </c>
      <c r="E138" s="675"/>
    </row>
    <row r="139" spans="1:5">
      <c r="A139" s="674">
        <v>7</v>
      </c>
      <c r="B139" s="675" t="s">
        <v>1866</v>
      </c>
      <c r="C139" s="674" t="s">
        <v>685</v>
      </c>
      <c r="D139" s="681">
        <v>35840</v>
      </c>
      <c r="E139" s="675"/>
    </row>
    <row r="140" spans="1:5">
      <c r="A140" s="674">
        <v>8</v>
      </c>
      <c r="B140" s="675" t="s">
        <v>1765</v>
      </c>
      <c r="C140" s="674" t="s">
        <v>1722</v>
      </c>
      <c r="D140" s="681">
        <f>D39</f>
        <v>330000</v>
      </c>
      <c r="E140" s="675"/>
    </row>
    <row r="141" spans="1:5">
      <c r="A141" s="674">
        <v>9</v>
      </c>
      <c r="B141" s="675" t="s">
        <v>1727</v>
      </c>
      <c r="C141" s="674" t="s">
        <v>1722</v>
      </c>
      <c r="D141" s="681">
        <f>D8</f>
        <v>380000</v>
      </c>
      <c r="E141" s="675"/>
    </row>
    <row r="142" spans="1:5">
      <c r="A142" s="674">
        <v>10</v>
      </c>
      <c r="B142" s="675" t="s">
        <v>1867</v>
      </c>
      <c r="C142" s="674" t="s">
        <v>655</v>
      </c>
      <c r="D142" s="681">
        <v>150000</v>
      </c>
      <c r="E142" s="675"/>
    </row>
    <row r="143" spans="1:5">
      <c r="A143" s="674">
        <v>11</v>
      </c>
      <c r="B143" s="675" t="s">
        <v>1868</v>
      </c>
      <c r="C143" s="674" t="s">
        <v>655</v>
      </c>
      <c r="D143" s="681">
        <f>52000/1.1</f>
        <v>47272.727272727272</v>
      </c>
      <c r="E143" s="675"/>
    </row>
    <row r="144" spans="1:5">
      <c r="A144" s="674">
        <v>12</v>
      </c>
      <c r="B144" s="675" t="s">
        <v>1869</v>
      </c>
      <c r="C144" s="674" t="s">
        <v>655</v>
      </c>
      <c r="D144" s="681">
        <v>64000</v>
      </c>
      <c r="E144" s="675" t="s">
        <v>1870</v>
      </c>
    </row>
    <row r="145" spans="1:5">
      <c r="A145" s="674">
        <v>13</v>
      </c>
      <c r="B145" s="675" t="s">
        <v>1871</v>
      </c>
      <c r="C145" s="674" t="s">
        <v>655</v>
      </c>
      <c r="D145" s="681">
        <f>1281500/1.1</f>
        <v>1165000</v>
      </c>
      <c r="E145" s="675" t="s">
        <v>1872</v>
      </c>
    </row>
    <row r="146" spans="1:5">
      <c r="A146" s="674">
        <v>14</v>
      </c>
      <c r="B146" s="675" t="s">
        <v>1873</v>
      </c>
      <c r="C146" s="674" t="s">
        <v>1730</v>
      </c>
      <c r="D146" s="681">
        <v>30000</v>
      </c>
      <c r="E146" s="675"/>
    </row>
    <row r="147" spans="1:5">
      <c r="A147" s="674">
        <v>15</v>
      </c>
      <c r="B147" s="675" t="s">
        <v>1874</v>
      </c>
      <c r="C147" s="674" t="s">
        <v>655</v>
      </c>
      <c r="D147" s="681">
        <f>23100/1.1</f>
        <v>21000</v>
      </c>
      <c r="E147" s="675" t="s">
        <v>1872</v>
      </c>
    </row>
    <row r="148" spans="1:5">
      <c r="A148" s="674">
        <v>16</v>
      </c>
      <c r="B148" s="675" t="s">
        <v>1729</v>
      </c>
      <c r="C148" s="674" t="s">
        <v>1730</v>
      </c>
      <c r="D148" s="681">
        <f>D9</f>
        <v>16700</v>
      </c>
      <c r="E148" s="675"/>
    </row>
    <row r="149" spans="1:5">
      <c r="A149" s="674">
        <v>17</v>
      </c>
      <c r="B149" s="675" t="s">
        <v>1875</v>
      </c>
      <c r="C149" s="674" t="s">
        <v>677</v>
      </c>
      <c r="D149" s="681">
        <v>2800000</v>
      </c>
      <c r="E149" s="675"/>
    </row>
    <row r="150" spans="1:5">
      <c r="A150" s="674">
        <v>18</v>
      </c>
      <c r="B150" s="675" t="s">
        <v>1876</v>
      </c>
      <c r="C150" s="674" t="s">
        <v>677</v>
      </c>
      <c r="D150" s="681">
        <v>2800000</v>
      </c>
      <c r="E150" s="675"/>
    </row>
    <row r="151" spans="1:5">
      <c r="A151" s="674">
        <v>19</v>
      </c>
      <c r="B151" s="675" t="s">
        <v>1732</v>
      </c>
      <c r="C151" s="674" t="s">
        <v>1730</v>
      </c>
      <c r="D151" s="681">
        <f>D68</f>
        <v>20000</v>
      </c>
      <c r="E151" s="675"/>
    </row>
    <row r="152" spans="1:5">
      <c r="A152" s="674">
        <v>20</v>
      </c>
      <c r="B152" s="675" t="s">
        <v>1877</v>
      </c>
      <c r="C152" s="674" t="s">
        <v>655</v>
      </c>
      <c r="D152" s="681">
        <f>368500/1.1</f>
        <v>335000</v>
      </c>
      <c r="E152" s="675" t="s">
        <v>1872</v>
      </c>
    </row>
    <row r="153" spans="1:5">
      <c r="A153" s="674">
        <v>21</v>
      </c>
      <c r="B153" s="675" t="s">
        <v>1795</v>
      </c>
      <c r="C153" s="674" t="s">
        <v>1730</v>
      </c>
      <c r="D153" s="681">
        <f>D69</f>
        <v>53000</v>
      </c>
      <c r="E153" s="675"/>
    </row>
    <row r="154" spans="1:5">
      <c r="A154" s="674">
        <v>22</v>
      </c>
      <c r="B154" s="675" t="s">
        <v>1734</v>
      </c>
      <c r="C154" s="674" t="s">
        <v>1722</v>
      </c>
      <c r="D154" s="681">
        <f>D11</f>
        <v>380000</v>
      </c>
      <c r="E154" s="675"/>
    </row>
    <row r="155" spans="1:5">
      <c r="A155" s="674">
        <v>23</v>
      </c>
      <c r="B155" s="675" t="s">
        <v>1735</v>
      </c>
      <c r="C155" s="674" t="s">
        <v>1722</v>
      </c>
      <c r="D155" s="681">
        <f>D12</f>
        <v>330000</v>
      </c>
      <c r="E155" s="675"/>
    </row>
    <row r="156" spans="1:5">
      <c r="A156" s="674">
        <v>24</v>
      </c>
      <c r="B156" s="675" t="s">
        <v>1878</v>
      </c>
      <c r="C156" s="674" t="s">
        <v>677</v>
      </c>
      <c r="D156" s="681">
        <f>D70</f>
        <v>1200000</v>
      </c>
      <c r="E156" s="675"/>
    </row>
    <row r="157" spans="1:5" ht="14.25">
      <c r="A157" s="674">
        <v>25</v>
      </c>
      <c r="B157" s="675" t="s">
        <v>1879</v>
      </c>
      <c r="C157" s="674" t="s">
        <v>624</v>
      </c>
      <c r="D157" s="681">
        <f>224000+51100</f>
        <v>275100</v>
      </c>
      <c r="E157" s="917" t="s">
        <v>1880</v>
      </c>
    </row>
    <row r="158" spans="1:5">
      <c r="A158" s="674">
        <v>26</v>
      </c>
      <c r="B158" s="675" t="s">
        <v>1881</v>
      </c>
      <c r="C158" s="674" t="s">
        <v>655</v>
      </c>
      <c r="D158" s="681">
        <f>79200/1.1</f>
        <v>72000</v>
      </c>
      <c r="E158" s="675" t="s">
        <v>1872</v>
      </c>
    </row>
    <row r="159" spans="1:5">
      <c r="A159" s="674">
        <v>27</v>
      </c>
      <c r="B159" s="675" t="s">
        <v>1882</v>
      </c>
      <c r="C159" s="674" t="s">
        <v>655</v>
      </c>
      <c r="D159" s="681">
        <f>33000/1.1</f>
        <v>29999.999999999996</v>
      </c>
      <c r="E159" s="675" t="s">
        <v>1872</v>
      </c>
    </row>
    <row r="160" spans="1:5">
      <c r="A160" s="674">
        <v>28</v>
      </c>
      <c r="B160" s="675" t="s">
        <v>1736</v>
      </c>
      <c r="C160" s="674" t="s">
        <v>1730</v>
      </c>
      <c r="D160" s="681">
        <f>D72</f>
        <v>20000</v>
      </c>
      <c r="E160" s="675"/>
    </row>
    <row r="161" spans="1:5">
      <c r="A161" s="674">
        <v>29</v>
      </c>
      <c r="B161" s="675" t="s">
        <v>1883</v>
      </c>
      <c r="C161" s="674" t="s">
        <v>677</v>
      </c>
      <c r="D161" s="681">
        <v>189000</v>
      </c>
      <c r="E161" s="675"/>
    </row>
    <row r="162" spans="1:5">
      <c r="A162" s="674">
        <v>30</v>
      </c>
      <c r="B162" s="675" t="s">
        <v>1810</v>
      </c>
      <c r="C162" s="674" t="s">
        <v>1808</v>
      </c>
      <c r="D162" s="681">
        <f>D80</f>
        <v>1737</v>
      </c>
      <c r="E162" s="675"/>
    </row>
    <row r="163" spans="1:5">
      <c r="A163" s="674">
        <v>31</v>
      </c>
      <c r="B163" s="675" t="s">
        <v>1738</v>
      </c>
      <c r="C163" s="674" t="s">
        <v>1722</v>
      </c>
      <c r="D163" s="681">
        <f>D86</f>
        <v>6500000</v>
      </c>
      <c r="E163" s="675"/>
    </row>
    <row r="164" spans="1:5">
      <c r="A164" s="674">
        <v>32</v>
      </c>
      <c r="B164" s="675" t="s">
        <v>1739</v>
      </c>
      <c r="C164" s="674" t="s">
        <v>1722</v>
      </c>
      <c r="D164" s="681">
        <f>D163</f>
        <v>6500000</v>
      </c>
      <c r="E164" s="675"/>
    </row>
    <row r="165" spans="1:5">
      <c r="A165" s="674">
        <v>33</v>
      </c>
      <c r="B165" s="675" t="s">
        <v>1741</v>
      </c>
      <c r="C165" s="674" t="s">
        <v>1722</v>
      </c>
      <c r="D165" s="681">
        <f>D164</f>
        <v>6500000</v>
      </c>
      <c r="E165" s="675"/>
    </row>
    <row r="166" spans="1:5">
      <c r="A166" s="674">
        <v>34</v>
      </c>
      <c r="B166" s="675" t="s">
        <v>1820</v>
      </c>
      <c r="C166" s="674" t="s">
        <v>677</v>
      </c>
      <c r="D166" s="681">
        <f>D92</f>
        <v>30000</v>
      </c>
      <c r="E166" s="675"/>
    </row>
    <row r="167" spans="1:5">
      <c r="A167" s="674">
        <v>35</v>
      </c>
      <c r="B167" s="675" t="s">
        <v>1884</v>
      </c>
      <c r="C167" s="674" t="s">
        <v>655</v>
      </c>
      <c r="D167" s="681">
        <f>10500/1.1</f>
        <v>9545.4545454545441</v>
      </c>
      <c r="E167" s="675"/>
    </row>
    <row r="168" spans="1:5">
      <c r="A168" s="674">
        <v>36</v>
      </c>
      <c r="B168" s="675" t="s">
        <v>1885</v>
      </c>
      <c r="C168" s="674" t="s">
        <v>655</v>
      </c>
      <c r="D168" s="681">
        <f>35000/1.1</f>
        <v>31818.181818181816</v>
      </c>
      <c r="E168" s="675"/>
    </row>
    <row r="169" spans="1:5">
      <c r="A169" s="674">
        <v>37</v>
      </c>
      <c r="B169" s="675" t="s">
        <v>1886</v>
      </c>
      <c r="C169" s="674" t="s">
        <v>1730</v>
      </c>
      <c r="D169" s="681">
        <v>142500</v>
      </c>
      <c r="E169" s="675"/>
    </row>
    <row r="170" spans="1:5">
      <c r="A170" s="674">
        <v>38</v>
      </c>
      <c r="B170" s="675" t="s">
        <v>1887</v>
      </c>
      <c r="C170" s="674" t="s">
        <v>677</v>
      </c>
      <c r="D170" s="681">
        <f>D95</f>
        <v>650000</v>
      </c>
      <c r="E170" s="675"/>
    </row>
    <row r="171" spans="1:5">
      <c r="A171" s="674">
        <v>39</v>
      </c>
      <c r="B171" s="675" t="s">
        <v>1743</v>
      </c>
      <c r="C171" s="674" t="s">
        <v>1730</v>
      </c>
      <c r="D171" s="681">
        <f>D20</f>
        <v>20000</v>
      </c>
      <c r="E171" s="675"/>
    </row>
    <row r="172" spans="1:5">
      <c r="A172" s="674">
        <v>40</v>
      </c>
      <c r="B172" s="675" t="s">
        <v>1888</v>
      </c>
      <c r="C172" s="674" t="s">
        <v>655</v>
      </c>
      <c r="D172" s="681">
        <f>22000/1.1</f>
        <v>20000</v>
      </c>
      <c r="E172" s="675" t="s">
        <v>1872</v>
      </c>
    </row>
    <row r="173" spans="1:5">
      <c r="A173" s="674">
        <v>41</v>
      </c>
      <c r="B173" s="675" t="s">
        <v>1889</v>
      </c>
      <c r="C173" s="674" t="s">
        <v>655</v>
      </c>
      <c r="D173" s="681">
        <f>22000/1.1</f>
        <v>20000</v>
      </c>
      <c r="E173" s="675" t="s">
        <v>1872</v>
      </c>
    </row>
    <row r="174" spans="1:5">
      <c r="A174" s="674">
        <v>42</v>
      </c>
      <c r="B174" s="675" t="s">
        <v>1890</v>
      </c>
      <c r="C174" s="674" t="s">
        <v>655</v>
      </c>
      <c r="D174" s="681">
        <f>96800/1.1</f>
        <v>88000</v>
      </c>
      <c r="E174" s="675" t="s">
        <v>1872</v>
      </c>
    </row>
    <row r="175" spans="1:5">
      <c r="A175" s="674">
        <v>43</v>
      </c>
      <c r="B175" s="675" t="s">
        <v>1891</v>
      </c>
      <c r="C175" s="674" t="s">
        <v>655</v>
      </c>
      <c r="D175" s="681">
        <f>2585000/1.1</f>
        <v>2350000</v>
      </c>
      <c r="E175" s="675" t="s">
        <v>1872</v>
      </c>
    </row>
    <row r="176" spans="1:5">
      <c r="A176" s="674">
        <v>44</v>
      </c>
      <c r="B176" s="675" t="s">
        <v>1744</v>
      </c>
      <c r="C176" s="674" t="s">
        <v>1745</v>
      </c>
      <c r="D176" s="681">
        <v>10</v>
      </c>
      <c r="E176" s="675"/>
    </row>
    <row r="177" spans="1:5">
      <c r="A177" s="674">
        <v>45</v>
      </c>
      <c r="B177" s="675" t="s">
        <v>1892</v>
      </c>
      <c r="C177" s="674" t="s">
        <v>1730</v>
      </c>
      <c r="D177" s="681">
        <f>D169</f>
        <v>142500</v>
      </c>
      <c r="E177" s="675"/>
    </row>
    <row r="178" spans="1:5">
      <c r="A178" s="674">
        <v>46</v>
      </c>
      <c r="B178" s="675" t="s">
        <v>1893</v>
      </c>
      <c r="C178" s="674" t="s">
        <v>655</v>
      </c>
      <c r="D178" s="681">
        <f>104500/1.1</f>
        <v>94999.999999999985</v>
      </c>
      <c r="E178" s="675" t="s">
        <v>1872</v>
      </c>
    </row>
    <row r="179" spans="1:5">
      <c r="A179" s="674">
        <v>47</v>
      </c>
      <c r="B179" s="675" t="s">
        <v>1832</v>
      </c>
      <c r="C179" s="674" t="s">
        <v>624</v>
      </c>
      <c r="D179" s="681">
        <f>D105</f>
        <v>500000</v>
      </c>
      <c r="E179" s="675"/>
    </row>
    <row r="180" spans="1:5">
      <c r="A180" s="674">
        <v>48</v>
      </c>
      <c r="B180" s="675" t="s">
        <v>1894</v>
      </c>
      <c r="C180" s="674" t="s">
        <v>685</v>
      </c>
      <c r="D180" s="681">
        <v>20200</v>
      </c>
      <c r="E180" s="675"/>
    </row>
    <row r="181" spans="1:5">
      <c r="A181" s="674">
        <v>49</v>
      </c>
      <c r="B181" s="675" t="s">
        <v>1895</v>
      </c>
      <c r="C181" s="674" t="s">
        <v>685</v>
      </c>
      <c r="D181" s="681">
        <f>29140/2.92</f>
        <v>9979.4520547945212</v>
      </c>
      <c r="E181" s="675" t="s">
        <v>1896</v>
      </c>
    </row>
    <row r="182" spans="1:5">
      <c r="A182" s="674">
        <v>50</v>
      </c>
      <c r="B182" s="675" t="s">
        <v>1897</v>
      </c>
      <c r="C182" s="674" t="s">
        <v>685</v>
      </c>
      <c r="D182" s="681">
        <f>39430/2.92</f>
        <v>13503.424657534248</v>
      </c>
      <c r="E182" s="675" t="s">
        <v>1896</v>
      </c>
    </row>
    <row r="183" spans="1:5">
      <c r="A183" s="674">
        <v>51</v>
      </c>
      <c r="B183" s="675" t="s">
        <v>1898</v>
      </c>
      <c r="C183" s="674" t="s">
        <v>685</v>
      </c>
      <c r="D183" s="681">
        <v>67500</v>
      </c>
      <c r="E183" s="675" t="s">
        <v>1870</v>
      </c>
    </row>
    <row r="184" spans="1:5">
      <c r="A184" s="674">
        <v>52</v>
      </c>
      <c r="B184" s="675" t="s">
        <v>1899</v>
      </c>
      <c r="C184" s="674" t="s">
        <v>1900</v>
      </c>
      <c r="D184" s="681">
        <v>500000</v>
      </c>
      <c r="E184" s="675"/>
    </row>
    <row r="185" spans="1:5">
      <c r="A185" s="674">
        <v>53</v>
      </c>
      <c r="B185" s="675" t="s">
        <v>1901</v>
      </c>
      <c r="C185" s="674" t="s">
        <v>655</v>
      </c>
      <c r="D185" s="681">
        <f>2220000/1.1</f>
        <v>2018181.8181818181</v>
      </c>
      <c r="E185" s="675" t="s">
        <v>1902</v>
      </c>
    </row>
    <row r="186" spans="1:5">
      <c r="A186" s="674">
        <v>54</v>
      </c>
      <c r="B186" s="675" t="s">
        <v>1746</v>
      </c>
      <c r="C186" s="674" t="s">
        <v>1730</v>
      </c>
      <c r="D186" s="681">
        <f>D109</f>
        <v>25000</v>
      </c>
      <c r="E186" s="675"/>
    </row>
    <row r="187" spans="1:5">
      <c r="A187" s="674">
        <v>55</v>
      </c>
      <c r="B187" s="675" t="s">
        <v>1903</v>
      </c>
      <c r="C187" s="674" t="s">
        <v>655</v>
      </c>
      <c r="D187" s="681">
        <f>841500/1.1</f>
        <v>764999.99999999988</v>
      </c>
      <c r="E187" s="675" t="s">
        <v>1872</v>
      </c>
    </row>
    <row r="188" spans="1:5">
      <c r="A188" s="674">
        <v>56</v>
      </c>
      <c r="B188" s="675" t="s">
        <v>1904</v>
      </c>
      <c r="C188" s="674" t="s">
        <v>655</v>
      </c>
      <c r="D188" s="681">
        <f>841500/1.1</f>
        <v>764999.99999999988</v>
      </c>
      <c r="E188" s="675" t="s">
        <v>1872</v>
      </c>
    </row>
    <row r="189" spans="1:5">
      <c r="A189" s="674">
        <v>57</v>
      </c>
      <c r="B189" s="675" t="s">
        <v>1905</v>
      </c>
      <c r="C189" s="674" t="s">
        <v>655</v>
      </c>
      <c r="D189" s="681">
        <f>841500/1.1</f>
        <v>764999.99999999988</v>
      </c>
      <c r="E189" s="675" t="s">
        <v>1872</v>
      </c>
    </row>
    <row r="190" spans="1:5">
      <c r="A190" s="674">
        <v>58</v>
      </c>
      <c r="B190" s="675" t="s">
        <v>1837</v>
      </c>
      <c r="C190" s="674" t="s">
        <v>1730</v>
      </c>
      <c r="D190" s="681">
        <f t="shared" ref="D190:D195" si="0">D110</f>
        <v>138000</v>
      </c>
      <c r="E190" s="675"/>
    </row>
    <row r="191" spans="1:5">
      <c r="A191" s="674">
        <v>59</v>
      </c>
      <c r="B191" s="675" t="s">
        <v>1839</v>
      </c>
      <c r="C191" s="674" t="s">
        <v>1745</v>
      </c>
      <c r="D191" s="681">
        <f t="shared" si="0"/>
        <v>135393.93939393939</v>
      </c>
      <c r="E191" s="675"/>
    </row>
    <row r="192" spans="1:5">
      <c r="A192" s="674">
        <v>60</v>
      </c>
      <c r="B192" s="675" t="s">
        <v>1841</v>
      </c>
      <c r="C192" s="674" t="s">
        <v>1745</v>
      </c>
      <c r="D192" s="681">
        <f t="shared" si="0"/>
        <v>210505.05050505049</v>
      </c>
      <c r="E192" s="675"/>
    </row>
    <row r="193" spans="1:5">
      <c r="A193" s="674">
        <v>61</v>
      </c>
      <c r="B193" s="675" t="s">
        <v>1843</v>
      </c>
      <c r="C193" s="674" t="s">
        <v>1730</v>
      </c>
      <c r="D193" s="681">
        <f t="shared" si="0"/>
        <v>138000</v>
      </c>
      <c r="E193" s="675"/>
    </row>
    <row r="194" spans="1:5">
      <c r="A194" s="674">
        <v>62</v>
      </c>
      <c r="B194" s="675" t="s">
        <v>1844</v>
      </c>
      <c r="C194" s="674" t="s">
        <v>1745</v>
      </c>
      <c r="D194" s="681">
        <f t="shared" si="0"/>
        <v>236121.2121212121</v>
      </c>
      <c r="E194" s="675"/>
    </row>
    <row r="195" spans="1:5">
      <c r="A195" s="674">
        <v>63</v>
      </c>
      <c r="B195" s="675" t="s">
        <v>1846</v>
      </c>
      <c r="C195" s="674" t="s">
        <v>1745</v>
      </c>
      <c r="D195" s="681">
        <f t="shared" si="0"/>
        <v>439393.93939393933</v>
      </c>
      <c r="E195" s="675"/>
    </row>
    <row r="196" spans="1:5">
      <c r="A196" s="674">
        <v>64</v>
      </c>
      <c r="B196" s="675" t="s">
        <v>1906</v>
      </c>
      <c r="C196" s="674" t="s">
        <v>655</v>
      </c>
      <c r="D196" s="681">
        <f>1100000/1.1</f>
        <v>999999.99999999988</v>
      </c>
      <c r="E196" s="675" t="s">
        <v>1872</v>
      </c>
    </row>
    <row r="197" spans="1:5">
      <c r="A197" s="674">
        <v>65</v>
      </c>
      <c r="B197" s="675" t="s">
        <v>1747</v>
      </c>
      <c r="C197" s="674" t="s">
        <v>1730</v>
      </c>
      <c r="D197" s="681">
        <f>D120</f>
        <v>16700</v>
      </c>
      <c r="E197" s="675"/>
    </row>
    <row r="198" spans="1:5">
      <c r="A198" s="674">
        <v>66</v>
      </c>
      <c r="B198" s="675" t="s">
        <v>1748</v>
      </c>
      <c r="C198" s="674" t="s">
        <v>1730</v>
      </c>
      <c r="D198" s="681">
        <f>D197</f>
        <v>16700</v>
      </c>
      <c r="E198" s="675"/>
    </row>
    <row r="199" spans="1:5">
      <c r="A199" s="674">
        <v>67</v>
      </c>
      <c r="B199" s="675" t="s">
        <v>1749</v>
      </c>
      <c r="C199" s="674" t="s">
        <v>1730</v>
      </c>
      <c r="D199" s="681">
        <f>D25</f>
        <v>17500</v>
      </c>
      <c r="E199" s="675"/>
    </row>
    <row r="200" spans="1:5">
      <c r="A200" s="674">
        <v>68</v>
      </c>
      <c r="B200" s="675" t="s">
        <v>1751</v>
      </c>
      <c r="C200" s="674" t="s">
        <v>1730</v>
      </c>
      <c r="D200" s="681">
        <f>D123</f>
        <v>17350</v>
      </c>
      <c r="E200" s="675"/>
    </row>
    <row r="201" spans="1:5">
      <c r="A201" s="674">
        <v>69</v>
      </c>
      <c r="B201" s="675" t="s">
        <v>1752</v>
      </c>
      <c r="C201" s="674" t="s">
        <v>1730</v>
      </c>
      <c r="D201" s="681">
        <f>D200</f>
        <v>17350</v>
      </c>
      <c r="E201" s="675"/>
    </row>
    <row r="202" spans="1:5">
      <c r="A202" s="674">
        <v>70</v>
      </c>
      <c r="B202" s="675" t="s">
        <v>1754</v>
      </c>
      <c r="C202" s="674" t="s">
        <v>677</v>
      </c>
      <c r="D202" s="681">
        <f>D29</f>
        <v>165000</v>
      </c>
      <c r="E202" s="675"/>
    </row>
    <row r="203" spans="1:5">
      <c r="A203" s="674">
        <v>71</v>
      </c>
      <c r="B203" s="675" t="s">
        <v>1907</v>
      </c>
      <c r="C203" s="674" t="s">
        <v>624</v>
      </c>
      <c r="D203" s="681">
        <v>1000000</v>
      </c>
      <c r="E203" s="675"/>
    </row>
    <row r="204" spans="1:5">
      <c r="A204" s="674">
        <v>72</v>
      </c>
      <c r="B204" s="675" t="s">
        <v>1755</v>
      </c>
      <c r="C204" s="674" t="s">
        <v>1730</v>
      </c>
      <c r="D204" s="681">
        <f>D130</f>
        <v>1763</v>
      </c>
      <c r="E204" s="675"/>
    </row>
    <row r="205" spans="1:5">
      <c r="A205" s="674">
        <v>73</v>
      </c>
      <c r="B205" s="675" t="s">
        <v>1755</v>
      </c>
      <c r="C205" s="674" t="s">
        <v>1730</v>
      </c>
      <c r="D205" s="681">
        <f>D204</f>
        <v>1763</v>
      </c>
      <c r="E205" s="675"/>
    </row>
    <row r="206" spans="1:5">
      <c r="A206" s="674">
        <v>74</v>
      </c>
      <c r="B206" s="675" t="s">
        <v>1860</v>
      </c>
      <c r="C206" s="674" t="s">
        <v>1730</v>
      </c>
      <c r="D206" s="681">
        <f>D131</f>
        <v>5000</v>
      </c>
      <c r="E206" s="675"/>
    </row>
    <row r="207" spans="1:5" s="678" customFormat="1" ht="15.75" customHeight="1">
      <c r="A207" s="676" t="s">
        <v>513</v>
      </c>
      <c r="B207" s="676" t="s">
        <v>1861</v>
      </c>
      <c r="C207" s="677"/>
      <c r="D207" s="677"/>
      <c r="E207" s="677"/>
    </row>
    <row r="208" spans="1:5">
      <c r="A208" s="674">
        <v>1</v>
      </c>
      <c r="B208" s="675" t="s">
        <v>1908</v>
      </c>
      <c r="C208" s="674" t="s">
        <v>655</v>
      </c>
      <c r="D208" s="681">
        <f>D33</f>
        <v>2500</v>
      </c>
      <c r="E208" s="675"/>
    </row>
    <row r="209" spans="1:5">
      <c r="A209" s="674">
        <v>2</v>
      </c>
      <c r="B209" s="675" t="s">
        <v>1909</v>
      </c>
      <c r="C209" s="674" t="s">
        <v>1722</v>
      </c>
      <c r="D209" s="681">
        <v>1548822</v>
      </c>
      <c r="E209" s="675"/>
    </row>
    <row r="210" spans="1:5">
      <c r="A210" s="674">
        <v>3</v>
      </c>
      <c r="B210" s="675" t="s">
        <v>1759</v>
      </c>
      <c r="C210" s="674" t="s">
        <v>1730</v>
      </c>
      <c r="D210" s="916">
        <f>D134</f>
        <v>16650</v>
      </c>
      <c r="E210" s="675"/>
    </row>
    <row r="211" spans="1:5">
      <c r="A211" s="674">
        <v>4</v>
      </c>
      <c r="B211" s="675" t="s">
        <v>1764</v>
      </c>
      <c r="C211" s="674" t="s">
        <v>655</v>
      </c>
      <c r="D211" s="681">
        <f>D38</f>
        <v>10000</v>
      </c>
      <c r="E211" s="675"/>
    </row>
    <row r="212" spans="1:5">
      <c r="A212" s="674">
        <v>5</v>
      </c>
      <c r="B212" s="675" t="s">
        <v>1765</v>
      </c>
      <c r="C212" s="674" t="s">
        <v>1722</v>
      </c>
      <c r="D212" s="681">
        <f>D140</f>
        <v>330000</v>
      </c>
      <c r="E212" s="675"/>
    </row>
    <row r="213" spans="1:5">
      <c r="A213" s="674">
        <v>6</v>
      </c>
      <c r="B213" s="675" t="s">
        <v>1727</v>
      </c>
      <c r="C213" s="674" t="s">
        <v>1722</v>
      </c>
      <c r="D213" s="681">
        <f>D141</f>
        <v>380000</v>
      </c>
      <c r="E213" s="675"/>
    </row>
    <row r="214" spans="1:5">
      <c r="A214" s="674">
        <v>7</v>
      </c>
      <c r="B214" s="675" t="s">
        <v>1873</v>
      </c>
      <c r="C214" s="674" t="s">
        <v>1730</v>
      </c>
      <c r="D214" s="681">
        <f>D146</f>
        <v>30000</v>
      </c>
      <c r="E214" s="675"/>
    </row>
    <row r="215" spans="1:5">
      <c r="A215" s="674">
        <v>8</v>
      </c>
      <c r="B215" s="675" t="s">
        <v>1729</v>
      </c>
      <c r="C215" s="674" t="s">
        <v>1730</v>
      </c>
      <c r="D215" s="681">
        <f>D148</f>
        <v>16700</v>
      </c>
      <c r="E215" s="675"/>
    </row>
    <row r="216" spans="1:5">
      <c r="A216" s="674">
        <v>9</v>
      </c>
      <c r="B216" s="675" t="s">
        <v>1910</v>
      </c>
      <c r="C216" s="674" t="s">
        <v>1722</v>
      </c>
      <c r="D216" s="681">
        <v>450000</v>
      </c>
      <c r="E216" s="675"/>
    </row>
    <row r="217" spans="1:5">
      <c r="A217" s="674">
        <v>10</v>
      </c>
      <c r="B217" s="675" t="s">
        <v>1911</v>
      </c>
      <c r="C217" s="674" t="s">
        <v>648</v>
      </c>
      <c r="D217" s="681">
        <v>60000000</v>
      </c>
      <c r="E217" s="675"/>
    </row>
    <row r="218" spans="1:5">
      <c r="A218" s="674">
        <v>11</v>
      </c>
      <c r="B218" s="675" t="s">
        <v>1912</v>
      </c>
      <c r="C218" s="674" t="s">
        <v>677</v>
      </c>
      <c r="D218" s="681">
        <v>2200000</v>
      </c>
      <c r="E218" s="675"/>
    </row>
    <row r="219" spans="1:5">
      <c r="A219" s="674">
        <v>12</v>
      </c>
      <c r="B219" s="675" t="s">
        <v>1913</v>
      </c>
      <c r="C219" s="674" t="s">
        <v>677</v>
      </c>
      <c r="D219" s="681">
        <v>2600000</v>
      </c>
      <c r="E219" s="675"/>
    </row>
    <row r="220" spans="1:5">
      <c r="A220" s="674">
        <v>13</v>
      </c>
      <c r="B220" s="675" t="s">
        <v>1914</v>
      </c>
      <c r="C220" s="674" t="s">
        <v>677</v>
      </c>
      <c r="D220" s="681">
        <v>3500000</v>
      </c>
      <c r="E220" s="675"/>
    </row>
    <row r="221" spans="1:5">
      <c r="A221" s="674">
        <v>14</v>
      </c>
      <c r="B221" s="675" t="s">
        <v>1732</v>
      </c>
      <c r="C221" s="674" t="s">
        <v>1730</v>
      </c>
      <c r="D221" s="681">
        <f>D151</f>
        <v>20000</v>
      </c>
      <c r="E221" s="675"/>
    </row>
    <row r="222" spans="1:5">
      <c r="A222" s="674">
        <v>15</v>
      </c>
      <c r="B222" s="675" t="s">
        <v>1735</v>
      </c>
      <c r="C222" s="674" t="s">
        <v>1722</v>
      </c>
      <c r="D222" s="681">
        <f>D155</f>
        <v>330000</v>
      </c>
      <c r="E222" s="675"/>
    </row>
    <row r="223" spans="1:5">
      <c r="A223" s="674">
        <v>16</v>
      </c>
      <c r="B223" s="675" t="s">
        <v>1915</v>
      </c>
      <c r="C223" s="674" t="s">
        <v>677</v>
      </c>
      <c r="D223" s="681">
        <f>D156</f>
        <v>1200000</v>
      </c>
      <c r="E223" s="675"/>
    </row>
    <row r="224" spans="1:5">
      <c r="A224" s="674">
        <v>17</v>
      </c>
      <c r="B224" s="675" t="s">
        <v>1807</v>
      </c>
      <c r="C224" s="674" t="s">
        <v>1808</v>
      </c>
      <c r="D224" s="681">
        <f>D162</f>
        <v>1737</v>
      </c>
      <c r="E224" s="675"/>
    </row>
    <row r="225" spans="1:5">
      <c r="A225" s="674">
        <v>18</v>
      </c>
      <c r="B225" s="675" t="s">
        <v>1820</v>
      </c>
      <c r="C225" s="674" t="s">
        <v>677</v>
      </c>
      <c r="D225" s="681">
        <f>D166</f>
        <v>30000</v>
      </c>
      <c r="E225" s="675"/>
    </row>
    <row r="226" spans="1:5">
      <c r="A226" s="674">
        <v>19</v>
      </c>
      <c r="B226" s="675" t="s">
        <v>1916</v>
      </c>
      <c r="C226" s="674" t="s">
        <v>677</v>
      </c>
      <c r="D226" s="681">
        <v>850000</v>
      </c>
      <c r="E226" s="675"/>
    </row>
    <row r="227" spans="1:5">
      <c r="A227" s="674">
        <v>20</v>
      </c>
      <c r="B227" s="675" t="s">
        <v>1886</v>
      </c>
      <c r="C227" s="674" t="s">
        <v>1730</v>
      </c>
      <c r="D227" s="681">
        <f>D169</f>
        <v>142500</v>
      </c>
      <c r="E227" s="675"/>
    </row>
    <row r="228" spans="1:5">
      <c r="A228" s="674">
        <v>21</v>
      </c>
      <c r="B228" s="675" t="s">
        <v>1821</v>
      </c>
      <c r="C228" s="674" t="s">
        <v>1730</v>
      </c>
      <c r="D228" s="681">
        <f>D93</f>
        <v>35000</v>
      </c>
      <c r="E228" s="675"/>
    </row>
    <row r="229" spans="1:5">
      <c r="A229" s="674">
        <v>22</v>
      </c>
      <c r="B229" s="675" t="s">
        <v>1744</v>
      </c>
      <c r="C229" s="674" t="s">
        <v>1745</v>
      </c>
      <c r="D229" s="681">
        <v>10</v>
      </c>
      <c r="E229" s="675"/>
    </row>
    <row r="230" spans="1:5">
      <c r="A230" s="674">
        <v>23</v>
      </c>
      <c r="B230" s="675" t="s">
        <v>1892</v>
      </c>
      <c r="C230" s="674" t="s">
        <v>1730</v>
      </c>
      <c r="D230" s="681">
        <f>D227</f>
        <v>142500</v>
      </c>
      <c r="E230" s="675"/>
    </row>
    <row r="231" spans="1:5">
      <c r="A231" s="674">
        <v>24</v>
      </c>
      <c r="B231" s="675" t="s">
        <v>1833</v>
      </c>
      <c r="C231" s="674" t="s">
        <v>1834</v>
      </c>
      <c r="D231" s="681">
        <f>D106</f>
        <v>150000</v>
      </c>
      <c r="E231" s="675"/>
    </row>
    <row r="232" spans="1:5">
      <c r="A232" s="674">
        <v>25</v>
      </c>
      <c r="B232" s="675" t="s">
        <v>1917</v>
      </c>
      <c r="C232" s="674" t="s">
        <v>685</v>
      </c>
      <c r="D232" s="681">
        <v>34300</v>
      </c>
      <c r="E232" s="675"/>
    </row>
    <row r="233" spans="1:5">
      <c r="A233" s="674">
        <v>26</v>
      </c>
      <c r="B233" s="675" t="s">
        <v>1746</v>
      </c>
      <c r="C233" s="674" t="s">
        <v>1730</v>
      </c>
      <c r="D233" s="681">
        <f>D186</f>
        <v>25000</v>
      </c>
      <c r="E233" s="675"/>
    </row>
    <row r="234" spans="1:5">
      <c r="A234" s="674">
        <v>27</v>
      </c>
      <c r="B234" s="675" t="s">
        <v>1918</v>
      </c>
      <c r="C234" s="674" t="s">
        <v>1730</v>
      </c>
      <c r="D234" s="681">
        <v>200000</v>
      </c>
      <c r="E234" s="675"/>
    </row>
    <row r="235" spans="1:5">
      <c r="A235" s="674">
        <v>28</v>
      </c>
      <c r="B235" s="675" t="s">
        <v>1841</v>
      </c>
      <c r="C235" s="674" t="s">
        <v>1745</v>
      </c>
      <c r="D235" s="681">
        <f>D192</f>
        <v>210505.05050505049</v>
      </c>
      <c r="E235" s="675"/>
    </row>
    <row r="236" spans="1:5">
      <c r="A236" s="674">
        <v>29</v>
      </c>
      <c r="B236" s="675" t="s">
        <v>1919</v>
      </c>
      <c r="C236" s="674" t="s">
        <v>1730</v>
      </c>
      <c r="D236" s="681">
        <f>D190</f>
        <v>138000</v>
      </c>
      <c r="E236" s="675"/>
    </row>
    <row r="237" spans="1:5">
      <c r="A237" s="674">
        <v>30</v>
      </c>
      <c r="B237" s="675" t="s">
        <v>1846</v>
      </c>
      <c r="C237" s="674" t="s">
        <v>1745</v>
      </c>
      <c r="D237" s="681">
        <f>D195</f>
        <v>439393.93939393933</v>
      </c>
      <c r="E237" s="675"/>
    </row>
    <row r="238" spans="1:5">
      <c r="A238" s="674">
        <v>31</v>
      </c>
      <c r="B238" s="675" t="s">
        <v>1920</v>
      </c>
      <c r="C238" s="674" t="s">
        <v>1730</v>
      </c>
      <c r="D238" s="681">
        <f>D193</f>
        <v>138000</v>
      </c>
      <c r="E238" s="675"/>
    </row>
    <row r="239" spans="1:5">
      <c r="A239" s="674">
        <v>32</v>
      </c>
      <c r="B239" s="675" t="s">
        <v>1747</v>
      </c>
      <c r="C239" s="674" t="s">
        <v>1730</v>
      </c>
      <c r="D239" s="681">
        <f>D197</f>
        <v>16700</v>
      </c>
      <c r="E239" s="675"/>
    </row>
    <row r="240" spans="1:5">
      <c r="A240" s="674">
        <v>33</v>
      </c>
      <c r="B240" s="675" t="s">
        <v>1748</v>
      </c>
      <c r="C240" s="674" t="s">
        <v>1730</v>
      </c>
      <c r="D240" s="681">
        <f>D198</f>
        <v>16700</v>
      </c>
      <c r="E240" s="675"/>
    </row>
    <row r="241" spans="1:5">
      <c r="A241" s="674">
        <v>34</v>
      </c>
      <c r="B241" s="675" t="s">
        <v>1749</v>
      </c>
      <c r="C241" s="674" t="s">
        <v>1730</v>
      </c>
      <c r="D241" s="681">
        <f>D199</f>
        <v>17500</v>
      </c>
      <c r="E241" s="675"/>
    </row>
    <row r="242" spans="1:5">
      <c r="A242" s="674">
        <v>35</v>
      </c>
      <c r="B242" s="675" t="s">
        <v>1751</v>
      </c>
      <c r="C242" s="674" t="s">
        <v>1730</v>
      </c>
      <c r="D242" s="681">
        <f>D200</f>
        <v>17350</v>
      </c>
      <c r="E242" s="675"/>
    </row>
    <row r="243" spans="1:5">
      <c r="A243" s="674">
        <v>36</v>
      </c>
      <c r="B243" s="675" t="s">
        <v>1755</v>
      </c>
      <c r="C243" s="674" t="s">
        <v>1730</v>
      </c>
      <c r="D243" s="681">
        <f>D204</f>
        <v>1763</v>
      </c>
      <c r="E243" s="675"/>
    </row>
    <row r="244" spans="1:5">
      <c r="A244" s="674">
        <v>37</v>
      </c>
      <c r="B244" s="675" t="s">
        <v>1755</v>
      </c>
      <c r="C244" s="674" t="s">
        <v>1730</v>
      </c>
      <c r="D244" s="681">
        <f>D243</f>
        <v>1763</v>
      </c>
      <c r="E244" s="675"/>
    </row>
    <row r="245" spans="1:5" s="678" customFormat="1" ht="15.75" customHeight="1">
      <c r="A245" s="676" t="s">
        <v>557</v>
      </c>
      <c r="B245" s="676" t="s">
        <v>1921</v>
      </c>
      <c r="C245" s="677"/>
      <c r="D245" s="677"/>
      <c r="E245" s="677"/>
    </row>
    <row r="246" spans="1:5">
      <c r="A246" s="674">
        <v>1</v>
      </c>
      <c r="B246" s="675" t="s">
        <v>1765</v>
      </c>
      <c r="C246" s="674" t="s">
        <v>1722</v>
      </c>
      <c r="D246" s="681">
        <f>D212</f>
        <v>330000</v>
      </c>
      <c r="E246" s="675"/>
    </row>
    <row r="247" spans="1:5">
      <c r="A247" s="674">
        <v>2</v>
      </c>
      <c r="B247" s="675" t="s">
        <v>1727</v>
      </c>
      <c r="C247" s="674" t="s">
        <v>1722</v>
      </c>
      <c r="D247" s="681">
        <f>D213</f>
        <v>380000</v>
      </c>
      <c r="E247" s="675"/>
    </row>
    <row r="248" spans="1:5">
      <c r="A248" s="674">
        <v>3</v>
      </c>
      <c r="B248" s="675" t="s">
        <v>1922</v>
      </c>
      <c r="C248" s="674" t="s">
        <v>624</v>
      </c>
      <c r="D248" s="681">
        <v>12000000</v>
      </c>
      <c r="E248" s="675"/>
    </row>
    <row r="249" spans="1:5">
      <c r="A249" s="674">
        <v>4</v>
      </c>
      <c r="B249" s="675" t="s">
        <v>1734</v>
      </c>
      <c r="C249" s="674" t="s">
        <v>1722</v>
      </c>
      <c r="D249" s="681">
        <f>D154</f>
        <v>380000</v>
      </c>
      <c r="E249" s="675"/>
    </row>
    <row r="250" spans="1:5">
      <c r="A250" s="674">
        <v>5</v>
      </c>
      <c r="B250" s="675" t="s">
        <v>1878</v>
      </c>
      <c r="C250" s="674" t="s">
        <v>677</v>
      </c>
      <c r="D250" s="681">
        <f>D223</f>
        <v>1200000</v>
      </c>
      <c r="E250" s="675"/>
    </row>
    <row r="251" spans="1:5">
      <c r="A251" s="674">
        <v>6</v>
      </c>
      <c r="B251" s="675" t="s">
        <v>1814</v>
      </c>
      <c r="C251" s="674" t="s">
        <v>1808</v>
      </c>
      <c r="D251" s="681">
        <f>D84</f>
        <v>1479</v>
      </c>
      <c r="E251" s="675"/>
    </row>
    <row r="252" spans="1:5">
      <c r="A252" s="674">
        <v>7</v>
      </c>
      <c r="B252" s="675" t="s">
        <v>1744</v>
      </c>
      <c r="C252" s="674" t="s">
        <v>1745</v>
      </c>
      <c r="D252" s="681">
        <v>10</v>
      </c>
      <c r="E252" s="675"/>
    </row>
    <row r="253" spans="1:5">
      <c r="A253" s="674">
        <v>8</v>
      </c>
      <c r="B253" s="675" t="s">
        <v>1746</v>
      </c>
      <c r="C253" s="674" t="s">
        <v>1730</v>
      </c>
      <c r="D253" s="916">
        <f>D233</f>
        <v>25000</v>
      </c>
      <c r="E253" s="675"/>
    </row>
    <row r="254" spans="1:5">
      <c r="A254" s="674">
        <v>9</v>
      </c>
      <c r="B254" s="675" t="s">
        <v>1747</v>
      </c>
      <c r="C254" s="674" t="s">
        <v>1730</v>
      </c>
      <c r="D254" s="916">
        <f>D239</f>
        <v>16700</v>
      </c>
      <c r="E254" s="675"/>
    </row>
    <row r="255" spans="1:5">
      <c r="A255" s="674">
        <v>10</v>
      </c>
      <c r="B255" s="675" t="s">
        <v>1748</v>
      </c>
      <c r="C255" s="674" t="s">
        <v>1730</v>
      </c>
      <c r="D255" s="916">
        <f>D254</f>
        <v>16700</v>
      </c>
      <c r="E255" s="675"/>
    </row>
    <row r="256" spans="1:5">
      <c r="A256" s="674">
        <v>11</v>
      </c>
      <c r="B256" s="675" t="s">
        <v>1755</v>
      </c>
      <c r="C256" s="674" t="s">
        <v>1730</v>
      </c>
      <c r="D256" s="916">
        <f>D243</f>
        <v>1763</v>
      </c>
      <c r="E256" s="675"/>
    </row>
    <row r="257" spans="1:5">
      <c r="A257" s="674">
        <v>12</v>
      </c>
      <c r="B257" s="675" t="s">
        <v>1860</v>
      </c>
      <c r="C257" s="674" t="s">
        <v>1730</v>
      </c>
      <c r="D257" s="916">
        <f>D206</f>
        <v>5000</v>
      </c>
      <c r="E257" s="675"/>
    </row>
    <row r="258" spans="1:5" s="678" customFormat="1" ht="15.75" customHeight="1">
      <c r="A258" s="676" t="s">
        <v>597</v>
      </c>
      <c r="B258" s="676" t="s">
        <v>1923</v>
      </c>
      <c r="C258" s="677"/>
      <c r="D258" s="677"/>
      <c r="E258" s="677"/>
    </row>
    <row r="259" spans="1:5">
      <c r="A259" s="674">
        <v>1</v>
      </c>
      <c r="B259" s="675" t="s">
        <v>1764</v>
      </c>
      <c r="C259" s="674" t="s">
        <v>655</v>
      </c>
      <c r="D259" s="916">
        <f>D38</f>
        <v>10000</v>
      </c>
      <c r="E259" s="675"/>
    </row>
    <row r="260" spans="1:5">
      <c r="A260" s="674">
        <v>2</v>
      </c>
      <c r="B260" s="675" t="s">
        <v>1765</v>
      </c>
      <c r="C260" s="674" t="s">
        <v>1722</v>
      </c>
      <c r="D260" s="916">
        <f>D246</f>
        <v>330000</v>
      </c>
      <c r="E260" s="675"/>
    </row>
    <row r="261" spans="1:5">
      <c r="A261" s="674">
        <v>3</v>
      </c>
      <c r="B261" s="675" t="s">
        <v>1924</v>
      </c>
      <c r="C261" s="674" t="s">
        <v>624</v>
      </c>
      <c r="D261" s="916">
        <f>D44</f>
        <v>30000</v>
      </c>
      <c r="E261" s="675"/>
    </row>
    <row r="262" spans="1:5">
      <c r="A262" s="674">
        <v>4</v>
      </c>
      <c r="B262" s="675" t="s">
        <v>1925</v>
      </c>
      <c r="C262" s="674" t="s">
        <v>624</v>
      </c>
      <c r="D262" s="916">
        <v>50000</v>
      </c>
      <c r="E262" s="675"/>
    </row>
    <row r="263" spans="1:5">
      <c r="A263" s="674">
        <v>5</v>
      </c>
      <c r="B263" s="675" t="s">
        <v>1926</v>
      </c>
      <c r="C263" s="674" t="s">
        <v>624</v>
      </c>
      <c r="D263" s="916">
        <v>60000</v>
      </c>
      <c r="E263" s="675"/>
    </row>
    <row r="264" spans="1:5">
      <c r="A264" s="674">
        <v>6</v>
      </c>
      <c r="B264" s="675" t="s">
        <v>1821</v>
      </c>
      <c r="C264" s="674" t="s">
        <v>1730</v>
      </c>
      <c r="D264" s="916">
        <f>D228</f>
        <v>35000</v>
      </c>
      <c r="E264" s="675"/>
    </row>
    <row r="265" spans="1:5">
      <c r="A265" s="674">
        <v>7</v>
      </c>
      <c r="B265" s="675" t="s">
        <v>1828</v>
      </c>
      <c r="C265" s="674" t="s">
        <v>677</v>
      </c>
      <c r="D265" s="916">
        <f>D100</f>
        <v>850000</v>
      </c>
      <c r="E265" s="675"/>
    </row>
    <row r="266" spans="1:5">
      <c r="A266" s="674">
        <v>8</v>
      </c>
      <c r="B266" s="675" t="s">
        <v>1744</v>
      </c>
      <c r="C266" s="674" t="s">
        <v>1745</v>
      </c>
      <c r="D266" s="916">
        <v>10</v>
      </c>
      <c r="E266" s="675"/>
    </row>
    <row r="267" spans="1:5">
      <c r="A267" s="674">
        <v>9</v>
      </c>
      <c r="B267" s="675" t="s">
        <v>1833</v>
      </c>
      <c r="C267" s="674" t="s">
        <v>1834</v>
      </c>
      <c r="D267" s="916">
        <f>D231</f>
        <v>150000</v>
      </c>
      <c r="E267" s="675"/>
    </row>
    <row r="268" spans="1:5">
      <c r="A268" s="674">
        <v>10</v>
      </c>
      <c r="B268" s="675" t="s">
        <v>1746</v>
      </c>
      <c r="C268" s="674" t="s">
        <v>1730</v>
      </c>
      <c r="D268" s="916">
        <f>D233</f>
        <v>25000</v>
      </c>
      <c r="E268" s="675"/>
    </row>
    <row r="269" spans="1:5">
      <c r="A269" s="674">
        <v>11</v>
      </c>
      <c r="B269" s="675" t="s">
        <v>1919</v>
      </c>
      <c r="C269" s="674" t="s">
        <v>1730</v>
      </c>
      <c r="D269" s="916">
        <f>D236</f>
        <v>138000</v>
      </c>
      <c r="E269" s="675"/>
    </row>
    <row r="270" spans="1:5">
      <c r="A270" s="674">
        <v>12</v>
      </c>
      <c r="B270" s="675" t="s">
        <v>1920</v>
      </c>
      <c r="C270" s="674" t="s">
        <v>1730</v>
      </c>
      <c r="D270" s="916">
        <f>D238</f>
        <v>138000</v>
      </c>
      <c r="E270" s="675"/>
    </row>
    <row r="271" spans="1:5">
      <c r="A271" s="674">
        <v>13</v>
      </c>
      <c r="B271" s="675" t="s">
        <v>1747</v>
      </c>
      <c r="C271" s="674" t="s">
        <v>1730</v>
      </c>
      <c r="D271" s="916">
        <f>D239</f>
        <v>16700</v>
      </c>
      <c r="E271" s="675"/>
    </row>
    <row r="272" spans="1:5">
      <c r="A272" s="674">
        <v>14</v>
      </c>
      <c r="B272" s="675" t="s">
        <v>1852</v>
      </c>
      <c r="C272" s="674" t="s">
        <v>1730</v>
      </c>
      <c r="D272" s="916">
        <f>D122</f>
        <v>17500</v>
      </c>
      <c r="E272" s="675"/>
    </row>
    <row r="273" spans="1:5">
      <c r="A273" s="674">
        <v>15</v>
      </c>
      <c r="B273" s="675" t="s">
        <v>1927</v>
      </c>
      <c r="C273" s="674" t="s">
        <v>1730</v>
      </c>
      <c r="D273" s="916">
        <f>D256</f>
        <v>1763</v>
      </c>
      <c r="E273" s="675"/>
    </row>
    <row r="274" spans="1:5" s="678" customFormat="1" ht="15.75" customHeight="1">
      <c r="A274" s="676" t="s">
        <v>1928</v>
      </c>
      <c r="B274" s="676" t="s">
        <v>1929</v>
      </c>
      <c r="C274" s="677"/>
      <c r="D274" s="677"/>
      <c r="E274" s="677"/>
    </row>
    <row r="275" spans="1:5">
      <c r="A275" s="674">
        <v>1</v>
      </c>
      <c r="B275" s="675" t="s">
        <v>1930</v>
      </c>
      <c r="C275" s="674" t="s">
        <v>1722</v>
      </c>
      <c r="D275" s="916">
        <f>D209+100000</f>
        <v>1648822</v>
      </c>
      <c r="E275" s="675" t="s">
        <v>1931</v>
      </c>
    </row>
    <row r="276" spans="1:5">
      <c r="A276" s="674">
        <v>2</v>
      </c>
      <c r="B276" s="675" t="s">
        <v>1765</v>
      </c>
      <c r="C276" s="674" t="s">
        <v>1722</v>
      </c>
      <c r="D276" s="916">
        <f>D260</f>
        <v>330000</v>
      </c>
      <c r="E276" s="675"/>
    </row>
    <row r="277" spans="1:5">
      <c r="A277" s="674">
        <v>3</v>
      </c>
      <c r="B277" s="675" t="s">
        <v>1727</v>
      </c>
      <c r="C277" s="674" t="s">
        <v>1722</v>
      </c>
      <c r="D277" s="916">
        <f>D247</f>
        <v>380000</v>
      </c>
      <c r="E277" s="675"/>
    </row>
    <row r="278" spans="1:5">
      <c r="A278" s="674">
        <v>4</v>
      </c>
      <c r="B278" s="675" t="s">
        <v>1729</v>
      </c>
      <c r="C278" s="674" t="s">
        <v>1730</v>
      </c>
      <c r="D278" s="916">
        <f>D215</f>
        <v>16700</v>
      </c>
      <c r="E278" s="675"/>
    </row>
    <row r="279" spans="1:5">
      <c r="A279" s="674">
        <v>5</v>
      </c>
      <c r="B279" s="675" t="s">
        <v>1732</v>
      </c>
      <c r="C279" s="674" t="s">
        <v>1730</v>
      </c>
      <c r="D279" s="916">
        <f>D221</f>
        <v>20000</v>
      </c>
      <c r="E279" s="675"/>
    </row>
    <row r="280" spans="1:5">
      <c r="A280" s="674">
        <v>6</v>
      </c>
      <c r="B280" s="675" t="s">
        <v>1795</v>
      </c>
      <c r="C280" s="674" t="s">
        <v>1730</v>
      </c>
      <c r="D280" s="916">
        <f>D69</f>
        <v>53000</v>
      </c>
      <c r="E280" s="675"/>
    </row>
    <row r="281" spans="1:5">
      <c r="A281" s="674">
        <v>7</v>
      </c>
      <c r="B281" s="675" t="s">
        <v>1734</v>
      </c>
      <c r="C281" s="674" t="s">
        <v>1722</v>
      </c>
      <c r="D281" s="916">
        <f>D249</f>
        <v>380000</v>
      </c>
      <c r="E281" s="675"/>
    </row>
    <row r="282" spans="1:5">
      <c r="A282" s="674">
        <v>8</v>
      </c>
      <c r="B282" s="675" t="s">
        <v>1735</v>
      </c>
      <c r="C282" s="674" t="s">
        <v>1722</v>
      </c>
      <c r="D282" s="916">
        <f>D222</f>
        <v>330000</v>
      </c>
      <c r="E282" s="675"/>
    </row>
    <row r="283" spans="1:5">
      <c r="A283" s="674">
        <v>9</v>
      </c>
      <c r="B283" s="675" t="s">
        <v>1743</v>
      </c>
      <c r="C283" s="674" t="s">
        <v>1730</v>
      </c>
      <c r="D283" s="916">
        <f>D171</f>
        <v>20000</v>
      </c>
      <c r="E283" s="675"/>
    </row>
    <row r="284" spans="1:5">
      <c r="A284" s="674">
        <v>10</v>
      </c>
      <c r="B284" s="675" t="s">
        <v>1932</v>
      </c>
      <c r="C284" s="674" t="s">
        <v>655</v>
      </c>
      <c r="D284" s="916">
        <f>0.5*0.5*0.06*7850*18000</f>
        <v>2119500</v>
      </c>
      <c r="E284" s="675"/>
    </row>
    <row r="285" spans="1:5">
      <c r="A285" s="674">
        <v>11</v>
      </c>
      <c r="B285" s="675" t="s">
        <v>1933</v>
      </c>
      <c r="C285" s="674" t="s">
        <v>655</v>
      </c>
      <c r="D285" s="916">
        <f>0.7*0.7*0.06*7850*18000</f>
        <v>4154219.9999999995</v>
      </c>
      <c r="E285" s="675"/>
    </row>
    <row r="286" spans="1:5">
      <c r="A286" s="674">
        <v>12</v>
      </c>
      <c r="B286" s="675" t="s">
        <v>1744</v>
      </c>
      <c r="C286" s="674" t="s">
        <v>1745</v>
      </c>
      <c r="D286" s="916">
        <v>10</v>
      </c>
      <c r="E286" s="675"/>
    </row>
    <row r="287" spans="1:5">
      <c r="A287" s="674">
        <v>13</v>
      </c>
      <c r="B287" s="675" t="s">
        <v>1746</v>
      </c>
      <c r="C287" s="674" t="s">
        <v>1730</v>
      </c>
      <c r="D287" s="916">
        <f>D268</f>
        <v>25000</v>
      </c>
      <c r="E287" s="675"/>
    </row>
    <row r="288" spans="1:5">
      <c r="A288" s="674">
        <v>14</v>
      </c>
      <c r="B288" s="675" t="s">
        <v>1934</v>
      </c>
      <c r="C288" s="674" t="s">
        <v>685</v>
      </c>
      <c r="D288" s="916">
        <v>350000</v>
      </c>
      <c r="E288" s="675"/>
    </row>
    <row r="289" spans="1:5">
      <c r="A289" s="674">
        <v>15</v>
      </c>
      <c r="B289" s="675" t="s">
        <v>1935</v>
      </c>
      <c r="C289" s="674" t="s">
        <v>677</v>
      </c>
      <c r="D289" s="916">
        <v>2000000</v>
      </c>
      <c r="E289" s="675"/>
    </row>
    <row r="290" spans="1:5">
      <c r="A290" s="674">
        <v>16</v>
      </c>
      <c r="B290" s="675" t="s">
        <v>1747</v>
      </c>
      <c r="C290" s="674" t="s">
        <v>1730</v>
      </c>
      <c r="D290" s="916">
        <f>D271</f>
        <v>16700</v>
      </c>
      <c r="E290" s="675"/>
    </row>
    <row r="291" spans="1:5">
      <c r="A291" s="674">
        <v>17</v>
      </c>
      <c r="B291" s="675" t="s">
        <v>1748</v>
      </c>
      <c r="C291" s="674" t="s">
        <v>1730</v>
      </c>
      <c r="D291" s="916">
        <f>D290</f>
        <v>16700</v>
      </c>
      <c r="E291" s="675"/>
    </row>
    <row r="292" spans="1:5">
      <c r="A292" s="674">
        <v>18</v>
      </c>
      <c r="B292" s="675" t="s">
        <v>1749</v>
      </c>
      <c r="C292" s="674" t="s">
        <v>1730</v>
      </c>
      <c r="D292" s="916">
        <f>D241</f>
        <v>17500</v>
      </c>
      <c r="E292" s="675"/>
    </row>
    <row r="293" spans="1:5">
      <c r="A293" s="674">
        <v>19</v>
      </c>
      <c r="B293" s="675" t="s">
        <v>1751</v>
      </c>
      <c r="C293" s="674" t="s">
        <v>1730</v>
      </c>
      <c r="D293" s="916">
        <f>D242</f>
        <v>17350</v>
      </c>
      <c r="E293" s="675"/>
    </row>
    <row r="294" spans="1:5">
      <c r="A294" s="674">
        <v>20</v>
      </c>
      <c r="B294" s="675" t="s">
        <v>1754</v>
      </c>
      <c r="C294" s="674" t="s">
        <v>677</v>
      </c>
      <c r="D294" s="916">
        <f>D202</f>
        <v>165000</v>
      </c>
      <c r="E294" s="675"/>
    </row>
    <row r="295" spans="1:5">
      <c r="A295" s="674">
        <v>21</v>
      </c>
      <c r="B295" s="675" t="s">
        <v>1936</v>
      </c>
      <c r="C295" s="674" t="s">
        <v>677</v>
      </c>
      <c r="D295" s="916">
        <v>350000</v>
      </c>
      <c r="E295" s="675"/>
    </row>
    <row r="296" spans="1:5">
      <c r="A296" s="674">
        <v>22</v>
      </c>
      <c r="B296" s="675" t="s">
        <v>1755</v>
      </c>
      <c r="C296" s="674" t="s">
        <v>1730</v>
      </c>
      <c r="D296" s="916">
        <f>D273</f>
        <v>1763</v>
      </c>
      <c r="E296" s="675"/>
    </row>
    <row r="297" spans="1:5">
      <c r="A297" s="674">
        <v>23</v>
      </c>
      <c r="B297" s="675" t="s">
        <v>1755</v>
      </c>
      <c r="C297" s="674" t="s">
        <v>1730</v>
      </c>
      <c r="D297" s="916">
        <f>D296</f>
        <v>1763</v>
      </c>
      <c r="E297" s="675"/>
    </row>
    <row r="298" spans="1:5" s="678" customFormat="1" ht="15.75" customHeight="1">
      <c r="A298" s="676" t="s">
        <v>1937</v>
      </c>
      <c r="B298" s="676" t="s">
        <v>1938</v>
      </c>
      <c r="C298" s="677"/>
      <c r="D298" s="677"/>
      <c r="E298" s="677"/>
    </row>
    <row r="299" spans="1:5">
      <c r="A299" s="674">
        <v>1</v>
      </c>
      <c r="B299" s="675" t="s">
        <v>1766</v>
      </c>
      <c r="C299" s="674" t="s">
        <v>1722</v>
      </c>
      <c r="D299" s="916">
        <f>D40</f>
        <v>280000</v>
      </c>
      <c r="E299" s="675"/>
    </row>
    <row r="300" spans="1:5" s="678" customFormat="1" ht="15.75" customHeight="1">
      <c r="A300" s="676" t="s">
        <v>1939</v>
      </c>
      <c r="B300" s="676" t="s">
        <v>1940</v>
      </c>
      <c r="C300" s="677"/>
      <c r="D300" s="677"/>
      <c r="E300" s="677"/>
    </row>
    <row r="301" spans="1:5">
      <c r="A301" s="674">
        <v>1</v>
      </c>
      <c r="B301" s="675" t="s">
        <v>1941</v>
      </c>
      <c r="C301" s="674" t="s">
        <v>685</v>
      </c>
      <c r="D301" s="916">
        <v>10000</v>
      </c>
      <c r="E301" s="675"/>
    </row>
    <row r="302" spans="1:5">
      <c r="A302" s="674">
        <v>2</v>
      </c>
      <c r="B302" s="675" t="s">
        <v>1724</v>
      </c>
      <c r="C302" s="674" t="s">
        <v>1722</v>
      </c>
      <c r="D302" s="916">
        <f>D6</f>
        <v>1439731</v>
      </c>
      <c r="E302" s="675"/>
    </row>
    <row r="303" spans="1:5">
      <c r="A303" s="674">
        <v>3</v>
      </c>
      <c r="B303" s="675" t="s">
        <v>1764</v>
      </c>
      <c r="C303" s="674" t="s">
        <v>655</v>
      </c>
      <c r="D303" s="916">
        <f>D259</f>
        <v>10000</v>
      </c>
      <c r="E303" s="675"/>
    </row>
    <row r="304" spans="1:5">
      <c r="A304" s="674">
        <v>4</v>
      </c>
      <c r="B304" s="675" t="s">
        <v>1942</v>
      </c>
      <c r="C304" s="674" t="s">
        <v>655</v>
      </c>
      <c r="D304" s="916">
        <v>70000</v>
      </c>
      <c r="E304" s="675"/>
    </row>
    <row r="305" spans="1:5">
      <c r="A305" s="674">
        <v>5</v>
      </c>
      <c r="B305" s="675" t="s">
        <v>1943</v>
      </c>
      <c r="C305" s="674" t="s">
        <v>655</v>
      </c>
      <c r="D305" s="916">
        <v>35000</v>
      </c>
      <c r="E305" s="675"/>
    </row>
    <row r="306" spans="1:5">
      <c r="A306" s="674">
        <v>6</v>
      </c>
      <c r="B306" s="675" t="s">
        <v>1944</v>
      </c>
      <c r="C306" s="674" t="s">
        <v>685</v>
      </c>
      <c r="D306" s="916">
        <f>D136</f>
        <v>5720</v>
      </c>
      <c r="E306" s="675"/>
    </row>
    <row r="307" spans="1:5">
      <c r="A307" s="674">
        <v>7</v>
      </c>
      <c r="B307" s="675" t="s">
        <v>1945</v>
      </c>
      <c r="C307" s="674" t="s">
        <v>685</v>
      </c>
      <c r="D307" s="916">
        <f>D137</f>
        <v>9320</v>
      </c>
      <c r="E307" s="675"/>
    </row>
    <row r="308" spans="1:5">
      <c r="A308" s="674">
        <v>8</v>
      </c>
      <c r="B308" s="675" t="s">
        <v>1865</v>
      </c>
      <c r="C308" s="674" t="s">
        <v>685</v>
      </c>
      <c r="D308" s="916">
        <f>D138</f>
        <v>24210</v>
      </c>
      <c r="E308" s="675"/>
    </row>
    <row r="309" spans="1:5">
      <c r="A309" s="674">
        <v>9</v>
      </c>
      <c r="B309" s="675" t="s">
        <v>1866</v>
      </c>
      <c r="C309" s="674" t="s">
        <v>685</v>
      </c>
      <c r="D309" s="916">
        <f>D139</f>
        <v>35840</v>
      </c>
      <c r="E309" s="675"/>
    </row>
    <row r="310" spans="1:5">
      <c r="A310" s="674">
        <v>10</v>
      </c>
      <c r="B310" s="675" t="s">
        <v>1766</v>
      </c>
      <c r="C310" s="674" t="s">
        <v>1722</v>
      </c>
      <c r="D310" s="916">
        <f>D299</f>
        <v>280000</v>
      </c>
      <c r="E310" s="675"/>
    </row>
    <row r="311" spans="1:5">
      <c r="A311" s="674">
        <v>11</v>
      </c>
      <c r="B311" s="675" t="s">
        <v>1727</v>
      </c>
      <c r="C311" s="674" t="s">
        <v>1722</v>
      </c>
      <c r="D311" s="916">
        <f>D277</f>
        <v>380000</v>
      </c>
      <c r="E311" s="675"/>
    </row>
    <row r="312" spans="1:5">
      <c r="A312" s="674">
        <v>12</v>
      </c>
      <c r="B312" s="675" t="s">
        <v>1867</v>
      </c>
      <c r="C312" s="674" t="s">
        <v>655</v>
      </c>
      <c r="D312" s="916">
        <f>D142</f>
        <v>150000</v>
      </c>
      <c r="E312" s="675"/>
    </row>
    <row r="313" spans="1:5">
      <c r="A313" s="674">
        <v>13</v>
      </c>
      <c r="B313" s="675" t="s">
        <v>1873</v>
      </c>
      <c r="C313" s="674" t="s">
        <v>1730</v>
      </c>
      <c r="D313" s="916">
        <f>D214</f>
        <v>30000</v>
      </c>
      <c r="E313" s="675"/>
    </row>
    <row r="314" spans="1:5">
      <c r="A314" s="674">
        <v>14</v>
      </c>
      <c r="B314" s="675" t="s">
        <v>1729</v>
      </c>
      <c r="C314" s="674" t="s">
        <v>1730</v>
      </c>
      <c r="D314" s="916">
        <f>D278</f>
        <v>16700</v>
      </c>
      <c r="E314" s="675"/>
    </row>
    <row r="315" spans="1:5">
      <c r="A315" s="674">
        <v>15</v>
      </c>
      <c r="B315" s="675" t="s">
        <v>1732</v>
      </c>
      <c r="C315" s="674" t="s">
        <v>1730</v>
      </c>
      <c r="D315" s="916">
        <f>D279</f>
        <v>20000</v>
      </c>
      <c r="E315" s="675"/>
    </row>
    <row r="316" spans="1:5">
      <c r="A316" s="674">
        <v>16</v>
      </c>
      <c r="B316" s="675" t="s">
        <v>1734</v>
      </c>
      <c r="C316" s="674" t="s">
        <v>1722</v>
      </c>
      <c r="D316" s="916">
        <f>D281</f>
        <v>380000</v>
      </c>
      <c r="E316" s="675"/>
    </row>
    <row r="317" spans="1:5">
      <c r="A317" s="674">
        <v>17</v>
      </c>
      <c r="B317" s="675" t="s">
        <v>1946</v>
      </c>
      <c r="C317" s="674" t="s">
        <v>1722</v>
      </c>
      <c r="D317" s="916">
        <f>D155</f>
        <v>330000</v>
      </c>
      <c r="E317" s="675"/>
    </row>
    <row r="318" spans="1:5">
      <c r="A318" s="674">
        <v>18</v>
      </c>
      <c r="B318" s="675" t="s">
        <v>1946</v>
      </c>
      <c r="C318" s="674" t="s">
        <v>1722</v>
      </c>
      <c r="D318" s="916">
        <f>D317</f>
        <v>330000</v>
      </c>
      <c r="E318" s="675"/>
    </row>
    <row r="319" spans="1:5">
      <c r="A319" s="674">
        <v>19</v>
      </c>
      <c r="B319" s="675" t="s">
        <v>1947</v>
      </c>
      <c r="C319" s="674" t="s">
        <v>624</v>
      </c>
      <c r="D319" s="916">
        <f>D157</f>
        <v>275100</v>
      </c>
      <c r="E319" s="675"/>
    </row>
    <row r="320" spans="1:5">
      <c r="A320" s="674">
        <v>20</v>
      </c>
      <c r="B320" s="675" t="s">
        <v>1800</v>
      </c>
      <c r="C320" s="674" t="s">
        <v>655</v>
      </c>
      <c r="D320" s="916">
        <f>D14</f>
        <v>1000</v>
      </c>
      <c r="E320" s="675"/>
    </row>
    <row r="321" spans="1:5">
      <c r="A321" s="674">
        <v>21</v>
      </c>
      <c r="B321" s="675" t="s">
        <v>1801</v>
      </c>
      <c r="C321" s="674" t="s">
        <v>655</v>
      </c>
      <c r="D321" s="916">
        <f>D320</f>
        <v>1000</v>
      </c>
      <c r="E321" s="675"/>
    </row>
    <row r="322" spans="1:5">
      <c r="A322" s="674">
        <v>22</v>
      </c>
      <c r="B322" s="675" t="s">
        <v>1814</v>
      </c>
      <c r="C322" s="674" t="s">
        <v>1808</v>
      </c>
      <c r="D322" s="916">
        <f>D251</f>
        <v>1479</v>
      </c>
      <c r="E322" s="675"/>
    </row>
    <row r="323" spans="1:5">
      <c r="A323" s="674">
        <v>23</v>
      </c>
      <c r="B323" s="675" t="s">
        <v>1816</v>
      </c>
      <c r="C323" s="674" t="s">
        <v>1722</v>
      </c>
      <c r="D323" s="916">
        <f>D163</f>
        <v>6500000</v>
      </c>
      <c r="E323" s="675"/>
    </row>
    <row r="324" spans="1:5">
      <c r="A324" s="674">
        <v>24</v>
      </c>
      <c r="B324" s="675" t="s">
        <v>1948</v>
      </c>
      <c r="C324" s="674" t="s">
        <v>685</v>
      </c>
      <c r="D324" s="916">
        <f>D50</f>
        <v>25000</v>
      </c>
      <c r="E324" s="675"/>
    </row>
    <row r="325" spans="1:5">
      <c r="A325" s="674">
        <v>25</v>
      </c>
      <c r="B325" s="675" t="s">
        <v>1886</v>
      </c>
      <c r="C325" s="674" t="s">
        <v>1730</v>
      </c>
      <c r="D325" s="916">
        <f>D227</f>
        <v>142500</v>
      </c>
      <c r="E325" s="675"/>
    </row>
    <row r="326" spans="1:5">
      <c r="A326" s="674">
        <v>26</v>
      </c>
      <c r="B326" s="675" t="s">
        <v>1821</v>
      </c>
      <c r="C326" s="674" t="s">
        <v>1730</v>
      </c>
      <c r="D326" s="916">
        <f>D264</f>
        <v>35000</v>
      </c>
      <c r="E326" s="675"/>
    </row>
    <row r="327" spans="1:5">
      <c r="A327" s="674">
        <v>27</v>
      </c>
      <c r="B327" s="675" t="s">
        <v>1949</v>
      </c>
      <c r="C327" s="674" t="s">
        <v>685</v>
      </c>
      <c r="D327" s="916">
        <f>D51</f>
        <v>30000</v>
      </c>
      <c r="E327" s="675"/>
    </row>
    <row r="328" spans="1:5">
      <c r="A328" s="674">
        <v>28</v>
      </c>
      <c r="B328" s="675" t="s">
        <v>1950</v>
      </c>
      <c r="C328" s="674" t="s">
        <v>655</v>
      </c>
      <c r="D328" s="916">
        <v>64000</v>
      </c>
      <c r="E328" s="675"/>
    </row>
    <row r="329" spans="1:5">
      <c r="A329" s="674">
        <v>29</v>
      </c>
      <c r="B329" s="675" t="s">
        <v>1951</v>
      </c>
      <c r="C329" s="674" t="s">
        <v>677</v>
      </c>
      <c r="D329" s="916">
        <v>12000</v>
      </c>
      <c r="E329" s="675"/>
    </row>
    <row r="330" spans="1:5">
      <c r="A330" s="674">
        <v>30</v>
      </c>
      <c r="B330" s="675" t="s">
        <v>1952</v>
      </c>
      <c r="C330" s="674" t="s">
        <v>685</v>
      </c>
      <c r="D330" s="916">
        <v>800000</v>
      </c>
      <c r="E330" s="675"/>
    </row>
    <row r="331" spans="1:5">
      <c r="A331" s="674">
        <v>31</v>
      </c>
      <c r="B331" s="675" t="s">
        <v>1744</v>
      </c>
      <c r="C331" s="674" t="s">
        <v>1745</v>
      </c>
      <c r="D331" s="916">
        <v>10</v>
      </c>
      <c r="E331" s="675"/>
    </row>
    <row r="332" spans="1:5">
      <c r="A332" s="674">
        <v>32</v>
      </c>
      <c r="B332" s="675" t="s">
        <v>1892</v>
      </c>
      <c r="C332" s="674" t="s">
        <v>1730</v>
      </c>
      <c r="D332" s="916">
        <f>D230</f>
        <v>142500</v>
      </c>
      <c r="E332" s="675"/>
    </row>
    <row r="333" spans="1:5">
      <c r="A333" s="674">
        <v>33</v>
      </c>
      <c r="B333" s="675" t="s">
        <v>1833</v>
      </c>
      <c r="C333" s="674" t="s">
        <v>1834</v>
      </c>
      <c r="D333" s="916">
        <f>D267</f>
        <v>150000</v>
      </c>
      <c r="E333" s="675"/>
    </row>
    <row r="334" spans="1:5">
      <c r="A334" s="674">
        <v>34</v>
      </c>
      <c r="B334" s="675" t="s">
        <v>1953</v>
      </c>
      <c r="C334" s="674" t="s">
        <v>685</v>
      </c>
      <c r="D334" s="916">
        <f>D180</f>
        <v>20200</v>
      </c>
      <c r="E334" s="675"/>
    </row>
    <row r="335" spans="1:5">
      <c r="A335" s="674">
        <v>35</v>
      </c>
      <c r="B335" s="675" t="s">
        <v>1897</v>
      </c>
      <c r="C335" s="674" t="s">
        <v>685</v>
      </c>
      <c r="D335" s="916">
        <f>D182</f>
        <v>13503.424657534248</v>
      </c>
      <c r="E335" s="675"/>
    </row>
    <row r="336" spans="1:5">
      <c r="A336" s="674">
        <v>36</v>
      </c>
      <c r="B336" s="675" t="s">
        <v>1898</v>
      </c>
      <c r="C336" s="674" t="s">
        <v>685</v>
      </c>
      <c r="D336" s="916">
        <f>D183</f>
        <v>67500</v>
      </c>
      <c r="E336" s="675"/>
    </row>
    <row r="337" spans="1:5">
      <c r="A337" s="674">
        <v>37</v>
      </c>
      <c r="B337" s="675" t="s">
        <v>1746</v>
      </c>
      <c r="C337" s="674" t="s">
        <v>1730</v>
      </c>
      <c r="D337" s="916">
        <f>D287</f>
        <v>25000</v>
      </c>
      <c r="E337" s="675"/>
    </row>
    <row r="338" spans="1:5">
      <c r="A338" s="674">
        <v>38</v>
      </c>
      <c r="B338" s="675" t="s">
        <v>1919</v>
      </c>
      <c r="C338" s="674" t="s">
        <v>1730</v>
      </c>
      <c r="D338" s="916">
        <f>D269</f>
        <v>138000</v>
      </c>
      <c r="E338" s="675"/>
    </row>
    <row r="339" spans="1:5">
      <c r="A339" s="674">
        <v>39</v>
      </c>
      <c r="B339" s="675" t="s">
        <v>1920</v>
      </c>
      <c r="C339" s="674" t="s">
        <v>1730</v>
      </c>
      <c r="D339" s="916">
        <f>D270</f>
        <v>138000</v>
      </c>
      <c r="E339" s="675"/>
    </row>
    <row r="340" spans="1:5">
      <c r="A340" s="674">
        <v>40</v>
      </c>
      <c r="B340" s="675" t="s">
        <v>1954</v>
      </c>
      <c r="C340" s="674" t="s">
        <v>677</v>
      </c>
      <c r="D340" s="916">
        <v>128500</v>
      </c>
      <c r="E340" s="675"/>
    </row>
    <row r="341" spans="1:5">
      <c r="A341" s="674">
        <v>41</v>
      </c>
      <c r="B341" s="675" t="s">
        <v>1747</v>
      </c>
      <c r="C341" s="674" t="s">
        <v>1730</v>
      </c>
      <c r="D341" s="916">
        <f>D290</f>
        <v>16700</v>
      </c>
      <c r="E341" s="675"/>
    </row>
    <row r="342" spans="1:5">
      <c r="A342" s="674">
        <v>42</v>
      </c>
      <c r="B342" s="675" t="s">
        <v>1748</v>
      </c>
      <c r="C342" s="674" t="s">
        <v>1730</v>
      </c>
      <c r="D342" s="916">
        <f>D341</f>
        <v>16700</v>
      </c>
      <c r="E342" s="675"/>
    </row>
    <row r="343" spans="1:5">
      <c r="A343" s="674">
        <v>43</v>
      </c>
      <c r="B343" s="675" t="s">
        <v>1749</v>
      </c>
      <c r="C343" s="674" t="s">
        <v>1730</v>
      </c>
      <c r="D343" s="916">
        <f>D292</f>
        <v>17500</v>
      </c>
      <c r="E343" s="675"/>
    </row>
    <row r="344" spans="1:5">
      <c r="A344" s="674">
        <v>44</v>
      </c>
      <c r="B344" s="675" t="s">
        <v>1751</v>
      </c>
      <c r="C344" s="674" t="s">
        <v>1730</v>
      </c>
      <c r="D344" s="916">
        <f>D293</f>
        <v>17350</v>
      </c>
      <c r="E344" s="675"/>
    </row>
    <row r="345" spans="1:5">
      <c r="A345" s="674">
        <v>45</v>
      </c>
      <c r="B345" s="675" t="s">
        <v>1755</v>
      </c>
      <c r="C345" s="674" t="s">
        <v>1730</v>
      </c>
      <c r="D345" s="916">
        <f>D297</f>
        <v>1763</v>
      </c>
      <c r="E345" s="675"/>
    </row>
    <row r="346" spans="1:5" s="678" customFormat="1" ht="15.75" customHeight="1">
      <c r="A346" s="676" t="s">
        <v>1955</v>
      </c>
      <c r="B346" s="676" t="s">
        <v>1956</v>
      </c>
      <c r="C346" s="677"/>
      <c r="D346" s="677"/>
      <c r="E346" s="677"/>
    </row>
    <row r="347" spans="1:5">
      <c r="A347" s="674">
        <v>1</v>
      </c>
      <c r="B347" s="675" t="s">
        <v>1930</v>
      </c>
      <c r="C347" s="674" t="s">
        <v>1722</v>
      </c>
      <c r="D347" s="916">
        <f>D275</f>
        <v>1648822</v>
      </c>
      <c r="E347" s="675"/>
    </row>
    <row r="348" spans="1:5">
      <c r="A348" s="674">
        <v>2</v>
      </c>
      <c r="B348" s="675" t="s">
        <v>1765</v>
      </c>
      <c r="C348" s="674" t="s">
        <v>1722</v>
      </c>
      <c r="D348" s="916">
        <f>D276</f>
        <v>330000</v>
      </c>
      <c r="E348" s="675"/>
    </row>
    <row r="349" spans="1:5">
      <c r="A349" s="674">
        <v>3</v>
      </c>
      <c r="B349" s="675" t="s">
        <v>1727</v>
      </c>
      <c r="C349" s="674" t="s">
        <v>1722</v>
      </c>
      <c r="D349" s="916">
        <f>D311</f>
        <v>380000</v>
      </c>
      <c r="E349" s="675"/>
    </row>
    <row r="350" spans="1:5">
      <c r="A350" s="674">
        <v>4</v>
      </c>
      <c r="B350" s="675" t="s">
        <v>1729</v>
      </c>
      <c r="C350" s="674" t="s">
        <v>1730</v>
      </c>
      <c r="D350" s="916">
        <f>D314</f>
        <v>16700</v>
      </c>
      <c r="E350" s="675"/>
    </row>
    <row r="351" spans="1:5">
      <c r="A351" s="674">
        <v>5</v>
      </c>
      <c r="B351" s="675" t="s">
        <v>1732</v>
      </c>
      <c r="C351" s="674" t="s">
        <v>1730</v>
      </c>
      <c r="D351" s="916">
        <f>D315</f>
        <v>20000</v>
      </c>
      <c r="E351" s="675"/>
    </row>
    <row r="352" spans="1:5">
      <c r="A352" s="674">
        <v>6</v>
      </c>
      <c r="B352" s="675" t="s">
        <v>1795</v>
      </c>
      <c r="C352" s="674" t="s">
        <v>1730</v>
      </c>
      <c r="D352" s="916">
        <f>D280</f>
        <v>53000</v>
      </c>
      <c r="E352" s="675"/>
    </row>
    <row r="353" spans="1:5">
      <c r="A353" s="674">
        <v>7</v>
      </c>
      <c r="B353" s="675" t="s">
        <v>1735</v>
      </c>
      <c r="C353" s="674" t="s">
        <v>1722</v>
      </c>
      <c r="D353" s="916">
        <f>D282</f>
        <v>330000</v>
      </c>
      <c r="E353" s="675"/>
    </row>
    <row r="354" spans="1:5">
      <c r="A354" s="674">
        <v>8</v>
      </c>
      <c r="B354" s="675" t="s">
        <v>1957</v>
      </c>
      <c r="C354" s="674" t="s">
        <v>677</v>
      </c>
      <c r="D354" s="916">
        <f>D75</f>
        <v>177273</v>
      </c>
      <c r="E354" s="675"/>
    </row>
    <row r="355" spans="1:5">
      <c r="A355" s="674">
        <v>9</v>
      </c>
      <c r="B355" s="675" t="s">
        <v>1957</v>
      </c>
      <c r="C355" s="674" t="s">
        <v>677</v>
      </c>
      <c r="D355" s="916">
        <f>D354</f>
        <v>177273</v>
      </c>
      <c r="E355" s="675"/>
    </row>
    <row r="356" spans="1:5">
      <c r="A356" s="674">
        <v>10</v>
      </c>
      <c r="B356" s="675" t="s">
        <v>1958</v>
      </c>
      <c r="C356" s="674" t="s">
        <v>655</v>
      </c>
      <c r="D356" s="916">
        <f>D285</f>
        <v>4154219.9999999995</v>
      </c>
      <c r="E356" s="675"/>
    </row>
    <row r="357" spans="1:5">
      <c r="A357" s="674">
        <v>11</v>
      </c>
      <c r="B357" s="675" t="s">
        <v>1744</v>
      </c>
      <c r="C357" s="674" t="s">
        <v>1745</v>
      </c>
      <c r="D357" s="675">
        <v>10</v>
      </c>
      <c r="E357" s="675"/>
    </row>
    <row r="358" spans="1:5">
      <c r="A358" s="674">
        <v>12</v>
      </c>
      <c r="B358" s="675" t="s">
        <v>1746</v>
      </c>
      <c r="C358" s="674" t="s">
        <v>1730</v>
      </c>
      <c r="D358" s="916">
        <f>D337</f>
        <v>25000</v>
      </c>
      <c r="E358" s="675"/>
    </row>
    <row r="359" spans="1:5">
      <c r="A359" s="674">
        <v>13</v>
      </c>
      <c r="B359" s="675" t="s">
        <v>1934</v>
      </c>
      <c r="C359" s="674" t="s">
        <v>685</v>
      </c>
      <c r="D359" s="916">
        <f>D288</f>
        <v>350000</v>
      </c>
      <c r="E359" s="675"/>
    </row>
    <row r="360" spans="1:5">
      <c r="A360" s="674">
        <v>14</v>
      </c>
      <c r="B360" s="675" t="s">
        <v>1959</v>
      </c>
      <c r="C360" s="674" t="s">
        <v>677</v>
      </c>
      <c r="D360" s="916">
        <f>D289</f>
        <v>2000000</v>
      </c>
      <c r="E360" s="675"/>
    </row>
    <row r="361" spans="1:5">
      <c r="A361" s="674">
        <v>15</v>
      </c>
      <c r="B361" s="675" t="s">
        <v>1747</v>
      </c>
      <c r="C361" s="674" t="s">
        <v>1730</v>
      </c>
      <c r="D361" s="916">
        <f>D341</f>
        <v>16700</v>
      </c>
      <c r="E361" s="675"/>
    </row>
    <row r="362" spans="1:5">
      <c r="A362" s="674">
        <v>16</v>
      </c>
      <c r="B362" s="675" t="s">
        <v>1748</v>
      </c>
      <c r="C362" s="674" t="s">
        <v>1730</v>
      </c>
      <c r="D362" s="916">
        <f>D361</f>
        <v>16700</v>
      </c>
      <c r="E362" s="675"/>
    </row>
    <row r="363" spans="1:5">
      <c r="A363" s="674">
        <v>17</v>
      </c>
      <c r="B363" s="675" t="s">
        <v>1749</v>
      </c>
      <c r="C363" s="674" t="s">
        <v>1730</v>
      </c>
      <c r="D363" s="916">
        <f>D343</f>
        <v>17500</v>
      </c>
      <c r="E363" s="675"/>
    </row>
    <row r="364" spans="1:5">
      <c r="A364" s="674">
        <v>18</v>
      </c>
      <c r="B364" s="675" t="s">
        <v>1751</v>
      </c>
      <c r="C364" s="674" t="s">
        <v>1730</v>
      </c>
      <c r="D364" s="916">
        <f>D344</f>
        <v>17350</v>
      </c>
      <c r="E364" s="675"/>
    </row>
    <row r="365" spans="1:5">
      <c r="A365" s="674">
        <v>19</v>
      </c>
      <c r="B365" s="675" t="s">
        <v>1753</v>
      </c>
      <c r="C365" s="674" t="s">
        <v>1730</v>
      </c>
      <c r="D365" s="916">
        <f>D364</f>
        <v>17350</v>
      </c>
      <c r="E365" s="675"/>
    </row>
    <row r="366" spans="1:5">
      <c r="A366" s="674">
        <v>20</v>
      </c>
      <c r="B366" s="675" t="s">
        <v>1755</v>
      </c>
      <c r="C366" s="674" t="s">
        <v>1730</v>
      </c>
      <c r="D366" s="916">
        <f>D345</f>
        <v>1763</v>
      </c>
      <c r="E366" s="675"/>
    </row>
    <row r="367" spans="1:5">
      <c r="A367" s="674">
        <v>21</v>
      </c>
      <c r="B367" s="675" t="s">
        <v>1755</v>
      </c>
      <c r="C367" s="674" t="s">
        <v>1730</v>
      </c>
      <c r="D367" s="916">
        <f>D366</f>
        <v>1763</v>
      </c>
      <c r="E367" s="675"/>
    </row>
    <row r="368" spans="1:5">
      <c r="A368" s="674">
        <v>22</v>
      </c>
      <c r="B368" s="675" t="s">
        <v>1860</v>
      </c>
      <c r="C368" s="674" t="s">
        <v>1730</v>
      </c>
      <c r="D368" s="916">
        <f>D257</f>
        <v>5000</v>
      </c>
      <c r="E368" s="675"/>
    </row>
    <row r="369" spans="1:5" s="678" customFormat="1" ht="15.75" customHeight="1">
      <c r="A369" s="676" t="s">
        <v>1960</v>
      </c>
      <c r="B369" s="676" t="s">
        <v>1961</v>
      </c>
      <c r="C369" s="677"/>
      <c r="D369" s="677"/>
      <c r="E369" s="677"/>
    </row>
    <row r="370" spans="1:5">
      <c r="A370" s="674">
        <v>1</v>
      </c>
      <c r="B370" s="675" t="s">
        <v>1962</v>
      </c>
      <c r="C370" s="674" t="s">
        <v>1722</v>
      </c>
      <c r="D370" s="916">
        <v>1600000</v>
      </c>
      <c r="E370" s="675" t="s">
        <v>1963</v>
      </c>
    </row>
    <row r="371" spans="1:5">
      <c r="A371" s="674">
        <v>2</v>
      </c>
      <c r="B371" s="675" t="s">
        <v>1964</v>
      </c>
      <c r="C371" s="674" t="s">
        <v>1722</v>
      </c>
      <c r="D371" s="916">
        <v>1348822</v>
      </c>
      <c r="E371" s="675"/>
    </row>
    <row r="372" spans="1:5">
      <c r="A372" s="674">
        <v>3</v>
      </c>
      <c r="B372" s="675" t="s">
        <v>1965</v>
      </c>
      <c r="C372" s="674" t="s">
        <v>1722</v>
      </c>
      <c r="D372" s="916">
        <f>D7</f>
        <v>1494276</v>
      </c>
      <c r="E372" s="675"/>
    </row>
    <row r="373" spans="1:5">
      <c r="A373" s="674">
        <v>4</v>
      </c>
      <c r="B373" s="675" t="s">
        <v>1966</v>
      </c>
      <c r="C373" s="674" t="s">
        <v>1722</v>
      </c>
      <c r="D373" s="916">
        <v>1385185</v>
      </c>
      <c r="E373" s="675"/>
    </row>
    <row r="374" spans="1:5">
      <c r="A374" s="674">
        <v>5</v>
      </c>
      <c r="B374" s="675" t="s">
        <v>1762</v>
      </c>
      <c r="C374" s="674" t="s">
        <v>1730</v>
      </c>
      <c r="D374" s="916">
        <f>D36</f>
        <v>5000</v>
      </c>
      <c r="E374" s="675"/>
    </row>
    <row r="375" spans="1:5">
      <c r="A375" s="674">
        <v>6</v>
      </c>
      <c r="B375" s="675" t="s">
        <v>1763</v>
      </c>
      <c r="C375" s="674" t="s">
        <v>1730</v>
      </c>
      <c r="D375" s="916">
        <f>D37</f>
        <v>28600</v>
      </c>
      <c r="E375" s="675"/>
    </row>
    <row r="376" spans="1:5">
      <c r="A376" s="674">
        <v>7</v>
      </c>
      <c r="B376" s="675" t="s">
        <v>1765</v>
      </c>
      <c r="C376" s="674" t="s">
        <v>1722</v>
      </c>
      <c r="D376" s="916">
        <f>D348</f>
        <v>330000</v>
      </c>
      <c r="E376" s="675"/>
    </row>
    <row r="377" spans="1:5">
      <c r="A377" s="674">
        <v>8</v>
      </c>
      <c r="B377" s="675" t="s">
        <v>1727</v>
      </c>
      <c r="C377" s="674" t="s">
        <v>1722</v>
      </c>
      <c r="D377" s="916">
        <f>D349</f>
        <v>380000</v>
      </c>
      <c r="E377" s="675"/>
    </row>
    <row r="378" spans="1:5">
      <c r="A378" s="674">
        <v>9</v>
      </c>
      <c r="B378" s="675" t="s">
        <v>1873</v>
      </c>
      <c r="C378" s="674" t="s">
        <v>1730</v>
      </c>
      <c r="D378" s="916">
        <f>D313</f>
        <v>30000</v>
      </c>
      <c r="E378" s="675"/>
    </row>
    <row r="379" spans="1:5">
      <c r="A379" s="674">
        <v>10</v>
      </c>
      <c r="B379" s="675" t="s">
        <v>1732</v>
      </c>
      <c r="C379" s="674" t="s">
        <v>1730</v>
      </c>
      <c r="D379" s="916">
        <f>D315</f>
        <v>20000</v>
      </c>
      <c r="E379" s="675"/>
    </row>
    <row r="380" spans="1:5">
      <c r="A380" s="674">
        <v>11</v>
      </c>
      <c r="B380" s="675" t="s">
        <v>1734</v>
      </c>
      <c r="C380" s="674" t="s">
        <v>1722</v>
      </c>
      <c r="D380" s="916">
        <f>D316</f>
        <v>380000</v>
      </c>
      <c r="E380" s="675"/>
    </row>
    <row r="381" spans="1:5">
      <c r="A381" s="674">
        <v>12</v>
      </c>
      <c r="B381" s="675" t="s">
        <v>1946</v>
      </c>
      <c r="C381" s="674" t="s">
        <v>1722</v>
      </c>
      <c r="D381" s="916">
        <f>D317</f>
        <v>330000</v>
      </c>
      <c r="E381" s="675"/>
    </row>
    <row r="382" spans="1:5">
      <c r="A382" s="674">
        <v>13</v>
      </c>
      <c r="B382" s="675" t="s">
        <v>1798</v>
      </c>
      <c r="C382" s="674" t="s">
        <v>1730</v>
      </c>
      <c r="D382" s="916">
        <f>D71</f>
        <v>10000</v>
      </c>
      <c r="E382" s="675"/>
    </row>
    <row r="383" spans="1:5">
      <c r="A383" s="674">
        <v>14</v>
      </c>
      <c r="B383" s="675" t="s">
        <v>1967</v>
      </c>
      <c r="C383" s="674" t="s">
        <v>1722</v>
      </c>
      <c r="D383" s="916">
        <v>200000</v>
      </c>
      <c r="E383" s="675"/>
    </row>
    <row r="384" spans="1:5">
      <c r="A384" s="674">
        <v>15</v>
      </c>
      <c r="B384" s="675" t="s">
        <v>1736</v>
      </c>
      <c r="C384" s="674" t="s">
        <v>1730</v>
      </c>
      <c r="D384" s="916">
        <f>D160</f>
        <v>20000</v>
      </c>
      <c r="E384" s="675"/>
    </row>
    <row r="385" spans="1:5">
      <c r="A385" s="674">
        <v>16</v>
      </c>
      <c r="B385" s="675" t="s">
        <v>1968</v>
      </c>
      <c r="C385" s="674" t="s">
        <v>677</v>
      </c>
      <c r="D385" s="916">
        <v>333812</v>
      </c>
      <c r="E385" s="675"/>
    </row>
    <row r="386" spans="1:5">
      <c r="A386" s="674">
        <v>17</v>
      </c>
      <c r="B386" s="675" t="s">
        <v>1807</v>
      </c>
      <c r="C386" s="674" t="s">
        <v>1808</v>
      </c>
      <c r="D386" s="916">
        <f>D224</f>
        <v>1737</v>
      </c>
      <c r="E386" s="675"/>
    </row>
    <row r="387" spans="1:5">
      <c r="A387" s="674">
        <v>18</v>
      </c>
      <c r="B387" s="675" t="s">
        <v>1969</v>
      </c>
      <c r="C387" s="674" t="s">
        <v>677</v>
      </c>
      <c r="D387" s="916">
        <v>201958</v>
      </c>
      <c r="E387" s="675" t="s">
        <v>1970</v>
      </c>
    </row>
    <row r="388" spans="1:5">
      <c r="A388" s="674">
        <v>19</v>
      </c>
      <c r="B388" s="675" t="s">
        <v>1971</v>
      </c>
      <c r="C388" s="674" t="s">
        <v>1722</v>
      </c>
      <c r="D388" s="916">
        <f>D163</f>
        <v>6500000</v>
      </c>
      <c r="E388" s="675"/>
    </row>
    <row r="389" spans="1:5">
      <c r="A389" s="674">
        <v>20</v>
      </c>
      <c r="B389" s="675" t="s">
        <v>1744</v>
      </c>
      <c r="C389" s="674" t="s">
        <v>1745</v>
      </c>
      <c r="D389" s="916">
        <v>10</v>
      </c>
      <c r="E389" s="675"/>
    </row>
    <row r="390" spans="1:5">
      <c r="A390" s="674">
        <v>21</v>
      </c>
      <c r="B390" s="675" t="s">
        <v>1892</v>
      </c>
      <c r="C390" s="674" t="s">
        <v>1730</v>
      </c>
      <c r="D390" s="916">
        <f>D332</f>
        <v>142500</v>
      </c>
      <c r="E390" s="675"/>
    </row>
    <row r="391" spans="1:5">
      <c r="A391" s="674">
        <v>22</v>
      </c>
      <c r="B391" s="675" t="s">
        <v>1972</v>
      </c>
      <c r="C391" s="674" t="s">
        <v>685</v>
      </c>
      <c r="D391" s="916">
        <v>13900</v>
      </c>
      <c r="E391" s="675"/>
    </row>
    <row r="392" spans="1:5">
      <c r="A392" s="674">
        <v>23</v>
      </c>
      <c r="B392" s="675" t="s">
        <v>1746</v>
      </c>
      <c r="C392" s="674" t="s">
        <v>1730</v>
      </c>
      <c r="D392" s="916">
        <f>D358</f>
        <v>25000</v>
      </c>
      <c r="E392" s="675"/>
    </row>
    <row r="393" spans="1:5">
      <c r="A393" s="674">
        <v>24</v>
      </c>
      <c r="B393" s="675" t="s">
        <v>1747</v>
      </c>
      <c r="C393" s="674" t="s">
        <v>1730</v>
      </c>
      <c r="D393" s="916">
        <f>D361</f>
        <v>16700</v>
      </c>
      <c r="E393" s="675"/>
    </row>
    <row r="394" spans="1:5">
      <c r="A394" s="674">
        <v>25</v>
      </c>
      <c r="B394" s="675" t="s">
        <v>1748</v>
      </c>
      <c r="C394" s="674" t="s">
        <v>1730</v>
      </c>
      <c r="D394" s="916">
        <f>D362</f>
        <v>16700</v>
      </c>
      <c r="E394" s="675"/>
    </row>
    <row r="395" spans="1:5">
      <c r="A395" s="674">
        <v>26</v>
      </c>
      <c r="B395" s="675" t="s">
        <v>1749</v>
      </c>
      <c r="C395" s="674" t="s">
        <v>1730</v>
      </c>
      <c r="D395" s="916">
        <f>D363</f>
        <v>17500</v>
      </c>
      <c r="E395" s="675"/>
    </row>
    <row r="396" spans="1:5">
      <c r="A396" s="674">
        <v>27</v>
      </c>
      <c r="B396" s="675" t="s">
        <v>1755</v>
      </c>
      <c r="C396" s="674" t="s">
        <v>1730</v>
      </c>
      <c r="D396" s="916">
        <f>D366</f>
        <v>1763</v>
      </c>
      <c r="E396" s="675"/>
    </row>
    <row r="397" spans="1:5">
      <c r="A397" s="674">
        <v>28</v>
      </c>
      <c r="B397" s="675" t="s">
        <v>1860</v>
      </c>
      <c r="C397" s="674" t="s">
        <v>1730</v>
      </c>
      <c r="D397" s="916">
        <f>D368</f>
        <v>5000</v>
      </c>
      <c r="E397" s="675"/>
    </row>
    <row r="398" spans="1:5">
      <c r="A398" s="674">
        <v>29</v>
      </c>
      <c r="B398" s="675" t="s">
        <v>1973</v>
      </c>
      <c r="C398" s="674" t="s">
        <v>677</v>
      </c>
      <c r="D398" s="916">
        <v>15000</v>
      </c>
      <c r="E398" s="675"/>
    </row>
    <row r="399" spans="1:5">
      <c r="A399" s="675"/>
      <c r="B399" s="675"/>
      <c r="C399" s="674"/>
      <c r="D399" s="675"/>
      <c r="E399" s="675"/>
    </row>
    <row r="400" spans="1:5">
      <c r="A400" s="675"/>
      <c r="B400" s="675"/>
      <c r="C400" s="675"/>
      <c r="D400" s="675"/>
      <c r="E400" s="675"/>
    </row>
    <row r="401" spans="1:5">
      <c r="A401" s="675"/>
      <c r="B401" s="675"/>
      <c r="C401" s="675"/>
      <c r="D401" s="675"/>
      <c r="E401" s="675"/>
    </row>
    <row r="402" spans="1:5">
      <c r="A402" s="675"/>
      <c r="B402" s="675"/>
      <c r="C402" s="675"/>
      <c r="D402" s="675"/>
      <c r="E402" s="675"/>
    </row>
    <row r="403" spans="1:5">
      <c r="A403" s="675"/>
      <c r="B403" s="675"/>
      <c r="C403" s="675"/>
      <c r="D403" s="675"/>
      <c r="E403" s="675"/>
    </row>
    <row r="404" spans="1:5">
      <c r="A404" s="675"/>
      <c r="B404" s="675"/>
      <c r="C404" s="675"/>
      <c r="D404" s="675"/>
      <c r="E404" s="675"/>
    </row>
    <row r="405" spans="1:5">
      <c r="A405" s="675"/>
      <c r="B405" s="675"/>
      <c r="C405" s="675"/>
      <c r="D405" s="675"/>
      <c r="E405" s="675"/>
    </row>
    <row r="406" spans="1:5">
      <c r="A406" s="675"/>
      <c r="B406" s="675"/>
      <c r="C406" s="675"/>
      <c r="D406" s="675"/>
      <c r="E406" s="675"/>
    </row>
    <row r="407" spans="1:5">
      <c r="A407" s="675"/>
      <c r="B407" s="675"/>
      <c r="C407" s="675"/>
      <c r="D407" s="675"/>
      <c r="E407" s="675"/>
    </row>
    <row r="408" spans="1:5">
      <c r="A408" s="675"/>
      <c r="B408" s="675"/>
      <c r="C408" s="675"/>
      <c r="D408" s="675"/>
      <c r="E408" s="675"/>
    </row>
    <row r="409" spans="1:5">
      <c r="A409" s="675"/>
      <c r="B409" s="675"/>
      <c r="C409" s="675"/>
      <c r="D409" s="675"/>
      <c r="E409" s="675"/>
    </row>
    <row r="410" spans="1:5">
      <c r="A410" s="675"/>
      <c r="B410" s="675"/>
      <c r="C410" s="675"/>
      <c r="D410" s="675"/>
      <c r="E410" s="675"/>
    </row>
    <row r="411" spans="1:5">
      <c r="A411" s="675"/>
      <c r="B411" s="675"/>
      <c r="C411" s="675"/>
      <c r="D411" s="675"/>
      <c r="E411" s="675"/>
    </row>
    <row r="412" spans="1:5">
      <c r="A412" s="675"/>
      <c r="B412" s="675"/>
      <c r="C412" s="675"/>
      <c r="D412" s="675"/>
      <c r="E412" s="675"/>
    </row>
    <row r="413" spans="1:5">
      <c r="A413" s="675"/>
      <c r="B413" s="675"/>
      <c r="C413" s="675"/>
      <c r="D413" s="675"/>
      <c r="E413" s="675"/>
    </row>
    <row r="414" spans="1:5">
      <c r="A414" s="675"/>
      <c r="B414" s="675"/>
      <c r="C414" s="675"/>
      <c r="D414" s="675"/>
      <c r="E414" s="675"/>
    </row>
    <row r="415" spans="1:5">
      <c r="A415" s="675"/>
      <c r="B415" s="675"/>
      <c r="C415" s="675"/>
      <c r="D415" s="675"/>
      <c r="E415" s="675"/>
    </row>
    <row r="416" spans="1:5">
      <c r="A416" s="675"/>
      <c r="B416" s="675"/>
      <c r="C416" s="675"/>
      <c r="D416" s="675"/>
      <c r="E416" s="675"/>
    </row>
    <row r="417" spans="1:5">
      <c r="A417" s="675"/>
      <c r="B417" s="675"/>
      <c r="C417" s="675"/>
      <c r="D417" s="675"/>
      <c r="E417" s="675"/>
    </row>
    <row r="418" spans="1:5">
      <c r="A418" s="675"/>
      <c r="B418" s="675"/>
      <c r="C418" s="675"/>
      <c r="D418" s="675"/>
      <c r="E418" s="675"/>
    </row>
    <row r="419" spans="1:5">
      <c r="A419" s="675"/>
      <c r="B419" s="675"/>
      <c r="C419" s="675"/>
      <c r="D419" s="675"/>
      <c r="E419" s="675"/>
    </row>
    <row r="420" spans="1:5">
      <c r="A420" s="675"/>
      <c r="B420" s="675"/>
      <c r="C420" s="675"/>
      <c r="D420" s="675"/>
      <c r="E420" s="675"/>
    </row>
    <row r="421" spans="1:5">
      <c r="A421" s="675"/>
      <c r="B421" s="675"/>
      <c r="C421" s="675"/>
      <c r="D421" s="675"/>
      <c r="E421" s="675"/>
    </row>
    <row r="422" spans="1:5">
      <c r="A422" s="675"/>
      <c r="B422" s="675"/>
      <c r="C422" s="675"/>
      <c r="D422" s="675"/>
      <c r="E422" s="675"/>
    </row>
    <row r="423" spans="1:5">
      <c r="A423" s="675"/>
      <c r="B423" s="675"/>
      <c r="C423" s="675"/>
      <c r="D423" s="675"/>
      <c r="E423" s="675"/>
    </row>
    <row r="424" spans="1:5">
      <c r="A424" s="675"/>
      <c r="B424" s="675"/>
      <c r="C424" s="675"/>
      <c r="D424" s="675"/>
      <c r="E424" s="675"/>
    </row>
    <row r="425" spans="1:5">
      <c r="A425" s="675"/>
      <c r="B425" s="675"/>
      <c r="C425" s="675"/>
      <c r="D425" s="675"/>
      <c r="E425" s="675"/>
    </row>
    <row r="426" spans="1:5">
      <c r="A426" s="675"/>
      <c r="B426" s="675"/>
      <c r="C426" s="675"/>
      <c r="D426" s="675"/>
      <c r="E426" s="675"/>
    </row>
    <row r="427" spans="1:5">
      <c r="A427" s="675"/>
      <c r="B427" s="675"/>
      <c r="C427" s="675"/>
      <c r="D427" s="675"/>
      <c r="E427" s="675"/>
    </row>
    <row r="428" spans="1:5">
      <c r="A428" s="675"/>
      <c r="B428" s="675"/>
      <c r="C428" s="675"/>
      <c r="D428" s="675"/>
      <c r="E428" s="675"/>
    </row>
    <row r="429" spans="1:5">
      <c r="A429" s="675"/>
      <c r="B429" s="675"/>
      <c r="C429" s="675"/>
      <c r="D429" s="675"/>
      <c r="E429" s="675"/>
    </row>
    <row r="430" spans="1:5">
      <c r="A430" s="675"/>
      <c r="B430" s="675"/>
      <c r="C430" s="675"/>
      <c r="D430" s="675"/>
      <c r="E430" s="675"/>
    </row>
    <row r="431" spans="1:5">
      <c r="A431" s="675"/>
      <c r="B431" s="675"/>
      <c r="C431" s="675"/>
      <c r="D431" s="675"/>
      <c r="E431" s="675"/>
    </row>
    <row r="432" spans="1:5">
      <c r="A432" s="675"/>
      <c r="B432" s="675"/>
      <c r="C432" s="675"/>
      <c r="D432" s="675"/>
      <c r="E432" s="675"/>
    </row>
    <row r="433" spans="1:5">
      <c r="A433" s="675"/>
      <c r="B433" s="675"/>
      <c r="C433" s="675"/>
      <c r="D433" s="675"/>
      <c r="E433" s="675"/>
    </row>
    <row r="434" spans="1:5">
      <c r="A434" s="675"/>
      <c r="B434" s="675"/>
      <c r="C434" s="675"/>
      <c r="D434" s="675"/>
      <c r="E434" s="675"/>
    </row>
    <row r="435" spans="1:5">
      <c r="A435" s="675"/>
      <c r="B435" s="675"/>
      <c r="C435" s="675"/>
      <c r="D435" s="675"/>
      <c r="E435" s="675"/>
    </row>
    <row r="436" spans="1:5">
      <c r="A436" s="675"/>
      <c r="B436" s="675"/>
      <c r="C436" s="675"/>
      <c r="D436" s="675"/>
      <c r="E436" s="675"/>
    </row>
    <row r="437" spans="1:5">
      <c r="A437" s="675"/>
      <c r="B437" s="675"/>
      <c r="C437" s="675"/>
      <c r="D437" s="675"/>
      <c r="E437" s="675"/>
    </row>
    <row r="438" spans="1:5">
      <c r="A438" s="675"/>
      <c r="B438" s="675"/>
      <c r="C438" s="675"/>
      <c r="D438" s="675"/>
      <c r="E438" s="675"/>
    </row>
    <row r="439" spans="1:5">
      <c r="A439" s="675"/>
      <c r="B439" s="675"/>
      <c r="C439" s="675"/>
      <c r="D439" s="675"/>
      <c r="E439" s="675"/>
    </row>
    <row r="440" spans="1:5">
      <c r="A440" s="675"/>
      <c r="B440" s="675"/>
      <c r="C440" s="675"/>
      <c r="D440" s="675"/>
      <c r="E440" s="675"/>
    </row>
    <row r="441" spans="1:5">
      <c r="A441" s="675"/>
      <c r="B441" s="675"/>
      <c r="C441" s="675"/>
      <c r="D441" s="675"/>
      <c r="E441" s="675"/>
    </row>
    <row r="442" spans="1:5">
      <c r="A442" s="675"/>
      <c r="B442" s="675"/>
      <c r="C442" s="675"/>
      <c r="D442" s="675"/>
      <c r="E442" s="675"/>
    </row>
    <row r="443" spans="1:5">
      <c r="A443" s="675"/>
      <c r="B443" s="675"/>
      <c r="C443" s="675"/>
      <c r="D443" s="675"/>
      <c r="E443" s="675"/>
    </row>
    <row r="444" spans="1:5">
      <c r="A444" s="675"/>
      <c r="B444" s="675"/>
      <c r="C444" s="675"/>
      <c r="D444" s="675"/>
      <c r="E444" s="675"/>
    </row>
    <row r="445" spans="1:5">
      <c r="A445" s="675"/>
      <c r="B445" s="675"/>
      <c r="C445" s="675"/>
      <c r="D445" s="675"/>
      <c r="E445" s="675"/>
    </row>
    <row r="446" spans="1:5">
      <c r="A446" s="675"/>
      <c r="B446" s="675"/>
      <c r="C446" s="675"/>
      <c r="D446" s="675"/>
      <c r="E446" s="675"/>
    </row>
    <row r="447" spans="1:5">
      <c r="A447" s="675"/>
      <c r="B447" s="675"/>
      <c r="C447" s="675"/>
      <c r="D447" s="675"/>
      <c r="E447" s="675"/>
    </row>
    <row r="448" spans="1:5">
      <c r="A448" s="675"/>
      <c r="B448" s="675"/>
      <c r="C448" s="675"/>
      <c r="D448" s="675"/>
      <c r="E448" s="675"/>
    </row>
    <row r="449" spans="1:5">
      <c r="A449" s="675"/>
      <c r="B449" s="675"/>
      <c r="C449" s="675"/>
      <c r="D449" s="675"/>
      <c r="E449" s="675"/>
    </row>
    <row r="450" spans="1:5">
      <c r="A450" s="675"/>
      <c r="B450" s="675"/>
      <c r="C450" s="675"/>
      <c r="D450" s="675"/>
      <c r="E450" s="675"/>
    </row>
    <row r="451" spans="1:5">
      <c r="A451" s="675"/>
      <c r="B451" s="675"/>
      <c r="C451" s="675"/>
      <c r="D451" s="675"/>
      <c r="E451" s="675"/>
    </row>
    <row r="452" spans="1:5">
      <c r="A452" s="675"/>
      <c r="B452" s="675"/>
      <c r="C452" s="675"/>
      <c r="D452" s="675"/>
      <c r="E452" s="675"/>
    </row>
    <row r="453" spans="1:5">
      <c r="A453" s="675"/>
      <c r="B453" s="675"/>
      <c r="C453" s="675"/>
      <c r="D453" s="675"/>
      <c r="E453" s="675"/>
    </row>
    <row r="454" spans="1:5">
      <c r="A454" s="675"/>
      <c r="B454" s="675"/>
      <c r="C454" s="675"/>
      <c r="D454" s="675"/>
      <c r="E454" s="675"/>
    </row>
    <row r="455" spans="1:5">
      <c r="A455" s="675"/>
      <c r="B455" s="675"/>
      <c r="C455" s="675"/>
      <c r="D455" s="675"/>
      <c r="E455" s="675"/>
    </row>
    <row r="456" spans="1:5">
      <c r="A456" s="675"/>
      <c r="B456" s="675"/>
      <c r="C456" s="675"/>
      <c r="D456" s="675"/>
      <c r="E456" s="675"/>
    </row>
    <row r="457" spans="1:5">
      <c r="A457" s="675"/>
      <c r="B457" s="675"/>
      <c r="C457" s="675"/>
      <c r="D457" s="675"/>
      <c r="E457" s="675"/>
    </row>
    <row r="458" spans="1:5">
      <c r="A458" s="675"/>
      <c r="B458" s="675"/>
      <c r="C458" s="675"/>
      <c r="D458" s="675"/>
      <c r="E458" s="675"/>
    </row>
    <row r="459" spans="1:5">
      <c r="A459" s="675"/>
      <c r="B459" s="675"/>
      <c r="C459" s="675"/>
      <c r="D459" s="675"/>
      <c r="E459" s="675"/>
    </row>
    <row r="460" spans="1:5">
      <c r="A460" s="675"/>
      <c r="B460" s="675"/>
      <c r="C460" s="675"/>
      <c r="D460" s="675"/>
      <c r="E460" s="675"/>
    </row>
    <row r="461" spans="1:5">
      <c r="A461" s="675"/>
      <c r="B461" s="675"/>
      <c r="C461" s="675"/>
      <c r="D461" s="675"/>
      <c r="E461" s="675"/>
    </row>
    <row r="462" spans="1:5">
      <c r="A462" s="675"/>
      <c r="B462" s="675"/>
      <c r="C462" s="675"/>
      <c r="D462" s="675"/>
      <c r="E462" s="675"/>
    </row>
    <row r="463" spans="1:5">
      <c r="A463" s="675"/>
      <c r="B463" s="675"/>
      <c r="C463" s="675"/>
      <c r="D463" s="675"/>
      <c r="E463" s="675"/>
    </row>
    <row r="464" spans="1:5">
      <c r="A464" s="675"/>
      <c r="B464" s="675"/>
      <c r="C464" s="675"/>
      <c r="D464" s="675"/>
      <c r="E464" s="675"/>
    </row>
    <row r="465" spans="1:5">
      <c r="A465" s="675"/>
      <c r="B465" s="675"/>
      <c r="C465" s="675"/>
      <c r="D465" s="675"/>
      <c r="E465" s="675"/>
    </row>
    <row r="466" spans="1:5">
      <c r="A466" s="675"/>
      <c r="B466" s="675"/>
      <c r="C466" s="675"/>
      <c r="D466" s="675"/>
      <c r="E466" s="675"/>
    </row>
    <row r="467" spans="1:5">
      <c r="A467" s="675"/>
      <c r="B467" s="675"/>
      <c r="C467" s="675"/>
      <c r="D467" s="675"/>
      <c r="E467" s="675"/>
    </row>
    <row r="468" spans="1:5">
      <c r="A468" s="675"/>
      <c r="B468" s="675"/>
      <c r="C468" s="675"/>
      <c r="D468" s="675"/>
      <c r="E468" s="675"/>
    </row>
    <row r="469" spans="1:5">
      <c r="A469" s="675"/>
      <c r="B469" s="675"/>
      <c r="C469" s="675"/>
      <c r="D469" s="675"/>
      <c r="E469" s="675"/>
    </row>
    <row r="470" spans="1:5">
      <c r="A470" s="675"/>
      <c r="B470" s="675"/>
      <c r="C470" s="675"/>
      <c r="D470" s="675"/>
      <c r="E470" s="675"/>
    </row>
    <row r="471" spans="1:5">
      <c r="A471" s="675"/>
      <c r="B471" s="675"/>
      <c r="C471" s="675"/>
      <c r="D471" s="675"/>
      <c r="E471" s="675"/>
    </row>
    <row r="472" spans="1:5">
      <c r="A472" s="675"/>
      <c r="B472" s="675"/>
      <c r="C472" s="675"/>
      <c r="D472" s="675"/>
      <c r="E472" s="675"/>
    </row>
    <row r="473" spans="1:5">
      <c r="A473" s="675"/>
      <c r="B473" s="675"/>
      <c r="C473" s="675"/>
      <c r="D473" s="675"/>
      <c r="E473" s="675"/>
    </row>
    <row r="474" spans="1:5">
      <c r="A474" s="675"/>
      <c r="B474" s="675"/>
      <c r="C474" s="675"/>
      <c r="D474" s="675"/>
      <c r="E474" s="675"/>
    </row>
    <row r="475" spans="1:5">
      <c r="A475" s="675"/>
      <c r="B475" s="675"/>
      <c r="C475" s="675"/>
      <c r="D475" s="675"/>
      <c r="E475" s="675"/>
    </row>
    <row r="476" spans="1:5">
      <c r="A476" s="675"/>
      <c r="B476" s="675"/>
      <c r="C476" s="675"/>
      <c r="D476" s="675"/>
      <c r="E476" s="675"/>
    </row>
    <row r="477" spans="1:5">
      <c r="A477" s="675"/>
      <c r="B477" s="675"/>
      <c r="C477" s="675"/>
      <c r="D477" s="675"/>
      <c r="E477" s="675"/>
    </row>
    <row r="478" spans="1:5">
      <c r="A478" s="675"/>
      <c r="B478" s="675"/>
      <c r="C478" s="675"/>
      <c r="D478" s="675"/>
      <c r="E478" s="675"/>
    </row>
    <row r="479" spans="1:5">
      <c r="A479" s="675"/>
      <c r="B479" s="675"/>
      <c r="C479" s="675"/>
      <c r="D479" s="675"/>
      <c r="E479" s="675"/>
    </row>
    <row r="480" spans="1:5">
      <c r="A480" s="675"/>
      <c r="B480" s="675"/>
      <c r="C480" s="675"/>
      <c r="D480" s="675"/>
      <c r="E480" s="675"/>
    </row>
    <row r="481" spans="1:5">
      <c r="A481" s="675"/>
      <c r="B481" s="675"/>
      <c r="C481" s="675"/>
      <c r="D481" s="675"/>
      <c r="E481" s="675"/>
    </row>
    <row r="482" spans="1:5">
      <c r="A482" s="675"/>
      <c r="B482" s="675"/>
      <c r="C482" s="675"/>
      <c r="D482" s="675"/>
      <c r="E482" s="675"/>
    </row>
    <row r="483" spans="1:5">
      <c r="A483" s="675"/>
      <c r="B483" s="675"/>
      <c r="C483" s="675"/>
      <c r="D483" s="675"/>
      <c r="E483" s="675"/>
    </row>
    <row r="484" spans="1:5">
      <c r="A484" s="675"/>
      <c r="B484" s="675"/>
      <c r="C484" s="675"/>
      <c r="D484" s="675"/>
      <c r="E484" s="675"/>
    </row>
    <row r="485" spans="1:5">
      <c r="A485" s="675"/>
      <c r="B485" s="675"/>
      <c r="C485" s="675"/>
      <c r="D485" s="675"/>
      <c r="E485" s="675"/>
    </row>
    <row r="486" spans="1:5">
      <c r="A486" s="675"/>
      <c r="B486" s="675"/>
      <c r="C486" s="675"/>
      <c r="D486" s="675"/>
      <c r="E486" s="675"/>
    </row>
    <row r="487" spans="1:5">
      <c r="A487" s="675"/>
      <c r="B487" s="675"/>
      <c r="C487" s="675"/>
      <c r="D487" s="675"/>
      <c r="E487" s="675"/>
    </row>
    <row r="488" spans="1:5">
      <c r="A488" s="675"/>
      <c r="B488" s="675"/>
      <c r="C488" s="675"/>
      <c r="D488" s="675"/>
      <c r="E488" s="675"/>
    </row>
    <row r="489" spans="1:5">
      <c r="A489" s="675"/>
      <c r="B489" s="675"/>
      <c r="C489" s="675"/>
      <c r="D489" s="675"/>
      <c r="E489" s="675"/>
    </row>
    <row r="490" spans="1:5">
      <c r="A490" s="675"/>
      <c r="B490" s="675"/>
      <c r="C490" s="675"/>
      <c r="D490" s="675"/>
      <c r="E490" s="675"/>
    </row>
    <row r="491" spans="1:5">
      <c r="A491" s="675"/>
      <c r="B491" s="675"/>
      <c r="C491" s="675"/>
      <c r="D491" s="675"/>
      <c r="E491" s="675"/>
    </row>
    <row r="492" spans="1:5">
      <c r="A492" s="675"/>
      <c r="B492" s="675"/>
      <c r="C492" s="675"/>
      <c r="D492" s="675"/>
      <c r="E492" s="675"/>
    </row>
    <row r="493" spans="1:5">
      <c r="A493" s="675"/>
      <c r="B493" s="675"/>
      <c r="C493" s="675"/>
      <c r="D493" s="675"/>
      <c r="E493" s="675"/>
    </row>
    <row r="494" spans="1:5">
      <c r="A494" s="675"/>
      <c r="B494" s="675"/>
      <c r="C494" s="675"/>
      <c r="D494" s="675"/>
      <c r="E494" s="675"/>
    </row>
    <row r="495" spans="1:5">
      <c r="A495" s="675"/>
      <c r="B495" s="675"/>
      <c r="C495" s="675"/>
      <c r="D495" s="675"/>
      <c r="E495" s="675"/>
    </row>
    <row r="496" spans="1:5">
      <c r="A496" s="675"/>
      <c r="B496" s="675"/>
      <c r="C496" s="675"/>
      <c r="D496" s="675"/>
      <c r="E496" s="675"/>
    </row>
    <row r="497" spans="1:5">
      <c r="A497" s="675"/>
      <c r="B497" s="675"/>
      <c r="C497" s="675"/>
      <c r="D497" s="675"/>
      <c r="E497" s="675"/>
    </row>
    <row r="498" spans="1:5">
      <c r="A498" s="675"/>
      <c r="B498" s="675"/>
      <c r="C498" s="675"/>
      <c r="D498" s="675"/>
      <c r="E498" s="675"/>
    </row>
    <row r="499" spans="1:5">
      <c r="A499" s="675"/>
      <c r="B499" s="675"/>
      <c r="C499" s="675"/>
      <c r="D499" s="675"/>
      <c r="E499" s="675"/>
    </row>
    <row r="500" spans="1:5">
      <c r="A500" s="675"/>
      <c r="B500" s="675"/>
      <c r="C500" s="675"/>
      <c r="D500" s="675"/>
      <c r="E500" s="675"/>
    </row>
    <row r="501" spans="1:5">
      <c r="A501" s="675"/>
      <c r="B501" s="675"/>
      <c r="C501" s="675"/>
      <c r="D501" s="675"/>
      <c r="E501" s="675"/>
    </row>
    <row r="502" spans="1:5">
      <c r="A502" s="675"/>
      <c r="B502" s="675"/>
      <c r="C502" s="675"/>
      <c r="D502" s="675"/>
      <c r="E502" s="675"/>
    </row>
    <row r="503" spans="1:5">
      <c r="A503" s="675"/>
      <c r="B503" s="675"/>
      <c r="C503" s="675"/>
      <c r="D503" s="675"/>
      <c r="E503" s="675"/>
    </row>
    <row r="504" spans="1:5">
      <c r="A504" s="675"/>
      <c r="B504" s="675"/>
      <c r="C504" s="675"/>
      <c r="D504" s="675"/>
      <c r="E504" s="675"/>
    </row>
    <row r="505" spans="1:5">
      <c r="A505" s="675"/>
      <c r="B505" s="675"/>
      <c r="C505" s="675"/>
      <c r="D505" s="675"/>
      <c r="E505" s="675"/>
    </row>
    <row r="506" spans="1:5">
      <c r="A506" s="675"/>
      <c r="B506" s="675"/>
      <c r="C506" s="675"/>
      <c r="D506" s="675"/>
      <c r="E506" s="675"/>
    </row>
    <row r="507" spans="1:5">
      <c r="A507" s="675"/>
      <c r="B507" s="675"/>
      <c r="C507" s="675"/>
      <c r="D507" s="675"/>
      <c r="E507" s="675"/>
    </row>
    <row r="508" spans="1:5">
      <c r="A508" s="675"/>
      <c r="B508" s="675"/>
      <c r="C508" s="675"/>
      <c r="D508" s="675"/>
      <c r="E508" s="675"/>
    </row>
    <row r="509" spans="1:5">
      <c r="A509" s="675"/>
      <c r="B509" s="675"/>
      <c r="C509" s="675"/>
      <c r="D509" s="675"/>
      <c r="E509" s="675"/>
    </row>
    <row r="510" spans="1:5">
      <c r="A510" s="675"/>
      <c r="B510" s="675"/>
      <c r="C510" s="675"/>
      <c r="D510" s="675"/>
      <c r="E510" s="675"/>
    </row>
    <row r="511" spans="1:5">
      <c r="A511" s="675"/>
      <c r="B511" s="675"/>
      <c r="C511" s="675"/>
      <c r="D511" s="675"/>
      <c r="E511" s="675"/>
    </row>
    <row r="512" spans="1:5">
      <c r="A512" s="675"/>
      <c r="B512" s="675"/>
      <c r="C512" s="675"/>
      <c r="D512" s="675"/>
      <c r="E512" s="675"/>
    </row>
    <row r="513" spans="1:5">
      <c r="A513" s="675"/>
      <c r="B513" s="675"/>
      <c r="C513" s="675"/>
      <c r="D513" s="675"/>
      <c r="E513" s="675"/>
    </row>
    <row r="514" spans="1:5">
      <c r="A514" s="675"/>
      <c r="B514" s="675"/>
      <c r="C514" s="675"/>
      <c r="D514" s="675"/>
      <c r="E514" s="675"/>
    </row>
    <row r="515" spans="1:5">
      <c r="A515" s="675"/>
      <c r="B515" s="675"/>
      <c r="C515" s="675"/>
      <c r="D515" s="675"/>
      <c r="E515" s="675"/>
    </row>
    <row r="516" spans="1:5">
      <c r="A516" s="675"/>
      <c r="B516" s="675"/>
      <c r="C516" s="675"/>
      <c r="D516" s="675"/>
      <c r="E516" s="675"/>
    </row>
    <row r="517" spans="1:5">
      <c r="A517" s="675"/>
      <c r="B517" s="675"/>
      <c r="C517" s="675"/>
      <c r="D517" s="675"/>
      <c r="E517" s="675"/>
    </row>
    <row r="518" spans="1:5">
      <c r="A518" s="675"/>
      <c r="B518" s="675"/>
      <c r="C518" s="675"/>
      <c r="D518" s="675"/>
      <c r="E518" s="675"/>
    </row>
    <row r="519" spans="1:5">
      <c r="A519" s="675"/>
      <c r="B519" s="675"/>
      <c r="C519" s="675"/>
      <c r="D519" s="675"/>
      <c r="E519" s="675"/>
    </row>
    <row r="520" spans="1:5">
      <c r="A520" s="675"/>
      <c r="B520" s="675"/>
      <c r="C520" s="675"/>
      <c r="D520" s="675"/>
      <c r="E520" s="675"/>
    </row>
    <row r="521" spans="1:5">
      <c r="A521" s="675"/>
      <c r="B521" s="675"/>
      <c r="C521" s="675"/>
      <c r="D521" s="675"/>
      <c r="E521" s="675"/>
    </row>
    <row r="522" spans="1:5">
      <c r="A522" s="675"/>
      <c r="B522" s="675"/>
      <c r="C522" s="675"/>
      <c r="D522" s="675"/>
      <c r="E522" s="675"/>
    </row>
    <row r="523" spans="1:5">
      <c r="A523" s="675"/>
      <c r="B523" s="675"/>
      <c r="C523" s="675"/>
      <c r="D523" s="675"/>
      <c r="E523" s="675"/>
    </row>
    <row r="524" spans="1:5">
      <c r="A524" s="675"/>
      <c r="B524" s="675"/>
      <c r="C524" s="675"/>
      <c r="D524" s="675"/>
      <c r="E524" s="675"/>
    </row>
    <row r="525" spans="1:5">
      <c r="A525" s="675"/>
      <c r="B525" s="675"/>
      <c r="C525" s="675"/>
      <c r="D525" s="675"/>
      <c r="E525" s="675"/>
    </row>
    <row r="526" spans="1:5">
      <c r="A526" s="675"/>
      <c r="B526" s="675"/>
      <c r="C526" s="675"/>
      <c r="D526" s="675"/>
      <c r="E526" s="675"/>
    </row>
    <row r="527" spans="1:5">
      <c r="A527" s="675"/>
      <c r="B527" s="675"/>
      <c r="C527" s="675"/>
      <c r="D527" s="675"/>
      <c r="E527" s="675"/>
    </row>
    <row r="528" spans="1:5">
      <c r="A528" s="675"/>
      <c r="B528" s="675"/>
      <c r="C528" s="675"/>
      <c r="D528" s="675"/>
      <c r="E528" s="675"/>
    </row>
    <row r="529" spans="1:5">
      <c r="A529" s="675"/>
      <c r="B529" s="675"/>
      <c r="C529" s="675"/>
      <c r="D529" s="675"/>
      <c r="E529" s="675"/>
    </row>
    <row r="530" spans="1:5">
      <c r="A530" s="675"/>
      <c r="B530" s="675"/>
      <c r="C530" s="675"/>
      <c r="D530" s="675"/>
      <c r="E530" s="675"/>
    </row>
    <row r="531" spans="1:5">
      <c r="A531" s="675"/>
      <c r="B531" s="675"/>
      <c r="C531" s="675"/>
      <c r="D531" s="675"/>
      <c r="E531" s="675"/>
    </row>
    <row r="532" spans="1:5">
      <c r="A532" s="675"/>
      <c r="B532" s="675"/>
      <c r="C532" s="675"/>
      <c r="D532" s="675"/>
      <c r="E532" s="675"/>
    </row>
    <row r="533" spans="1:5">
      <c r="A533" s="675"/>
      <c r="B533" s="675"/>
      <c r="C533" s="675"/>
      <c r="D533" s="675"/>
      <c r="E533" s="675"/>
    </row>
    <row r="534" spans="1:5">
      <c r="A534" s="675"/>
      <c r="B534" s="675"/>
      <c r="C534" s="675"/>
      <c r="D534" s="675"/>
      <c r="E534" s="675"/>
    </row>
    <row r="535" spans="1:5">
      <c r="A535" s="675"/>
      <c r="B535" s="675"/>
      <c r="C535" s="675"/>
      <c r="D535" s="675"/>
      <c r="E535" s="675"/>
    </row>
    <row r="536" spans="1:5">
      <c r="A536" s="675"/>
      <c r="B536" s="675"/>
      <c r="C536" s="675"/>
      <c r="D536" s="675"/>
      <c r="E536" s="675"/>
    </row>
    <row r="537" spans="1:5">
      <c r="A537" s="675"/>
      <c r="B537" s="675"/>
      <c r="C537" s="675"/>
      <c r="D537" s="675"/>
      <c r="E537" s="675"/>
    </row>
    <row r="538" spans="1:5">
      <c r="A538" s="675"/>
      <c r="B538" s="675"/>
      <c r="C538" s="675"/>
      <c r="D538" s="675"/>
      <c r="E538" s="675"/>
    </row>
    <row r="539" spans="1:5">
      <c r="A539" s="675"/>
      <c r="B539" s="675"/>
      <c r="C539" s="675"/>
      <c r="D539" s="675"/>
      <c r="E539" s="675"/>
    </row>
    <row r="540" spans="1:5">
      <c r="A540" s="675"/>
      <c r="B540" s="675"/>
      <c r="C540" s="675"/>
      <c r="D540" s="675"/>
      <c r="E540" s="675"/>
    </row>
    <row r="541" spans="1:5">
      <c r="A541" s="675"/>
      <c r="B541" s="675"/>
      <c r="C541" s="675"/>
      <c r="D541" s="675"/>
      <c r="E541" s="675"/>
    </row>
    <row r="542" spans="1:5">
      <c r="A542" s="675"/>
      <c r="B542" s="675"/>
      <c r="C542" s="675"/>
      <c r="D542" s="675"/>
      <c r="E542" s="675"/>
    </row>
    <row r="543" spans="1:5">
      <c r="A543" s="675"/>
      <c r="B543" s="675"/>
      <c r="C543" s="675"/>
      <c r="D543" s="675"/>
      <c r="E543" s="675"/>
    </row>
    <row r="544" spans="1:5">
      <c r="A544" s="675"/>
      <c r="B544" s="675"/>
      <c r="C544" s="675"/>
      <c r="D544" s="675"/>
      <c r="E544" s="675"/>
    </row>
    <row r="545" spans="1:5">
      <c r="A545" s="675"/>
      <c r="B545" s="675"/>
      <c r="C545" s="675"/>
      <c r="D545" s="675"/>
      <c r="E545" s="675"/>
    </row>
    <row r="546" spans="1:5">
      <c r="A546" s="675"/>
      <c r="B546" s="675"/>
      <c r="C546" s="675"/>
      <c r="D546" s="675"/>
      <c r="E546" s="675"/>
    </row>
    <row r="547" spans="1:5">
      <c r="A547" s="675"/>
      <c r="B547" s="675"/>
      <c r="C547" s="675"/>
      <c r="D547" s="675"/>
      <c r="E547" s="675"/>
    </row>
    <row r="548" spans="1:5">
      <c r="A548" s="675"/>
      <c r="B548" s="675"/>
      <c r="C548" s="675"/>
      <c r="D548" s="675"/>
      <c r="E548" s="675"/>
    </row>
    <row r="549" spans="1:5">
      <c r="A549" s="675"/>
      <c r="B549" s="675"/>
      <c r="C549" s="675"/>
      <c r="D549" s="675"/>
      <c r="E549" s="675"/>
    </row>
    <row r="550" spans="1:5">
      <c r="A550" s="675"/>
      <c r="B550" s="675"/>
      <c r="C550" s="675"/>
      <c r="D550" s="675"/>
      <c r="E550" s="675"/>
    </row>
    <row r="551" spans="1:5">
      <c r="A551" s="675"/>
      <c r="B551" s="675"/>
      <c r="C551" s="675"/>
      <c r="D551" s="675"/>
      <c r="E551" s="675"/>
    </row>
    <row r="552" spans="1:5">
      <c r="A552" s="675"/>
      <c r="B552" s="675"/>
      <c r="C552" s="675"/>
      <c r="D552" s="675"/>
      <c r="E552" s="675"/>
    </row>
    <row r="553" spans="1:5">
      <c r="A553" s="675"/>
      <c r="B553" s="675"/>
      <c r="C553" s="675"/>
      <c r="D553" s="675"/>
      <c r="E553" s="675"/>
    </row>
    <row r="554" spans="1:5">
      <c r="A554" s="675"/>
      <c r="B554" s="675"/>
      <c r="C554" s="675"/>
      <c r="D554" s="675"/>
      <c r="E554" s="675"/>
    </row>
    <row r="555" spans="1:5">
      <c r="A555" s="675"/>
      <c r="B555" s="675"/>
      <c r="C555" s="675"/>
      <c r="D555" s="675"/>
      <c r="E555" s="675"/>
    </row>
    <row r="556" spans="1:5">
      <c r="A556" s="675"/>
      <c r="B556" s="675"/>
      <c r="C556" s="675"/>
      <c r="D556" s="675"/>
      <c r="E556" s="675"/>
    </row>
    <row r="557" spans="1:5">
      <c r="A557" s="675"/>
      <c r="B557" s="675"/>
      <c r="C557" s="675"/>
      <c r="D557" s="675"/>
      <c r="E557" s="675"/>
    </row>
    <row r="558" spans="1:5">
      <c r="A558" s="675"/>
      <c r="B558" s="675"/>
      <c r="C558" s="675"/>
      <c r="D558" s="675"/>
      <c r="E558" s="675"/>
    </row>
    <row r="559" spans="1:5">
      <c r="A559" s="675"/>
      <c r="B559" s="675"/>
      <c r="C559" s="675"/>
      <c r="D559" s="675"/>
      <c r="E559" s="675"/>
    </row>
    <row r="560" spans="1:5">
      <c r="A560" s="675"/>
      <c r="B560" s="675"/>
      <c r="C560" s="675"/>
      <c r="D560" s="675"/>
      <c r="E560" s="675"/>
    </row>
    <row r="561" spans="1:5">
      <c r="A561" s="675"/>
      <c r="B561" s="675"/>
      <c r="C561" s="675"/>
      <c r="D561" s="675"/>
      <c r="E561" s="675"/>
    </row>
    <row r="562" spans="1:5">
      <c r="A562" s="675"/>
      <c r="B562" s="675"/>
      <c r="C562" s="675"/>
      <c r="D562" s="675"/>
      <c r="E562" s="675"/>
    </row>
    <row r="563" spans="1:5">
      <c r="A563" s="675"/>
      <c r="B563" s="675"/>
      <c r="C563" s="675"/>
      <c r="D563" s="675"/>
      <c r="E563" s="675"/>
    </row>
    <row r="564" spans="1:5">
      <c r="A564" s="675"/>
      <c r="B564" s="675"/>
      <c r="C564" s="675"/>
      <c r="D564" s="675"/>
      <c r="E564" s="675"/>
    </row>
    <row r="565" spans="1:5">
      <c r="A565" s="675"/>
      <c r="B565" s="675"/>
      <c r="C565" s="675"/>
      <c r="D565" s="675"/>
      <c r="E565" s="675"/>
    </row>
    <row r="566" spans="1:5">
      <c r="A566" s="675"/>
      <c r="B566" s="675"/>
      <c r="C566" s="675"/>
      <c r="D566" s="675"/>
      <c r="E566" s="675"/>
    </row>
    <row r="567" spans="1:5">
      <c r="A567" s="675"/>
      <c r="B567" s="675"/>
      <c r="C567" s="675"/>
      <c r="D567" s="675"/>
      <c r="E567" s="675"/>
    </row>
    <row r="568" spans="1:5">
      <c r="A568" s="675"/>
      <c r="B568" s="675"/>
      <c r="C568" s="675"/>
      <c r="D568" s="675"/>
      <c r="E568" s="675"/>
    </row>
    <row r="569" spans="1:5">
      <c r="A569" s="675"/>
      <c r="B569" s="675"/>
      <c r="C569" s="675"/>
      <c r="D569" s="675"/>
      <c r="E569" s="675"/>
    </row>
    <row r="570" spans="1:5">
      <c r="A570" s="675"/>
      <c r="B570" s="675"/>
      <c r="C570" s="675"/>
      <c r="D570" s="675"/>
      <c r="E570" s="675"/>
    </row>
    <row r="571" spans="1:5">
      <c r="A571" s="675"/>
      <c r="B571" s="675"/>
      <c r="C571" s="675"/>
      <c r="D571" s="675"/>
      <c r="E571" s="675"/>
    </row>
    <row r="572" spans="1:5">
      <c r="A572" s="675"/>
      <c r="B572" s="675"/>
      <c r="C572" s="675"/>
      <c r="D572" s="675"/>
      <c r="E572" s="675"/>
    </row>
    <row r="573" spans="1:5">
      <c r="A573" s="675"/>
      <c r="B573" s="675"/>
      <c r="C573" s="675"/>
      <c r="D573" s="675"/>
      <c r="E573" s="675"/>
    </row>
    <row r="574" spans="1:5">
      <c r="A574" s="675"/>
      <c r="B574" s="675"/>
      <c r="C574" s="675"/>
      <c r="D574" s="675"/>
      <c r="E574" s="675"/>
    </row>
    <row r="575" spans="1:5">
      <c r="A575" s="675"/>
      <c r="B575" s="675"/>
      <c r="C575" s="675"/>
      <c r="D575" s="675"/>
      <c r="E575" s="675"/>
    </row>
    <row r="576" spans="1:5">
      <c r="A576" s="675"/>
      <c r="B576" s="675"/>
      <c r="C576" s="675"/>
      <c r="D576" s="675"/>
      <c r="E576" s="675"/>
    </row>
    <row r="577" spans="1:5">
      <c r="A577" s="675"/>
      <c r="B577" s="675"/>
      <c r="C577" s="675"/>
      <c r="D577" s="675"/>
      <c r="E577" s="675"/>
    </row>
    <row r="578" spans="1:5">
      <c r="A578" s="675"/>
      <c r="B578" s="675"/>
      <c r="C578" s="675"/>
      <c r="D578" s="675"/>
      <c r="E578" s="675"/>
    </row>
    <row r="579" spans="1:5">
      <c r="A579" s="675"/>
      <c r="B579" s="675"/>
      <c r="C579" s="675"/>
      <c r="D579" s="675"/>
      <c r="E579" s="675"/>
    </row>
    <row r="580" spans="1:5">
      <c r="A580" s="675"/>
      <c r="B580" s="675"/>
      <c r="C580" s="675"/>
      <c r="D580" s="675"/>
      <c r="E580" s="675"/>
    </row>
    <row r="581" spans="1:5">
      <c r="A581" s="675"/>
      <c r="B581" s="675"/>
      <c r="C581" s="675"/>
      <c r="D581" s="675"/>
      <c r="E581" s="675"/>
    </row>
    <row r="582" spans="1:5">
      <c r="A582" s="675"/>
      <c r="B582" s="675"/>
      <c r="C582" s="675"/>
      <c r="D582" s="675"/>
      <c r="E582" s="675"/>
    </row>
    <row r="583" spans="1:5">
      <c r="A583" s="675"/>
      <c r="B583" s="675"/>
      <c r="C583" s="675"/>
      <c r="D583" s="675"/>
      <c r="E583" s="675"/>
    </row>
    <row r="584" spans="1:5">
      <c r="A584" s="675"/>
      <c r="B584" s="675"/>
      <c r="C584" s="675"/>
      <c r="D584" s="675"/>
      <c r="E584" s="675"/>
    </row>
    <row r="585" spans="1:5">
      <c r="A585" s="675"/>
      <c r="B585" s="675"/>
      <c r="C585" s="675"/>
      <c r="D585" s="675"/>
      <c r="E585" s="675"/>
    </row>
    <row r="586" spans="1:5">
      <c r="A586" s="675"/>
      <c r="B586" s="675"/>
      <c r="C586" s="675"/>
      <c r="D586" s="675"/>
      <c r="E586" s="675"/>
    </row>
    <row r="587" spans="1:5">
      <c r="A587" s="675"/>
      <c r="B587" s="675"/>
      <c r="C587" s="675"/>
      <c r="D587" s="675"/>
      <c r="E587" s="675"/>
    </row>
    <row r="588" spans="1:5">
      <c r="A588" s="675"/>
      <c r="B588" s="675"/>
      <c r="C588" s="675"/>
      <c r="D588" s="675"/>
      <c r="E588" s="675"/>
    </row>
    <row r="589" spans="1:5">
      <c r="A589" s="675"/>
      <c r="B589" s="675"/>
      <c r="C589" s="675"/>
      <c r="D589" s="675"/>
      <c r="E589" s="675"/>
    </row>
    <row r="590" spans="1:5">
      <c r="A590" s="675"/>
      <c r="B590" s="675"/>
      <c r="C590" s="675"/>
      <c r="D590" s="675"/>
      <c r="E590" s="675"/>
    </row>
    <row r="591" spans="1:5">
      <c r="A591" s="675"/>
      <c r="B591" s="675"/>
      <c r="C591" s="675"/>
      <c r="D591" s="675"/>
      <c r="E591" s="675"/>
    </row>
    <row r="592" spans="1:5">
      <c r="A592" s="675"/>
      <c r="B592" s="675"/>
      <c r="C592" s="675"/>
      <c r="D592" s="675"/>
      <c r="E592" s="675"/>
    </row>
    <row r="593" spans="1:5">
      <c r="A593" s="675"/>
      <c r="B593" s="675"/>
      <c r="C593" s="675"/>
      <c r="D593" s="675"/>
      <c r="E593" s="675"/>
    </row>
    <row r="594" spans="1:5">
      <c r="A594" s="675"/>
      <c r="B594" s="675"/>
      <c r="C594" s="675"/>
      <c r="D594" s="675"/>
      <c r="E594" s="675"/>
    </row>
    <row r="595" spans="1:5">
      <c r="A595" s="675"/>
      <c r="B595" s="675"/>
      <c r="C595" s="675"/>
      <c r="D595" s="675"/>
      <c r="E595" s="675"/>
    </row>
    <row r="596" spans="1:5">
      <c r="A596" s="675"/>
      <c r="B596" s="675"/>
      <c r="C596" s="675"/>
      <c r="D596" s="675"/>
      <c r="E596" s="675"/>
    </row>
    <row r="597" spans="1:5">
      <c r="A597" s="675"/>
      <c r="B597" s="675"/>
      <c r="C597" s="675"/>
      <c r="D597" s="675"/>
      <c r="E597" s="675"/>
    </row>
    <row r="598" spans="1:5">
      <c r="A598" s="675"/>
      <c r="B598" s="675"/>
      <c r="C598" s="675"/>
      <c r="D598" s="675"/>
      <c r="E598" s="675"/>
    </row>
    <row r="599" spans="1:5">
      <c r="A599" s="675"/>
      <c r="B599" s="675"/>
      <c r="C599" s="675"/>
      <c r="D599" s="675"/>
      <c r="E599" s="675"/>
    </row>
    <row r="600" spans="1:5">
      <c r="A600" s="675"/>
      <c r="B600" s="675"/>
      <c r="C600" s="675"/>
      <c r="D600" s="675"/>
      <c r="E600" s="675"/>
    </row>
    <row r="601" spans="1:5">
      <c r="A601" s="675"/>
      <c r="B601" s="675"/>
      <c r="C601" s="675"/>
      <c r="D601" s="675"/>
      <c r="E601" s="675"/>
    </row>
    <row r="602" spans="1:5">
      <c r="A602" s="675"/>
      <c r="B602" s="675"/>
      <c r="C602" s="675"/>
      <c r="D602" s="675"/>
      <c r="E602" s="675"/>
    </row>
    <row r="603" spans="1:5">
      <c r="A603" s="675"/>
      <c r="B603" s="675"/>
      <c r="C603" s="675"/>
      <c r="D603" s="675"/>
      <c r="E603" s="675"/>
    </row>
    <row r="604" spans="1:5">
      <c r="A604" s="675"/>
      <c r="B604" s="675"/>
      <c r="C604" s="675"/>
      <c r="D604" s="675"/>
      <c r="E604" s="675"/>
    </row>
    <row r="605" spans="1:5">
      <c r="A605" s="675"/>
      <c r="B605" s="675"/>
      <c r="C605" s="675"/>
      <c r="D605" s="675"/>
      <c r="E605" s="675"/>
    </row>
    <row r="606" spans="1:5">
      <c r="A606" s="675"/>
      <c r="B606" s="675"/>
      <c r="C606" s="675"/>
      <c r="D606" s="675"/>
      <c r="E606" s="675"/>
    </row>
    <row r="607" spans="1:5">
      <c r="A607" s="675"/>
      <c r="B607" s="675"/>
      <c r="C607" s="675"/>
      <c r="D607" s="675"/>
      <c r="E607" s="675"/>
    </row>
    <row r="608" spans="1:5">
      <c r="A608" s="675"/>
      <c r="B608" s="675"/>
      <c r="C608" s="675"/>
      <c r="D608" s="675"/>
      <c r="E608" s="675"/>
    </row>
    <row r="609" spans="1:5">
      <c r="A609" s="675"/>
      <c r="B609" s="675"/>
      <c r="C609" s="675"/>
      <c r="D609" s="675"/>
      <c r="E609" s="675"/>
    </row>
    <row r="610" spans="1:5">
      <c r="A610" s="675"/>
      <c r="B610" s="675"/>
      <c r="C610" s="675"/>
      <c r="D610" s="675"/>
      <c r="E610" s="675"/>
    </row>
    <row r="611" spans="1:5">
      <c r="A611" s="675"/>
      <c r="B611" s="675"/>
      <c r="C611" s="675"/>
      <c r="D611" s="675"/>
      <c r="E611" s="675"/>
    </row>
    <row r="612" spans="1:5">
      <c r="A612" s="675"/>
      <c r="B612" s="675"/>
      <c r="C612" s="675"/>
      <c r="D612" s="675"/>
      <c r="E612" s="675"/>
    </row>
    <row r="613" spans="1:5">
      <c r="A613" s="675"/>
      <c r="B613" s="675"/>
      <c r="C613" s="675"/>
      <c r="D613" s="675"/>
      <c r="E613" s="675"/>
    </row>
    <row r="614" spans="1:5">
      <c r="A614" s="675"/>
      <c r="B614" s="675"/>
      <c r="C614" s="675"/>
      <c r="D614" s="675"/>
      <c r="E614" s="675"/>
    </row>
    <row r="615" spans="1:5">
      <c r="A615" s="675"/>
      <c r="B615" s="675"/>
      <c r="C615" s="675"/>
      <c r="D615" s="675"/>
      <c r="E615" s="675"/>
    </row>
    <row r="616" spans="1:5">
      <c r="A616" s="675"/>
      <c r="B616" s="675"/>
      <c r="C616" s="675"/>
      <c r="D616" s="675"/>
      <c r="E616" s="675"/>
    </row>
    <row r="617" spans="1:5">
      <c r="A617" s="675"/>
      <c r="B617" s="675"/>
      <c r="C617" s="675"/>
      <c r="D617" s="675"/>
      <c r="E617" s="675"/>
    </row>
    <row r="618" spans="1:5">
      <c r="A618" s="675"/>
      <c r="B618" s="675"/>
      <c r="C618" s="675"/>
      <c r="D618" s="675"/>
      <c r="E618" s="675"/>
    </row>
    <row r="619" spans="1:5">
      <c r="A619" s="675"/>
      <c r="B619" s="675"/>
      <c r="C619" s="675"/>
      <c r="D619" s="675"/>
      <c r="E619" s="675"/>
    </row>
    <row r="620" spans="1:5">
      <c r="A620" s="675"/>
      <c r="B620" s="675"/>
      <c r="C620" s="675"/>
      <c r="D620" s="675"/>
      <c r="E620" s="675"/>
    </row>
    <row r="621" spans="1:5">
      <c r="A621" s="675"/>
      <c r="B621" s="675"/>
      <c r="C621" s="675"/>
      <c r="D621" s="675"/>
      <c r="E621" s="675"/>
    </row>
    <row r="622" spans="1:5">
      <c r="A622" s="675"/>
      <c r="B622" s="675"/>
      <c r="C622" s="675"/>
      <c r="D622" s="675"/>
      <c r="E622" s="675"/>
    </row>
    <row r="623" spans="1:5">
      <c r="A623" s="675"/>
      <c r="B623" s="675"/>
      <c r="C623" s="675"/>
      <c r="D623" s="675"/>
      <c r="E623" s="675"/>
    </row>
    <row r="624" spans="1:5">
      <c r="A624" s="675"/>
      <c r="B624" s="675"/>
      <c r="C624" s="675"/>
      <c r="D624" s="675"/>
      <c r="E624" s="675"/>
    </row>
    <row r="625" spans="1:5">
      <c r="A625" s="675"/>
      <c r="B625" s="675"/>
      <c r="C625" s="675"/>
      <c r="D625" s="675"/>
      <c r="E625" s="675"/>
    </row>
    <row r="626" spans="1:5">
      <c r="A626" s="675"/>
      <c r="B626" s="675"/>
      <c r="C626" s="675"/>
      <c r="D626" s="675"/>
      <c r="E626" s="675"/>
    </row>
    <row r="627" spans="1:5">
      <c r="A627" s="675"/>
      <c r="B627" s="675"/>
      <c r="C627" s="675"/>
      <c r="D627" s="675"/>
      <c r="E627" s="675"/>
    </row>
    <row r="628" spans="1:5">
      <c r="A628" s="675"/>
      <c r="B628" s="675"/>
      <c r="C628" s="675"/>
      <c r="D628" s="675"/>
      <c r="E628" s="675"/>
    </row>
    <row r="629" spans="1:5">
      <c r="A629" s="675"/>
      <c r="B629" s="675"/>
      <c r="C629" s="675"/>
      <c r="D629" s="675"/>
      <c r="E629" s="675"/>
    </row>
    <row r="630" spans="1:5">
      <c r="A630" s="675"/>
      <c r="B630" s="675"/>
      <c r="C630" s="675"/>
      <c r="D630" s="675"/>
      <c r="E630" s="675"/>
    </row>
    <row r="631" spans="1:5">
      <c r="A631" s="675"/>
      <c r="B631" s="675"/>
      <c r="C631" s="675"/>
      <c r="D631" s="675"/>
      <c r="E631" s="675"/>
    </row>
    <row r="632" spans="1:5">
      <c r="A632" s="675"/>
      <c r="B632" s="675"/>
      <c r="C632" s="675"/>
      <c r="D632" s="675"/>
      <c r="E632" s="675"/>
    </row>
    <row r="633" spans="1:5">
      <c r="A633" s="675"/>
      <c r="B633" s="675"/>
      <c r="C633" s="675"/>
      <c r="D633" s="675"/>
      <c r="E633" s="675"/>
    </row>
    <row r="634" spans="1:5">
      <c r="A634" s="675"/>
      <c r="B634" s="675"/>
      <c r="C634" s="675"/>
      <c r="D634" s="675"/>
      <c r="E634" s="675"/>
    </row>
    <row r="635" spans="1:5">
      <c r="A635" s="675"/>
      <c r="B635" s="675"/>
      <c r="C635" s="675"/>
      <c r="D635" s="675"/>
      <c r="E635" s="675"/>
    </row>
    <row r="636" spans="1:5">
      <c r="A636" s="675"/>
      <c r="B636" s="675"/>
      <c r="C636" s="675"/>
      <c r="D636" s="675"/>
      <c r="E636" s="675"/>
    </row>
    <row r="637" spans="1:5">
      <c r="A637" s="675"/>
      <c r="B637" s="675"/>
      <c r="C637" s="675"/>
      <c r="D637" s="675"/>
      <c r="E637" s="675"/>
    </row>
    <row r="638" spans="1:5">
      <c r="A638" s="675"/>
      <c r="B638" s="675"/>
      <c r="C638" s="675"/>
      <c r="D638" s="675"/>
      <c r="E638" s="675"/>
    </row>
    <row r="639" spans="1:5">
      <c r="A639" s="675"/>
      <c r="B639" s="675"/>
      <c r="C639" s="675"/>
      <c r="D639" s="675"/>
      <c r="E639" s="675"/>
    </row>
    <row r="640" spans="1:5">
      <c r="A640" s="675"/>
      <c r="B640" s="675"/>
      <c r="C640" s="675"/>
      <c r="D640" s="675"/>
      <c r="E640" s="675"/>
    </row>
    <row r="641" spans="1:5">
      <c r="A641" s="675"/>
      <c r="B641" s="675"/>
      <c r="C641" s="675"/>
      <c r="D641" s="675"/>
      <c r="E641" s="675"/>
    </row>
    <row r="642" spans="1:5">
      <c r="A642" s="675"/>
      <c r="B642" s="675"/>
      <c r="C642" s="675"/>
      <c r="D642" s="675"/>
      <c r="E642" s="675"/>
    </row>
    <row r="643" spans="1:5">
      <c r="A643" s="675"/>
      <c r="B643" s="675"/>
      <c r="C643" s="675"/>
      <c r="D643" s="675"/>
      <c r="E643" s="675"/>
    </row>
    <row r="644" spans="1:5">
      <c r="A644" s="675"/>
      <c r="B644" s="675"/>
      <c r="C644" s="675"/>
      <c r="D644" s="675"/>
      <c r="E644" s="675"/>
    </row>
    <row r="645" spans="1:5">
      <c r="A645" s="675"/>
      <c r="B645" s="675"/>
      <c r="C645" s="675"/>
      <c r="D645" s="675"/>
      <c r="E645" s="675"/>
    </row>
    <row r="646" spans="1:5">
      <c r="A646" s="675"/>
      <c r="B646" s="675"/>
      <c r="C646" s="675"/>
      <c r="D646" s="675"/>
      <c r="E646" s="675"/>
    </row>
    <row r="647" spans="1:5">
      <c r="A647" s="675"/>
      <c r="B647" s="675"/>
      <c r="C647" s="675"/>
      <c r="D647" s="675"/>
      <c r="E647" s="675"/>
    </row>
    <row r="648" spans="1:5">
      <c r="A648" s="675"/>
      <c r="B648" s="675"/>
      <c r="C648" s="675"/>
      <c r="D648" s="675"/>
      <c r="E648" s="675"/>
    </row>
    <row r="649" spans="1:5">
      <c r="A649" s="675"/>
      <c r="B649" s="675"/>
      <c r="C649" s="675"/>
      <c r="D649" s="675"/>
      <c r="E649" s="675"/>
    </row>
    <row r="650" spans="1:5">
      <c r="A650" s="675"/>
      <c r="B650" s="675"/>
      <c r="C650" s="675"/>
      <c r="D650" s="675"/>
      <c r="E650" s="675"/>
    </row>
    <row r="651" spans="1:5">
      <c r="A651" s="675"/>
      <c r="B651" s="675"/>
      <c r="C651" s="675"/>
      <c r="D651" s="675"/>
      <c r="E651" s="675"/>
    </row>
    <row r="652" spans="1:5">
      <c r="A652" s="675"/>
      <c r="B652" s="675"/>
      <c r="C652" s="675"/>
      <c r="D652" s="675"/>
      <c r="E652" s="675"/>
    </row>
    <row r="653" spans="1:5">
      <c r="A653" s="675"/>
      <c r="B653" s="675"/>
      <c r="C653" s="675"/>
      <c r="D653" s="675"/>
      <c r="E653" s="675"/>
    </row>
    <row r="654" spans="1:5">
      <c r="A654" s="675"/>
      <c r="B654" s="675"/>
      <c r="C654" s="675"/>
      <c r="D654" s="675"/>
      <c r="E654" s="675"/>
    </row>
    <row r="655" spans="1:5">
      <c r="A655" s="675"/>
      <c r="B655" s="675"/>
      <c r="C655" s="675"/>
      <c r="D655" s="675"/>
      <c r="E655" s="675"/>
    </row>
    <row r="656" spans="1:5">
      <c r="A656" s="675"/>
      <c r="B656" s="675"/>
      <c r="C656" s="675"/>
      <c r="D656" s="675"/>
      <c r="E656" s="675"/>
    </row>
    <row r="657" spans="1:5">
      <c r="A657" s="675"/>
      <c r="B657" s="675"/>
      <c r="C657" s="675"/>
      <c r="D657" s="675"/>
      <c r="E657" s="675"/>
    </row>
    <row r="658" spans="1:5">
      <c r="A658" s="675"/>
      <c r="B658" s="675"/>
      <c r="C658" s="675"/>
      <c r="D658" s="675"/>
      <c r="E658" s="675"/>
    </row>
    <row r="659" spans="1:5">
      <c r="A659" s="675"/>
      <c r="B659" s="675"/>
      <c r="C659" s="675"/>
      <c r="D659" s="675"/>
      <c r="E659" s="675"/>
    </row>
    <row r="660" spans="1:5">
      <c r="A660" s="675"/>
      <c r="B660" s="675"/>
      <c r="C660" s="675"/>
      <c r="D660" s="675"/>
      <c r="E660" s="675"/>
    </row>
    <row r="661" spans="1:5">
      <c r="A661" s="675"/>
      <c r="B661" s="675"/>
      <c r="C661" s="675"/>
      <c r="D661" s="675"/>
      <c r="E661" s="675"/>
    </row>
    <row r="662" spans="1:5">
      <c r="A662" s="675"/>
      <c r="B662" s="675"/>
      <c r="C662" s="675"/>
      <c r="D662" s="675"/>
      <c r="E662" s="675"/>
    </row>
    <row r="663" spans="1:5">
      <c r="A663" s="675"/>
      <c r="B663" s="675"/>
      <c r="C663" s="675"/>
      <c r="D663" s="675"/>
      <c r="E663" s="675"/>
    </row>
    <row r="664" spans="1:5">
      <c r="A664" s="675"/>
      <c r="B664" s="675"/>
      <c r="C664" s="675"/>
      <c r="D664" s="675"/>
      <c r="E664" s="675"/>
    </row>
    <row r="665" spans="1:5">
      <c r="A665" s="675"/>
      <c r="B665" s="675"/>
      <c r="C665" s="675"/>
      <c r="D665" s="675"/>
      <c r="E665" s="675"/>
    </row>
    <row r="666" spans="1:5">
      <c r="A666" s="675"/>
      <c r="B666" s="675"/>
      <c r="C666" s="675"/>
      <c r="D666" s="675"/>
      <c r="E666" s="675"/>
    </row>
    <row r="667" spans="1:5">
      <c r="A667" s="675"/>
      <c r="B667" s="675"/>
      <c r="C667" s="675"/>
      <c r="D667" s="675"/>
      <c r="E667" s="675"/>
    </row>
    <row r="668" spans="1:5">
      <c r="A668" s="675"/>
      <c r="B668" s="675"/>
      <c r="C668" s="675"/>
      <c r="D668" s="675"/>
      <c r="E668" s="675"/>
    </row>
    <row r="669" spans="1:5">
      <c r="A669" s="675"/>
      <c r="B669" s="675"/>
      <c r="C669" s="675"/>
      <c r="D669" s="675"/>
      <c r="E669" s="675"/>
    </row>
    <row r="670" spans="1:5">
      <c r="A670" s="675"/>
      <c r="B670" s="675"/>
      <c r="C670" s="675"/>
      <c r="D670" s="675"/>
      <c r="E670" s="675"/>
    </row>
    <row r="671" spans="1:5">
      <c r="A671" s="675"/>
      <c r="B671" s="675"/>
      <c r="C671" s="675"/>
      <c r="D671" s="675"/>
      <c r="E671" s="675"/>
    </row>
    <row r="672" spans="1:5">
      <c r="A672" s="675"/>
      <c r="B672" s="675"/>
      <c r="C672" s="675"/>
      <c r="D672" s="675"/>
      <c r="E672" s="675"/>
    </row>
    <row r="673" spans="1:5">
      <c r="A673" s="675"/>
      <c r="B673" s="675"/>
      <c r="C673" s="675"/>
      <c r="D673" s="675"/>
      <c r="E673" s="675"/>
    </row>
    <row r="674" spans="1:5">
      <c r="A674" s="675"/>
      <c r="B674" s="675"/>
      <c r="C674" s="675"/>
      <c r="D674" s="675"/>
      <c r="E674" s="675"/>
    </row>
    <row r="675" spans="1:5">
      <c r="A675" s="675"/>
      <c r="B675" s="675"/>
      <c r="C675" s="675"/>
      <c r="D675" s="675"/>
      <c r="E675" s="675"/>
    </row>
    <row r="676" spans="1:5">
      <c r="A676" s="675"/>
      <c r="B676" s="675"/>
      <c r="C676" s="675"/>
      <c r="D676" s="675"/>
      <c r="E676" s="675"/>
    </row>
    <row r="677" spans="1:5">
      <c r="A677" s="675"/>
      <c r="B677" s="675"/>
      <c r="C677" s="675"/>
      <c r="D677" s="675"/>
      <c r="E677" s="675"/>
    </row>
    <row r="678" spans="1:5">
      <c r="A678" s="675"/>
      <c r="B678" s="675"/>
      <c r="C678" s="675"/>
      <c r="D678" s="675"/>
      <c r="E678" s="675"/>
    </row>
    <row r="679" spans="1:5">
      <c r="A679" s="675"/>
      <c r="B679" s="675"/>
      <c r="C679" s="675"/>
      <c r="D679" s="675"/>
      <c r="E679" s="675"/>
    </row>
    <row r="680" spans="1:5">
      <c r="A680" s="675"/>
      <c r="B680" s="675"/>
      <c r="C680" s="675"/>
      <c r="D680" s="675"/>
      <c r="E680" s="675"/>
    </row>
    <row r="681" spans="1:5">
      <c r="A681" s="675"/>
      <c r="B681" s="675"/>
      <c r="C681" s="675"/>
      <c r="D681" s="675"/>
      <c r="E681" s="675"/>
    </row>
    <row r="682" spans="1:5">
      <c r="A682" s="675"/>
      <c r="B682" s="675"/>
      <c r="C682" s="675"/>
      <c r="D682" s="675"/>
      <c r="E682" s="675"/>
    </row>
    <row r="683" spans="1:5">
      <c r="A683" s="675"/>
      <c r="B683" s="675"/>
      <c r="C683" s="675"/>
      <c r="D683" s="675"/>
      <c r="E683" s="675"/>
    </row>
    <row r="684" spans="1:5">
      <c r="A684" s="675"/>
      <c r="B684" s="675"/>
      <c r="C684" s="675"/>
      <c r="D684" s="675"/>
      <c r="E684" s="675"/>
    </row>
    <row r="685" spans="1:5">
      <c r="A685" s="675"/>
      <c r="B685" s="675"/>
      <c r="C685" s="675"/>
      <c r="D685" s="675"/>
      <c r="E685" s="675"/>
    </row>
    <row r="686" spans="1:5">
      <c r="A686" s="675"/>
      <c r="B686" s="675"/>
      <c r="C686" s="675"/>
      <c r="D686" s="675"/>
      <c r="E686" s="675"/>
    </row>
    <row r="687" spans="1:5">
      <c r="A687" s="675"/>
      <c r="B687" s="675"/>
      <c r="C687" s="675"/>
      <c r="D687" s="675"/>
      <c r="E687" s="675"/>
    </row>
    <row r="688" spans="1:5">
      <c r="A688" s="675"/>
      <c r="B688" s="675"/>
      <c r="C688" s="675"/>
      <c r="D688" s="675"/>
      <c r="E688" s="675"/>
    </row>
    <row r="689" spans="1:5">
      <c r="A689" s="675"/>
      <c r="B689" s="675"/>
      <c r="C689" s="675"/>
      <c r="D689" s="675"/>
      <c r="E689" s="675"/>
    </row>
    <row r="690" spans="1:5">
      <c r="A690" s="675"/>
      <c r="B690" s="675"/>
      <c r="C690" s="675"/>
      <c r="D690" s="675"/>
      <c r="E690" s="675"/>
    </row>
    <row r="691" spans="1:5">
      <c r="A691" s="675"/>
      <c r="B691" s="675"/>
      <c r="C691" s="675"/>
      <c r="D691" s="675"/>
      <c r="E691" s="675"/>
    </row>
    <row r="692" spans="1:5">
      <c r="A692" s="675"/>
      <c r="B692" s="675"/>
      <c r="C692" s="675"/>
      <c r="D692" s="675"/>
      <c r="E692" s="675"/>
    </row>
    <row r="693" spans="1:5">
      <c r="A693" s="675"/>
      <c r="B693" s="675"/>
      <c r="C693" s="675"/>
      <c r="D693" s="675"/>
      <c r="E693" s="675"/>
    </row>
    <row r="694" spans="1:5">
      <c r="A694" s="675"/>
      <c r="B694" s="675"/>
      <c r="C694" s="675"/>
      <c r="D694" s="675"/>
      <c r="E694" s="675"/>
    </row>
    <row r="695" spans="1:5">
      <c r="A695" s="675"/>
      <c r="B695" s="675"/>
      <c r="C695" s="675"/>
      <c r="D695" s="675"/>
      <c r="E695" s="675"/>
    </row>
    <row r="696" spans="1:5">
      <c r="A696" s="675"/>
      <c r="B696" s="675"/>
      <c r="C696" s="675"/>
      <c r="D696" s="675"/>
      <c r="E696" s="675"/>
    </row>
    <row r="697" spans="1:5">
      <c r="A697" s="675"/>
      <c r="B697" s="675"/>
      <c r="C697" s="675"/>
      <c r="D697" s="675"/>
      <c r="E697" s="675"/>
    </row>
    <row r="698" spans="1:5">
      <c r="A698" s="675"/>
      <c r="B698" s="675"/>
      <c r="C698" s="675"/>
      <c r="D698" s="675"/>
      <c r="E698" s="675"/>
    </row>
    <row r="699" spans="1:5">
      <c r="A699" s="675"/>
      <c r="B699" s="675"/>
      <c r="C699" s="675"/>
      <c r="D699" s="675"/>
      <c r="E699" s="675"/>
    </row>
    <row r="700" spans="1:5">
      <c r="A700" s="675"/>
      <c r="B700" s="675"/>
      <c r="C700" s="675"/>
      <c r="D700" s="675"/>
      <c r="E700" s="675"/>
    </row>
    <row r="701" spans="1:5">
      <c r="A701" s="675"/>
      <c r="B701" s="675"/>
      <c r="C701" s="675"/>
      <c r="D701" s="675"/>
      <c r="E701" s="675"/>
    </row>
    <row r="702" spans="1:5">
      <c r="A702" s="675"/>
      <c r="B702" s="675"/>
      <c r="C702" s="675"/>
      <c r="D702" s="675"/>
      <c r="E702" s="675"/>
    </row>
    <row r="703" spans="1:5">
      <c r="A703" s="675"/>
      <c r="B703" s="675"/>
      <c r="C703" s="675"/>
      <c r="D703" s="675"/>
      <c r="E703" s="675"/>
    </row>
    <row r="704" spans="1:5">
      <c r="A704" s="675"/>
      <c r="B704" s="675"/>
      <c r="C704" s="675"/>
      <c r="D704" s="675"/>
      <c r="E704" s="675"/>
    </row>
    <row r="705" spans="1:5">
      <c r="A705" s="675"/>
      <c r="B705" s="675"/>
      <c r="C705" s="675"/>
      <c r="D705" s="675"/>
      <c r="E705" s="675"/>
    </row>
    <row r="706" spans="1:5">
      <c r="A706" s="675"/>
      <c r="B706" s="675"/>
      <c r="C706" s="675"/>
      <c r="D706" s="675"/>
      <c r="E706" s="675"/>
    </row>
    <row r="707" spans="1:5">
      <c r="A707" s="675"/>
      <c r="B707" s="675"/>
      <c r="C707" s="675"/>
      <c r="D707" s="675"/>
      <c r="E707" s="675"/>
    </row>
    <row r="708" spans="1:5">
      <c r="A708" s="675"/>
      <c r="B708" s="675"/>
      <c r="C708" s="675"/>
      <c r="D708" s="675"/>
      <c r="E708" s="675"/>
    </row>
    <row r="709" spans="1:5">
      <c r="A709" s="675"/>
      <c r="B709" s="675"/>
      <c r="C709" s="675"/>
      <c r="D709" s="675"/>
      <c r="E709" s="675"/>
    </row>
    <row r="710" spans="1:5">
      <c r="A710" s="675"/>
      <c r="B710" s="675"/>
      <c r="C710" s="675"/>
      <c r="D710" s="675"/>
      <c r="E710" s="675"/>
    </row>
    <row r="711" spans="1:5">
      <c r="A711" s="675"/>
      <c r="B711" s="675"/>
      <c r="C711" s="675"/>
      <c r="D711" s="675"/>
      <c r="E711" s="675"/>
    </row>
    <row r="712" spans="1:5">
      <c r="A712" s="675"/>
      <c r="B712" s="675"/>
      <c r="C712" s="675"/>
      <c r="D712" s="675"/>
      <c r="E712" s="675"/>
    </row>
    <row r="713" spans="1:5">
      <c r="A713" s="675"/>
      <c r="B713" s="675"/>
      <c r="C713" s="675"/>
      <c r="D713" s="675"/>
      <c r="E713" s="675"/>
    </row>
    <row r="714" spans="1:5">
      <c r="A714" s="675"/>
      <c r="B714" s="675"/>
      <c r="C714" s="675"/>
      <c r="D714" s="675"/>
      <c r="E714" s="675"/>
    </row>
    <row r="715" spans="1:5">
      <c r="A715" s="675"/>
      <c r="B715" s="675"/>
      <c r="C715" s="675"/>
      <c r="D715" s="675"/>
      <c r="E715" s="675"/>
    </row>
    <row r="716" spans="1:5">
      <c r="A716" s="675"/>
      <c r="B716" s="675"/>
      <c r="C716" s="675"/>
      <c r="D716" s="675"/>
      <c r="E716" s="675"/>
    </row>
    <row r="717" spans="1:5">
      <c r="A717" s="675"/>
      <c r="B717" s="675"/>
      <c r="C717" s="675"/>
      <c r="D717" s="675"/>
      <c r="E717" s="675"/>
    </row>
    <row r="718" spans="1:5">
      <c r="A718" s="675"/>
      <c r="B718" s="675"/>
      <c r="C718" s="675"/>
      <c r="D718" s="675"/>
      <c r="E718" s="675"/>
    </row>
    <row r="719" spans="1:5">
      <c r="A719" s="675"/>
      <c r="B719" s="675"/>
      <c r="C719" s="675"/>
      <c r="D719" s="675"/>
      <c r="E719" s="675"/>
    </row>
    <row r="720" spans="1:5">
      <c r="A720" s="675"/>
      <c r="B720" s="675"/>
      <c r="C720" s="675"/>
      <c r="D720" s="675"/>
      <c r="E720" s="675"/>
    </row>
    <row r="721" spans="1:5">
      <c r="A721" s="675"/>
      <c r="B721" s="675"/>
      <c r="C721" s="675"/>
      <c r="D721" s="675"/>
      <c r="E721" s="675"/>
    </row>
    <row r="722" spans="1:5">
      <c r="A722" s="675"/>
      <c r="B722" s="675"/>
      <c r="C722" s="675"/>
      <c r="D722" s="675"/>
      <c r="E722" s="675"/>
    </row>
    <row r="723" spans="1:5">
      <c r="A723" s="675"/>
      <c r="B723" s="675"/>
      <c r="C723" s="675"/>
      <c r="D723" s="675"/>
      <c r="E723" s="675"/>
    </row>
    <row r="724" spans="1:5">
      <c r="A724" s="675"/>
      <c r="B724" s="675"/>
      <c r="C724" s="675"/>
      <c r="D724" s="675"/>
      <c r="E724" s="675"/>
    </row>
    <row r="725" spans="1:5">
      <c r="A725" s="675"/>
      <c r="B725" s="675"/>
      <c r="C725" s="675"/>
      <c r="D725" s="675"/>
      <c r="E725" s="675"/>
    </row>
    <row r="726" spans="1:5">
      <c r="A726" s="675"/>
      <c r="B726" s="675"/>
      <c r="C726" s="675"/>
      <c r="D726" s="675"/>
      <c r="E726" s="675"/>
    </row>
    <row r="727" spans="1:5">
      <c r="A727" s="675"/>
      <c r="B727" s="675"/>
      <c r="C727" s="675"/>
      <c r="D727" s="675"/>
      <c r="E727" s="675"/>
    </row>
    <row r="728" spans="1:5">
      <c r="A728" s="675"/>
      <c r="B728" s="675"/>
      <c r="C728" s="675"/>
      <c r="D728" s="675"/>
      <c r="E728" s="675"/>
    </row>
    <row r="729" spans="1:5">
      <c r="A729" s="675"/>
      <c r="B729" s="675"/>
      <c r="C729" s="675"/>
      <c r="D729" s="675"/>
      <c r="E729" s="675"/>
    </row>
    <row r="730" spans="1:5">
      <c r="A730" s="675"/>
      <c r="B730" s="675"/>
      <c r="C730" s="675"/>
      <c r="D730" s="675"/>
      <c r="E730" s="675"/>
    </row>
    <row r="731" spans="1:5">
      <c r="A731" s="675"/>
      <c r="B731" s="675"/>
      <c r="C731" s="675"/>
      <c r="D731" s="675"/>
      <c r="E731" s="675"/>
    </row>
    <row r="732" spans="1:5">
      <c r="A732" s="675"/>
      <c r="B732" s="675"/>
      <c r="C732" s="675"/>
      <c r="D732" s="675"/>
      <c r="E732" s="675"/>
    </row>
    <row r="733" spans="1:5">
      <c r="A733" s="675"/>
      <c r="B733" s="675"/>
      <c r="C733" s="675"/>
      <c r="D733" s="675"/>
      <c r="E733" s="675"/>
    </row>
    <row r="734" spans="1:5">
      <c r="A734" s="675"/>
      <c r="B734" s="675"/>
      <c r="C734" s="675"/>
      <c r="D734" s="675"/>
      <c r="E734" s="675"/>
    </row>
    <row r="735" spans="1:5">
      <c r="A735" s="675"/>
      <c r="B735" s="675"/>
      <c r="C735" s="675"/>
      <c r="D735" s="675"/>
      <c r="E735" s="675"/>
    </row>
    <row r="736" spans="1:5">
      <c r="A736" s="675"/>
      <c r="B736" s="675"/>
      <c r="C736" s="675"/>
      <c r="D736" s="675"/>
      <c r="E736" s="675"/>
    </row>
    <row r="737" spans="1:5">
      <c r="A737" s="675"/>
      <c r="B737" s="675"/>
      <c r="C737" s="675"/>
      <c r="D737" s="675"/>
      <c r="E737" s="675"/>
    </row>
    <row r="738" spans="1:5">
      <c r="A738" s="675"/>
      <c r="B738" s="675"/>
      <c r="C738" s="675"/>
      <c r="D738" s="675"/>
      <c r="E738" s="675"/>
    </row>
    <row r="739" spans="1:5">
      <c r="A739" s="675"/>
      <c r="B739" s="675"/>
      <c r="C739" s="675"/>
      <c r="D739" s="675"/>
      <c r="E739" s="675"/>
    </row>
    <row r="740" spans="1:5">
      <c r="A740" s="675"/>
      <c r="B740" s="675"/>
      <c r="C740" s="675"/>
      <c r="D740" s="675"/>
      <c r="E740" s="675"/>
    </row>
    <row r="741" spans="1:5">
      <c r="A741" s="675"/>
      <c r="B741" s="675"/>
      <c r="C741" s="675"/>
      <c r="D741" s="675"/>
      <c r="E741" s="675"/>
    </row>
    <row r="742" spans="1:5">
      <c r="A742" s="675"/>
      <c r="B742" s="675"/>
      <c r="C742" s="675"/>
      <c r="D742" s="675"/>
      <c r="E742" s="675"/>
    </row>
    <row r="743" spans="1:5">
      <c r="A743" s="675"/>
      <c r="B743" s="675"/>
      <c r="C743" s="675"/>
      <c r="D743" s="675"/>
      <c r="E743" s="675"/>
    </row>
    <row r="744" spans="1:5">
      <c r="A744" s="675"/>
      <c r="B744" s="675"/>
      <c r="C744" s="675"/>
      <c r="D744" s="675"/>
      <c r="E744" s="675"/>
    </row>
    <row r="745" spans="1:5">
      <c r="A745" s="675"/>
      <c r="B745" s="675"/>
      <c r="C745" s="675"/>
      <c r="D745" s="675"/>
      <c r="E745" s="675"/>
    </row>
    <row r="746" spans="1:5">
      <c r="A746" s="675"/>
      <c r="B746" s="675"/>
      <c r="C746" s="675"/>
      <c r="D746" s="675"/>
      <c r="E746" s="675"/>
    </row>
    <row r="747" spans="1:5">
      <c r="A747" s="675"/>
      <c r="B747" s="675"/>
      <c r="C747" s="675"/>
      <c r="D747" s="675"/>
      <c r="E747" s="675"/>
    </row>
    <row r="748" spans="1:5">
      <c r="A748" s="675"/>
      <c r="B748" s="675"/>
      <c r="C748" s="675"/>
      <c r="D748" s="675"/>
      <c r="E748" s="675"/>
    </row>
    <row r="749" spans="1:5">
      <c r="A749" s="675"/>
      <c r="B749" s="675"/>
      <c r="C749" s="675"/>
      <c r="D749" s="675"/>
      <c r="E749" s="675"/>
    </row>
    <row r="750" spans="1:5">
      <c r="A750" s="675"/>
      <c r="B750" s="675"/>
      <c r="C750" s="675"/>
      <c r="D750" s="675"/>
      <c r="E750" s="675"/>
    </row>
    <row r="751" spans="1:5">
      <c r="A751" s="675"/>
      <c r="B751" s="675"/>
      <c r="C751" s="675"/>
      <c r="D751" s="675"/>
      <c r="E751" s="675"/>
    </row>
    <row r="752" spans="1:5">
      <c r="A752" s="675"/>
      <c r="B752" s="675"/>
      <c r="C752" s="675"/>
      <c r="D752" s="675"/>
      <c r="E752" s="675"/>
    </row>
    <row r="753" spans="1:5">
      <c r="A753" s="675"/>
      <c r="B753" s="675"/>
      <c r="C753" s="675"/>
      <c r="D753" s="675"/>
      <c r="E753" s="675"/>
    </row>
    <row r="754" spans="1:5">
      <c r="A754" s="675"/>
      <c r="B754" s="675"/>
      <c r="C754" s="675"/>
      <c r="D754" s="675"/>
      <c r="E754" s="675"/>
    </row>
    <row r="755" spans="1:5">
      <c r="A755" s="675"/>
      <c r="B755" s="675"/>
      <c r="C755" s="675"/>
      <c r="D755" s="675"/>
      <c r="E755" s="675"/>
    </row>
    <row r="756" spans="1:5">
      <c r="A756" s="675"/>
      <c r="B756" s="675"/>
      <c r="C756" s="675"/>
      <c r="D756" s="675"/>
      <c r="E756" s="675"/>
    </row>
    <row r="757" spans="1:5">
      <c r="A757" s="675"/>
      <c r="B757" s="675"/>
      <c r="C757" s="675"/>
      <c r="D757" s="675"/>
      <c r="E757" s="675"/>
    </row>
    <row r="758" spans="1:5">
      <c r="A758" s="675"/>
      <c r="B758" s="675"/>
      <c r="C758" s="675"/>
      <c r="D758" s="675"/>
      <c r="E758" s="675"/>
    </row>
    <row r="759" spans="1:5">
      <c r="A759" s="675"/>
      <c r="B759" s="675"/>
      <c r="C759" s="675"/>
      <c r="D759" s="675"/>
      <c r="E759" s="675"/>
    </row>
    <row r="760" spans="1:5">
      <c r="A760" s="675"/>
      <c r="B760" s="675"/>
      <c r="C760" s="675"/>
      <c r="D760" s="675"/>
      <c r="E760" s="675"/>
    </row>
    <row r="761" spans="1:5">
      <c r="A761" s="675"/>
      <c r="B761" s="675"/>
      <c r="C761" s="675"/>
      <c r="D761" s="675"/>
      <c r="E761" s="675"/>
    </row>
    <row r="762" spans="1:5">
      <c r="A762" s="675"/>
      <c r="B762" s="675"/>
      <c r="C762" s="675"/>
      <c r="D762" s="675"/>
      <c r="E762" s="675"/>
    </row>
    <row r="763" spans="1:5">
      <c r="A763" s="675"/>
      <c r="B763" s="675"/>
      <c r="C763" s="675"/>
      <c r="D763" s="675"/>
      <c r="E763" s="675"/>
    </row>
    <row r="764" spans="1:5">
      <c r="A764" s="675"/>
      <c r="B764" s="675"/>
      <c r="C764" s="675"/>
      <c r="D764" s="675"/>
      <c r="E764" s="675"/>
    </row>
    <row r="765" spans="1:5">
      <c r="A765" s="675"/>
      <c r="B765" s="675"/>
      <c r="C765" s="675"/>
      <c r="D765" s="675"/>
      <c r="E765" s="675"/>
    </row>
    <row r="766" spans="1:5">
      <c r="A766" s="675"/>
      <c r="B766" s="675"/>
      <c r="C766" s="675"/>
      <c r="D766" s="675"/>
      <c r="E766" s="675"/>
    </row>
    <row r="767" spans="1:5">
      <c r="A767" s="675"/>
      <c r="B767" s="675"/>
      <c r="C767" s="675"/>
      <c r="D767" s="675"/>
      <c r="E767" s="675"/>
    </row>
    <row r="768" spans="1:5">
      <c r="A768" s="675"/>
      <c r="B768" s="675"/>
      <c r="C768" s="675"/>
      <c r="D768" s="675"/>
      <c r="E768" s="675"/>
    </row>
    <row r="769" spans="1:5">
      <c r="A769" s="675"/>
      <c r="B769" s="675"/>
      <c r="C769" s="675"/>
      <c r="D769" s="675"/>
      <c r="E769" s="675"/>
    </row>
    <row r="770" spans="1:5">
      <c r="A770" s="675"/>
      <c r="B770" s="675"/>
      <c r="C770" s="675"/>
      <c r="D770" s="675"/>
      <c r="E770" s="675"/>
    </row>
    <row r="771" spans="1:5">
      <c r="A771" s="675"/>
      <c r="B771" s="675"/>
      <c r="C771" s="675"/>
      <c r="D771" s="675"/>
      <c r="E771" s="675"/>
    </row>
    <row r="772" spans="1:5">
      <c r="A772" s="675"/>
      <c r="B772" s="675"/>
      <c r="C772" s="675"/>
      <c r="D772" s="675"/>
      <c r="E772" s="675"/>
    </row>
    <row r="773" spans="1:5">
      <c r="A773" s="675"/>
      <c r="B773" s="675"/>
      <c r="C773" s="675"/>
      <c r="D773" s="675"/>
      <c r="E773" s="675"/>
    </row>
    <row r="774" spans="1:5">
      <c r="A774" s="675"/>
      <c r="B774" s="675"/>
      <c r="C774" s="675"/>
      <c r="D774" s="675"/>
      <c r="E774" s="675"/>
    </row>
    <row r="775" spans="1:5">
      <c r="A775" s="675"/>
      <c r="B775" s="675"/>
      <c r="C775" s="675"/>
      <c r="D775" s="675"/>
      <c r="E775" s="675"/>
    </row>
    <row r="776" spans="1:5">
      <c r="A776" s="675"/>
      <c r="B776" s="675"/>
      <c r="C776" s="675"/>
      <c r="D776" s="675"/>
      <c r="E776" s="675"/>
    </row>
    <row r="777" spans="1:5">
      <c r="A777" s="675"/>
      <c r="B777" s="675"/>
      <c r="C777" s="675"/>
      <c r="D777" s="675"/>
      <c r="E777" s="675"/>
    </row>
    <row r="778" spans="1:5">
      <c r="A778" s="675"/>
      <c r="B778" s="675"/>
      <c r="C778" s="675"/>
      <c r="D778" s="675"/>
      <c r="E778" s="675"/>
    </row>
    <row r="779" spans="1:5">
      <c r="A779" s="675"/>
      <c r="B779" s="675"/>
      <c r="C779" s="675"/>
      <c r="D779" s="675"/>
      <c r="E779" s="675"/>
    </row>
    <row r="780" spans="1:5">
      <c r="A780" s="675"/>
      <c r="B780" s="675"/>
      <c r="C780" s="675"/>
      <c r="D780" s="675"/>
      <c r="E780" s="675"/>
    </row>
    <row r="781" spans="1:5">
      <c r="A781" s="675"/>
      <c r="B781" s="675"/>
      <c r="C781" s="675"/>
      <c r="D781" s="675"/>
      <c r="E781" s="675"/>
    </row>
    <row r="782" spans="1:5">
      <c r="A782" s="675"/>
      <c r="B782" s="675"/>
      <c r="C782" s="675"/>
      <c r="D782" s="675"/>
      <c r="E782" s="675"/>
    </row>
    <row r="783" spans="1:5">
      <c r="A783" s="675"/>
      <c r="B783" s="675"/>
      <c r="C783" s="675"/>
      <c r="D783" s="675"/>
      <c r="E783" s="675"/>
    </row>
    <row r="784" spans="1:5">
      <c r="A784" s="675"/>
      <c r="B784" s="675"/>
      <c r="C784" s="675"/>
      <c r="D784" s="675"/>
      <c r="E784" s="675"/>
    </row>
    <row r="785" spans="1:5">
      <c r="A785" s="675"/>
      <c r="B785" s="675"/>
      <c r="C785" s="675"/>
      <c r="D785" s="675"/>
      <c r="E785" s="675"/>
    </row>
    <row r="786" spans="1:5">
      <c r="A786" s="675"/>
      <c r="B786" s="675"/>
      <c r="C786" s="675"/>
      <c r="D786" s="675"/>
      <c r="E786" s="675"/>
    </row>
    <row r="787" spans="1:5">
      <c r="A787" s="675"/>
      <c r="B787" s="675"/>
      <c r="C787" s="675"/>
      <c r="D787" s="675"/>
      <c r="E787" s="675"/>
    </row>
    <row r="788" spans="1:5">
      <c r="A788" s="675"/>
      <c r="B788" s="675"/>
      <c r="C788" s="675"/>
      <c r="D788" s="675"/>
      <c r="E788" s="675"/>
    </row>
    <row r="789" spans="1:5">
      <c r="A789" s="675"/>
      <c r="B789" s="675"/>
      <c r="C789" s="675"/>
      <c r="D789" s="675"/>
      <c r="E789" s="675"/>
    </row>
    <row r="790" spans="1:5">
      <c r="A790" s="675"/>
      <c r="B790" s="675"/>
      <c r="C790" s="675"/>
      <c r="D790" s="675"/>
      <c r="E790" s="675"/>
    </row>
    <row r="791" spans="1:5">
      <c r="A791" s="675"/>
      <c r="B791" s="675"/>
      <c r="C791" s="675"/>
      <c r="D791" s="675"/>
      <c r="E791" s="675"/>
    </row>
    <row r="792" spans="1:5">
      <c r="A792" s="675"/>
      <c r="B792" s="675"/>
      <c r="C792" s="675"/>
      <c r="D792" s="675"/>
      <c r="E792" s="675"/>
    </row>
    <row r="793" spans="1:5">
      <c r="A793" s="675"/>
      <c r="B793" s="675"/>
      <c r="C793" s="675"/>
      <c r="D793" s="675"/>
      <c r="E793" s="675"/>
    </row>
    <row r="794" spans="1:5">
      <c r="A794" s="675"/>
      <c r="B794" s="675"/>
      <c r="C794" s="675"/>
      <c r="D794" s="675"/>
      <c r="E794" s="675"/>
    </row>
    <row r="795" spans="1:5">
      <c r="A795" s="675"/>
      <c r="B795" s="675"/>
      <c r="C795" s="675"/>
      <c r="D795" s="675"/>
      <c r="E795" s="675"/>
    </row>
    <row r="796" spans="1:5">
      <c r="A796" s="675"/>
      <c r="B796" s="675"/>
      <c r="C796" s="675"/>
      <c r="D796" s="675"/>
      <c r="E796" s="675"/>
    </row>
    <row r="797" spans="1:5">
      <c r="A797" s="675"/>
      <c r="B797" s="675"/>
      <c r="C797" s="675"/>
      <c r="D797" s="675"/>
      <c r="E797" s="675"/>
    </row>
    <row r="798" spans="1:5">
      <c r="A798" s="675"/>
      <c r="B798" s="675"/>
      <c r="C798" s="675"/>
      <c r="D798" s="675"/>
      <c r="E798" s="675"/>
    </row>
    <row r="799" spans="1:5">
      <c r="A799" s="675"/>
      <c r="B799" s="675"/>
      <c r="C799" s="675"/>
      <c r="D799" s="675"/>
      <c r="E799" s="675"/>
    </row>
    <row r="800" spans="1:5">
      <c r="A800" s="675"/>
      <c r="B800" s="675"/>
      <c r="C800" s="675"/>
      <c r="D800" s="675"/>
      <c r="E800" s="675"/>
    </row>
    <row r="801" spans="1:5">
      <c r="A801" s="675"/>
      <c r="B801" s="675"/>
      <c r="C801" s="675"/>
      <c r="D801" s="675"/>
      <c r="E801" s="675"/>
    </row>
    <row r="802" spans="1:5">
      <c r="A802" s="675"/>
      <c r="B802" s="675"/>
      <c r="C802" s="675"/>
      <c r="D802" s="675"/>
      <c r="E802" s="675"/>
    </row>
    <row r="803" spans="1:5">
      <c r="A803" s="675"/>
      <c r="B803" s="675"/>
      <c r="C803" s="675"/>
      <c r="D803" s="675"/>
      <c r="E803" s="675"/>
    </row>
    <row r="804" spans="1:5">
      <c r="A804" s="675"/>
      <c r="B804" s="675"/>
      <c r="C804" s="675"/>
      <c r="D804" s="675"/>
      <c r="E804" s="675"/>
    </row>
    <row r="805" spans="1:5">
      <c r="A805" s="675"/>
      <c r="B805" s="675"/>
      <c r="C805" s="675"/>
      <c r="D805" s="675"/>
      <c r="E805" s="675"/>
    </row>
    <row r="806" spans="1:5">
      <c r="A806" s="675"/>
      <c r="B806" s="675"/>
      <c r="C806" s="675"/>
      <c r="D806" s="675"/>
      <c r="E806" s="675"/>
    </row>
    <row r="807" spans="1:5">
      <c r="A807" s="675"/>
      <c r="B807" s="675"/>
      <c r="C807" s="675"/>
      <c r="D807" s="675"/>
      <c r="E807" s="675"/>
    </row>
    <row r="808" spans="1:5">
      <c r="A808" s="675"/>
      <c r="B808" s="675"/>
      <c r="C808" s="675"/>
      <c r="D808" s="675"/>
      <c r="E808" s="675"/>
    </row>
    <row r="809" spans="1:5">
      <c r="A809" s="675"/>
      <c r="B809" s="675"/>
      <c r="C809" s="675"/>
      <c r="D809" s="675"/>
      <c r="E809" s="675"/>
    </row>
    <row r="810" spans="1:5">
      <c r="A810" s="675"/>
      <c r="B810" s="675"/>
      <c r="C810" s="675"/>
      <c r="D810" s="675"/>
      <c r="E810" s="675"/>
    </row>
    <row r="811" spans="1:5">
      <c r="A811" s="675"/>
      <c r="B811" s="675"/>
      <c r="C811" s="675"/>
      <c r="D811" s="675"/>
      <c r="E811" s="675"/>
    </row>
    <row r="812" spans="1:5">
      <c r="A812" s="675"/>
      <c r="B812" s="675"/>
      <c r="C812" s="675"/>
      <c r="D812" s="675"/>
      <c r="E812" s="675"/>
    </row>
    <row r="813" spans="1:5">
      <c r="A813" s="675"/>
      <c r="B813" s="675"/>
      <c r="C813" s="675"/>
      <c r="D813" s="675"/>
      <c r="E813" s="675"/>
    </row>
    <row r="814" spans="1:5">
      <c r="A814" s="675"/>
      <c r="B814" s="675"/>
      <c r="C814" s="675"/>
      <c r="D814" s="675"/>
      <c r="E814" s="675"/>
    </row>
    <row r="815" spans="1:5">
      <c r="A815" s="675"/>
      <c r="B815" s="675"/>
      <c r="C815" s="675"/>
      <c r="D815" s="675"/>
      <c r="E815" s="675"/>
    </row>
    <row r="816" spans="1:5">
      <c r="A816" s="675"/>
      <c r="B816" s="675"/>
      <c r="C816" s="675"/>
      <c r="D816" s="675"/>
      <c r="E816" s="675"/>
    </row>
    <row r="817" spans="1:5">
      <c r="A817" s="675"/>
      <c r="B817" s="675"/>
      <c r="C817" s="675"/>
      <c r="D817" s="675"/>
      <c r="E817" s="675"/>
    </row>
    <row r="818" spans="1:5">
      <c r="A818" s="675"/>
      <c r="B818" s="675"/>
      <c r="C818" s="675"/>
      <c r="D818" s="675"/>
      <c r="E818" s="675"/>
    </row>
    <row r="819" spans="1:5">
      <c r="A819" s="675"/>
      <c r="B819" s="675"/>
      <c r="C819" s="675"/>
      <c r="D819" s="675"/>
      <c r="E819" s="675"/>
    </row>
    <row r="820" spans="1:5">
      <c r="A820" s="675"/>
      <c r="B820" s="675"/>
      <c r="C820" s="675"/>
      <c r="D820" s="675"/>
      <c r="E820" s="675"/>
    </row>
    <row r="821" spans="1:5">
      <c r="A821" s="675"/>
      <c r="B821" s="675"/>
      <c r="C821" s="675"/>
      <c r="D821" s="675"/>
      <c r="E821" s="675"/>
    </row>
    <row r="822" spans="1:5">
      <c r="A822" s="675"/>
      <c r="B822" s="675"/>
      <c r="C822" s="675"/>
      <c r="D822" s="675"/>
      <c r="E822" s="675"/>
    </row>
    <row r="823" spans="1:5">
      <c r="A823" s="675"/>
      <c r="B823" s="675"/>
      <c r="C823" s="675"/>
      <c r="D823" s="675"/>
      <c r="E823" s="675"/>
    </row>
    <row r="824" spans="1:5">
      <c r="A824" s="675"/>
      <c r="B824" s="675"/>
      <c r="C824" s="675"/>
      <c r="D824" s="675"/>
      <c r="E824" s="675"/>
    </row>
    <row r="825" spans="1:5">
      <c r="A825" s="675"/>
      <c r="B825" s="675"/>
      <c r="C825" s="675"/>
      <c r="D825" s="675"/>
      <c r="E825" s="675"/>
    </row>
    <row r="826" spans="1:5">
      <c r="A826" s="675"/>
      <c r="B826" s="675"/>
      <c r="C826" s="675"/>
      <c r="D826" s="675"/>
      <c r="E826" s="675"/>
    </row>
    <row r="827" spans="1:5">
      <c r="A827" s="675"/>
      <c r="B827" s="675"/>
      <c r="C827" s="675"/>
      <c r="D827" s="675"/>
      <c r="E827" s="675"/>
    </row>
    <row r="828" spans="1:5">
      <c r="A828" s="675"/>
      <c r="B828" s="675"/>
      <c r="C828" s="675"/>
      <c r="D828" s="675"/>
      <c r="E828" s="675"/>
    </row>
    <row r="829" spans="1:5">
      <c r="A829" s="675"/>
      <c r="B829" s="675"/>
      <c r="C829" s="675"/>
      <c r="D829" s="675"/>
      <c r="E829" s="675"/>
    </row>
    <row r="830" spans="1:5">
      <c r="A830" s="675"/>
      <c r="B830" s="675"/>
      <c r="C830" s="675"/>
      <c r="D830" s="675"/>
      <c r="E830" s="675"/>
    </row>
  </sheetData>
  <mergeCells count="1">
    <mergeCell ref="A1:E1"/>
  </mergeCells>
  <hyperlinks>
    <hyperlink ref="E157" r:id="rId1" xr:uid="{00000000-0004-0000-5B00-000000000000}"/>
  </hyperlinks>
  <pageMargins left="0.7" right="0.7" top="0.75" bottom="0.75" header="0.3" footer="0.3"/>
  <pageSetup paperSize="9" orientation="portrait" r:id="rId2"/>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0000"/>
  </sheetPr>
  <dimension ref="A1:R47"/>
  <sheetViews>
    <sheetView workbookViewId="0">
      <selection activeCell="P51" sqref="P51"/>
    </sheetView>
  </sheetViews>
  <sheetFormatPr defaultColWidth="11.5703125" defaultRowHeight="15"/>
  <cols>
    <col min="1" max="1" width="4.42578125" style="824" bestFit="1" customWidth="1"/>
    <col min="2" max="2" width="12.28515625" style="824" customWidth="1"/>
    <col min="3" max="3" width="5.28515625" style="824" customWidth="1"/>
    <col min="4" max="4" width="7.140625" style="824" customWidth="1"/>
    <col min="5" max="5" width="6.140625" style="824" customWidth="1"/>
    <col min="6" max="6" width="10.28515625" style="824" customWidth="1"/>
    <col min="7" max="7" width="33" style="824" customWidth="1"/>
    <col min="8" max="8" width="7.7109375" style="824" customWidth="1"/>
    <col min="9" max="9" width="10.28515625" style="824" customWidth="1"/>
    <col min="10" max="10" width="7" style="824" customWidth="1"/>
    <col min="11" max="11" width="6.85546875" style="824" customWidth="1"/>
    <col min="12" max="12" width="7.28515625" style="824" customWidth="1"/>
    <col min="13" max="13" width="11.42578125" style="824" hidden="1" customWidth="1"/>
    <col min="14" max="14" width="8" style="824" customWidth="1"/>
    <col min="15" max="15" width="11.5703125" style="824" customWidth="1"/>
    <col min="16" max="16" width="11.42578125" style="824" bestFit="1" customWidth="1"/>
    <col min="17" max="16384" width="11.5703125" style="824"/>
  </cols>
  <sheetData>
    <row r="1" spans="1:17" ht="18.75">
      <c r="A1" s="1737" t="s">
        <v>1974</v>
      </c>
      <c r="B1" s="1737"/>
      <c r="C1" s="1737"/>
      <c r="D1" s="1737"/>
      <c r="E1" s="1737"/>
      <c r="F1" s="1737"/>
      <c r="G1" s="1737"/>
      <c r="H1" s="1737"/>
      <c r="I1" s="1737"/>
      <c r="J1" s="1737"/>
      <c r="K1" s="1737"/>
      <c r="L1" s="1737"/>
      <c r="M1" s="1737"/>
      <c r="N1" s="1737"/>
      <c r="O1" s="1737"/>
      <c r="P1" s="1737"/>
    </row>
    <row r="2" spans="1:17" ht="18.75" hidden="1">
      <c r="A2" s="1737" t="s">
        <v>1975</v>
      </c>
      <c r="B2" s="1737"/>
      <c r="C2" s="1737"/>
      <c r="D2" s="1737"/>
      <c r="E2" s="1737"/>
      <c r="F2" s="1737"/>
      <c r="G2" s="1737"/>
      <c r="H2" s="1737"/>
      <c r="I2" s="1737"/>
      <c r="J2" s="1737"/>
      <c r="K2" s="1737"/>
      <c r="L2" s="1737"/>
      <c r="M2" s="1737"/>
      <c r="N2" s="1737"/>
      <c r="O2" s="1737"/>
      <c r="P2" s="1737"/>
    </row>
    <row r="3" spans="1:17">
      <c r="A3" s="825" t="s">
        <v>1976</v>
      </c>
      <c r="C3" s="826"/>
      <c r="D3" s="826"/>
      <c r="E3" s="826"/>
      <c r="F3" s="826"/>
      <c r="G3" s="826"/>
      <c r="H3" s="826"/>
      <c r="I3" s="826"/>
      <c r="J3" s="826"/>
      <c r="K3" s="826"/>
      <c r="L3" s="826"/>
      <c r="M3" s="826"/>
      <c r="N3" s="826"/>
      <c r="O3" s="826"/>
      <c r="P3" s="826"/>
    </row>
    <row r="4" spans="1:17">
      <c r="A4" s="1736" t="s">
        <v>1977</v>
      </c>
      <c r="B4" s="1736"/>
      <c r="C4" s="1736"/>
      <c r="D4" s="1736"/>
      <c r="E4" s="1736"/>
      <c r="F4" s="1736"/>
      <c r="G4" s="1736"/>
      <c r="H4" s="1736"/>
      <c r="I4" s="1736"/>
      <c r="J4" s="1736"/>
      <c r="K4" s="1736"/>
      <c r="L4" s="1736"/>
      <c r="M4" s="1736"/>
      <c r="N4" s="1736"/>
      <c r="O4" s="1736"/>
      <c r="P4" s="1736"/>
    </row>
    <row r="5" spans="1:17">
      <c r="A5" s="1736" t="s">
        <v>1978</v>
      </c>
      <c r="B5" s="1736"/>
      <c r="C5" s="1736"/>
      <c r="D5" s="1736"/>
      <c r="E5" s="1736"/>
      <c r="F5" s="1736"/>
      <c r="G5" s="1736"/>
      <c r="H5" s="1736"/>
      <c r="I5" s="1736"/>
      <c r="J5" s="1736"/>
      <c r="K5" s="1736"/>
      <c r="L5" s="1736"/>
      <c r="M5" s="1736"/>
      <c r="N5" s="1736"/>
      <c r="O5" s="1736"/>
      <c r="P5" s="1736"/>
    </row>
    <row r="6" spans="1:17">
      <c r="A6" s="1738" t="s">
        <v>1979</v>
      </c>
      <c r="B6" s="1736"/>
      <c r="C6" s="1736"/>
      <c r="D6" s="1736"/>
      <c r="E6" s="1736"/>
      <c r="F6" s="1736"/>
      <c r="G6" s="1736"/>
      <c r="H6" s="1736"/>
      <c r="I6" s="1736"/>
      <c r="J6" s="1736"/>
      <c r="K6" s="1736"/>
      <c r="L6" s="1736"/>
      <c r="M6" s="1736"/>
      <c r="N6" s="1736"/>
      <c r="O6" s="1736"/>
      <c r="P6" s="1736"/>
    </row>
    <row r="7" spans="1:17" hidden="1">
      <c r="A7" s="1736" t="s">
        <v>1980</v>
      </c>
      <c r="B7" s="1736"/>
      <c r="C7" s="1736"/>
      <c r="D7" s="1736"/>
      <c r="E7" s="1736"/>
      <c r="F7" s="1736"/>
      <c r="G7" s="1736"/>
      <c r="H7" s="1736"/>
      <c r="I7" s="1736"/>
      <c r="J7" s="1736"/>
      <c r="K7" s="1736"/>
      <c r="L7" s="1736"/>
      <c r="M7" s="1736"/>
      <c r="N7" s="1736"/>
      <c r="O7" s="1736"/>
      <c r="P7" s="1736"/>
    </row>
    <row r="8" spans="1:17" ht="60">
      <c r="A8" s="827" t="s">
        <v>51</v>
      </c>
      <c r="B8" s="827" t="s">
        <v>1981</v>
      </c>
      <c r="C8" s="827" t="s">
        <v>1982</v>
      </c>
      <c r="D8" s="827" t="s">
        <v>1983</v>
      </c>
      <c r="E8" s="827" t="s">
        <v>1984</v>
      </c>
      <c r="F8" s="827" t="s">
        <v>1985</v>
      </c>
      <c r="G8" s="827" t="s">
        <v>1986</v>
      </c>
      <c r="H8" s="827" t="s">
        <v>1987</v>
      </c>
      <c r="I8" s="827" t="s">
        <v>1988</v>
      </c>
      <c r="J8" s="827" t="s">
        <v>1004</v>
      </c>
      <c r="K8" s="827" t="s">
        <v>1989</v>
      </c>
      <c r="L8" s="827" t="s">
        <v>1990</v>
      </c>
      <c r="M8" s="827" t="s">
        <v>1991</v>
      </c>
      <c r="N8" s="827" t="s">
        <v>1992</v>
      </c>
      <c r="O8" s="827" t="s">
        <v>1993</v>
      </c>
      <c r="P8" s="827" t="s">
        <v>1994</v>
      </c>
    </row>
    <row r="9" spans="1:17" ht="30">
      <c r="A9" s="828"/>
      <c r="B9" s="829" t="s">
        <v>360</v>
      </c>
      <c r="C9" s="830" t="s">
        <v>361</v>
      </c>
      <c r="D9" s="830" t="s">
        <v>362</v>
      </c>
      <c r="E9" s="830" t="s">
        <v>1995</v>
      </c>
      <c r="F9" s="830" t="s">
        <v>1996</v>
      </c>
      <c r="G9" s="830" t="s">
        <v>365</v>
      </c>
      <c r="H9" s="830" t="s">
        <v>1997</v>
      </c>
      <c r="I9" s="830" t="s">
        <v>403</v>
      </c>
      <c r="J9" s="831" t="s">
        <v>1998</v>
      </c>
      <c r="K9" s="832" t="s">
        <v>1999</v>
      </c>
      <c r="L9" s="833" t="s">
        <v>2000</v>
      </c>
      <c r="M9" s="834" t="s">
        <v>2001</v>
      </c>
      <c r="N9" s="834" t="s">
        <v>2001</v>
      </c>
      <c r="O9" s="834" t="s">
        <v>2002</v>
      </c>
      <c r="P9" s="835" t="s">
        <v>2003</v>
      </c>
    </row>
    <row r="10" spans="1:17" hidden="1">
      <c r="A10" s="1735">
        <v>1</v>
      </c>
      <c r="B10" s="1728" t="s">
        <v>2004</v>
      </c>
      <c r="C10" s="836" t="s">
        <v>1722</v>
      </c>
      <c r="D10" s="837">
        <f>E10</f>
        <v>1.45</v>
      </c>
      <c r="E10" s="838">
        <v>1.45</v>
      </c>
      <c r="F10" s="839"/>
      <c r="G10" s="840" t="s">
        <v>2005</v>
      </c>
      <c r="H10" s="841" t="s">
        <v>2006</v>
      </c>
      <c r="I10" s="842">
        <v>3</v>
      </c>
      <c r="J10" s="843"/>
      <c r="K10" s="843"/>
      <c r="L10" s="844">
        <f>SUM(L11:L11)</f>
        <v>10477</v>
      </c>
      <c r="M10" s="845"/>
      <c r="N10" s="845">
        <f>ROUND(L10+M10,0)</f>
        <v>10477</v>
      </c>
      <c r="O10" s="845"/>
      <c r="P10" s="845">
        <f>ROUND(O10+N10,0)</f>
        <v>10477</v>
      </c>
    </row>
    <row r="11" spans="1:17" hidden="1">
      <c r="A11" s="1732"/>
      <c r="B11" s="1732"/>
      <c r="C11" s="846" t="s">
        <v>697</v>
      </c>
      <c r="D11" s="847"/>
      <c r="E11" s="848"/>
      <c r="F11" s="849" t="s">
        <v>2007</v>
      </c>
      <c r="G11" s="850" t="s">
        <v>2008</v>
      </c>
      <c r="H11" s="851" t="s">
        <v>697</v>
      </c>
      <c r="I11" s="852">
        <v>3</v>
      </c>
      <c r="J11" s="853">
        <f>34924/10</f>
        <v>3492.4</v>
      </c>
      <c r="K11" s="854">
        <v>1</v>
      </c>
      <c r="L11" s="855">
        <f>ROUND(I11*J11*K11,0)</f>
        <v>10477</v>
      </c>
      <c r="M11" s="856"/>
      <c r="N11" s="856"/>
      <c r="O11" s="856"/>
      <c r="P11" s="856"/>
    </row>
    <row r="12" spans="1:17" hidden="1">
      <c r="A12" s="1728">
        <v>2</v>
      </c>
      <c r="B12" s="1728" t="s">
        <v>2009</v>
      </c>
      <c r="C12" s="857" t="s">
        <v>1722</v>
      </c>
      <c r="D12" s="837">
        <f>E12</f>
        <v>1.38</v>
      </c>
      <c r="E12" s="838">
        <v>1.38</v>
      </c>
      <c r="F12" s="858"/>
      <c r="G12" s="840" t="s">
        <v>2005</v>
      </c>
      <c r="H12" s="841" t="s">
        <v>2006</v>
      </c>
      <c r="I12" s="842">
        <v>3</v>
      </c>
      <c r="J12" s="859"/>
      <c r="K12" s="860"/>
      <c r="L12" s="844">
        <f>SUM(L13:L13)</f>
        <v>10477</v>
      </c>
      <c r="M12" s="845"/>
      <c r="N12" s="845">
        <f>ROUND(L12+M12,0)</f>
        <v>10477</v>
      </c>
      <c r="O12" s="845"/>
      <c r="P12" s="845">
        <f>ROUND(O12+N12,0)</f>
        <v>10477</v>
      </c>
      <c r="Q12" s="861"/>
    </row>
    <row r="13" spans="1:17" hidden="1">
      <c r="A13" s="1732"/>
      <c r="B13" s="1732"/>
      <c r="C13" s="846" t="s">
        <v>697</v>
      </c>
      <c r="D13" s="847"/>
      <c r="E13" s="848"/>
      <c r="F13" s="849" t="s">
        <v>2010</v>
      </c>
      <c r="G13" s="850" t="s">
        <v>2008</v>
      </c>
      <c r="H13" s="851" t="s">
        <v>697</v>
      </c>
      <c r="I13" s="852">
        <v>3</v>
      </c>
      <c r="J13" s="853">
        <f>J11</f>
        <v>3492.4</v>
      </c>
      <c r="K13" s="854">
        <v>1</v>
      </c>
      <c r="L13" s="855">
        <f>ROUND(I13*J13*K13,0)</f>
        <v>10477</v>
      </c>
      <c r="M13" s="856"/>
      <c r="N13" s="856"/>
      <c r="O13" s="856"/>
      <c r="P13" s="856"/>
    </row>
    <row r="14" spans="1:17" hidden="1">
      <c r="A14" s="1728">
        <v>3</v>
      </c>
      <c r="B14" s="1728" t="s">
        <v>2011</v>
      </c>
      <c r="C14" s="862" t="s">
        <v>1722</v>
      </c>
      <c r="D14" s="837">
        <f>E14</f>
        <v>1.2</v>
      </c>
      <c r="E14" s="838">
        <v>1.2</v>
      </c>
      <c r="F14" s="863"/>
      <c r="G14" s="840" t="s">
        <v>2005</v>
      </c>
      <c r="H14" s="841" t="s">
        <v>2006</v>
      </c>
      <c r="I14" s="842">
        <v>3</v>
      </c>
      <c r="J14" s="864"/>
      <c r="K14" s="865"/>
      <c r="L14" s="844">
        <f>SUM(L15:L15)</f>
        <v>10477</v>
      </c>
      <c r="M14" s="845"/>
      <c r="N14" s="845">
        <f>ROUND(L14+M14,0)</f>
        <v>10477</v>
      </c>
      <c r="O14" s="845"/>
      <c r="P14" s="845">
        <f>ROUND(O14+N14,0)</f>
        <v>10477</v>
      </c>
    </row>
    <row r="15" spans="1:17" hidden="1">
      <c r="A15" s="1732"/>
      <c r="B15" s="1732"/>
      <c r="C15" s="846" t="s">
        <v>697</v>
      </c>
      <c r="D15" s="847"/>
      <c r="E15" s="848"/>
      <c r="F15" s="849" t="s">
        <v>2010</v>
      </c>
      <c r="G15" s="866" t="s">
        <v>2008</v>
      </c>
      <c r="H15" s="851" t="s">
        <v>697</v>
      </c>
      <c r="I15" s="852">
        <v>3</v>
      </c>
      <c r="J15" s="853">
        <f>J11</f>
        <v>3492.4</v>
      </c>
      <c r="K15" s="854">
        <v>1</v>
      </c>
      <c r="L15" s="856">
        <f>ROUND(I15*J15*K15,0)</f>
        <v>10477</v>
      </c>
      <c r="M15" s="856"/>
      <c r="N15" s="856"/>
      <c r="O15" s="856"/>
      <c r="P15" s="856"/>
    </row>
    <row r="16" spans="1:17" hidden="1">
      <c r="A16" s="1728">
        <v>4</v>
      </c>
      <c r="B16" s="1733" t="s">
        <v>2012</v>
      </c>
      <c r="C16" s="867" t="s">
        <v>1722</v>
      </c>
      <c r="D16" s="868">
        <v>2.7</v>
      </c>
      <c r="E16" s="869">
        <v>1.6</v>
      </c>
      <c r="F16" s="870"/>
      <c r="G16" s="871" t="s">
        <v>2013</v>
      </c>
      <c r="H16" s="872" t="s">
        <v>2014</v>
      </c>
      <c r="I16" s="873">
        <v>39</v>
      </c>
      <c r="J16" s="874"/>
      <c r="K16" s="875"/>
      <c r="L16" s="876">
        <f>SUM(L17:L17)</f>
        <v>120432</v>
      </c>
      <c r="M16" s="877">
        <f>40000/10*E16</f>
        <v>6400</v>
      </c>
      <c r="N16" s="877">
        <f>ROUND(L16+M16,0)</f>
        <v>126832</v>
      </c>
      <c r="O16" s="877">
        <v>180000</v>
      </c>
      <c r="P16" s="877">
        <f>ROUND(O16+N16,0)</f>
        <v>306832</v>
      </c>
      <c r="Q16" s="824" t="s">
        <v>2015</v>
      </c>
    </row>
    <row r="17" spans="1:18" hidden="1">
      <c r="A17" s="1732"/>
      <c r="B17" s="1734"/>
      <c r="C17" s="878"/>
      <c r="D17" s="879"/>
      <c r="E17" s="880"/>
      <c r="F17" s="881" t="s">
        <v>2016</v>
      </c>
      <c r="G17" s="882" t="s">
        <v>2017</v>
      </c>
      <c r="H17" s="883" t="s">
        <v>697</v>
      </c>
      <c r="I17" s="884">
        <v>39</v>
      </c>
      <c r="J17" s="885">
        <v>3088</v>
      </c>
      <c r="K17" s="886">
        <v>1</v>
      </c>
      <c r="L17" s="887">
        <f>ROUND(I17*J17*K17,0)</f>
        <v>120432</v>
      </c>
      <c r="M17" s="888"/>
      <c r="N17" s="888"/>
      <c r="O17" s="888"/>
      <c r="P17" s="888"/>
      <c r="R17" s="889">
        <v>5138</v>
      </c>
    </row>
    <row r="18" spans="1:18">
      <c r="A18" s="1728">
        <v>1</v>
      </c>
      <c r="B18" s="1730" t="s">
        <v>2018</v>
      </c>
      <c r="C18" s="873" t="s">
        <v>2019</v>
      </c>
      <c r="D18" s="868">
        <v>0.97</v>
      </c>
      <c r="E18" s="869">
        <v>1</v>
      </c>
      <c r="F18" s="870"/>
      <c r="G18" s="871" t="s">
        <v>2020</v>
      </c>
      <c r="H18" s="872" t="s">
        <v>2014</v>
      </c>
      <c r="I18" s="890">
        <v>49</v>
      </c>
      <c r="J18" s="891"/>
      <c r="K18" s="892"/>
      <c r="L18" s="893">
        <f>SUM(L19:L19)</f>
        <v>24</v>
      </c>
      <c r="M18" s="894">
        <f>40000/10/1000*D18</f>
        <v>3.88</v>
      </c>
      <c r="N18" s="895">
        <f>ROUND(L18+M18,0)</f>
        <v>28</v>
      </c>
      <c r="O18" s="895">
        <v>966</v>
      </c>
      <c r="P18" s="895">
        <f>O18+N18</f>
        <v>994</v>
      </c>
      <c r="Q18" s="824" t="s">
        <v>2021</v>
      </c>
    </row>
    <row r="19" spans="1:18">
      <c r="A19" s="1729"/>
      <c r="B19" s="1731"/>
      <c r="C19" s="878" t="s">
        <v>697</v>
      </c>
      <c r="D19" s="879" t="s">
        <v>1730</v>
      </c>
      <c r="E19" s="880"/>
      <c r="F19" s="881" t="s">
        <v>2022</v>
      </c>
      <c r="G19" s="896" t="s">
        <v>2023</v>
      </c>
      <c r="H19" s="883"/>
      <c r="I19" s="897">
        <f>I18</f>
        <v>49</v>
      </c>
      <c r="J19" s="898">
        <f>5138/1000/10</f>
        <v>0.51380000000000003</v>
      </c>
      <c r="K19" s="898">
        <v>1</v>
      </c>
      <c r="L19" s="899">
        <f>ROUND(I19*J19*K19*D18,0)</f>
        <v>24</v>
      </c>
      <c r="M19" s="900"/>
      <c r="N19" s="901"/>
      <c r="O19" s="901"/>
      <c r="P19" s="901"/>
      <c r="R19" s="889"/>
    </row>
    <row r="20" spans="1:18">
      <c r="A20" s="1728">
        <v>2</v>
      </c>
      <c r="B20" s="1730" t="s">
        <v>2024</v>
      </c>
      <c r="C20" s="873" t="s">
        <v>2019</v>
      </c>
      <c r="D20" s="868">
        <v>1.65</v>
      </c>
      <c r="E20" s="869">
        <v>1</v>
      </c>
      <c r="F20" s="870"/>
      <c r="G20" s="871" t="s">
        <v>2020</v>
      </c>
      <c r="H20" s="872" t="s">
        <v>2014</v>
      </c>
      <c r="I20" s="890">
        <v>49</v>
      </c>
      <c r="J20" s="891"/>
      <c r="K20" s="892"/>
      <c r="L20" s="893">
        <f>SUM(L21:L21)</f>
        <v>42</v>
      </c>
      <c r="M20" s="902">
        <f>40000/10/1000*D20</f>
        <v>6.6</v>
      </c>
      <c r="N20" s="895">
        <f>ROUND(L20+M20,0)</f>
        <v>49</v>
      </c>
      <c r="O20" s="895">
        <v>1199</v>
      </c>
      <c r="P20" s="895">
        <f>O20+N20</f>
        <v>1248</v>
      </c>
      <c r="Q20" s="824" t="s">
        <v>2021</v>
      </c>
    </row>
    <row r="21" spans="1:18">
      <c r="A21" s="1729"/>
      <c r="B21" s="1731"/>
      <c r="C21" s="878" t="s">
        <v>697</v>
      </c>
      <c r="D21" s="879" t="s">
        <v>1730</v>
      </c>
      <c r="E21" s="880"/>
      <c r="F21" s="881" t="s">
        <v>2022</v>
      </c>
      <c r="G21" s="896" t="s">
        <v>2023</v>
      </c>
      <c r="H21" s="883"/>
      <c r="I21" s="897">
        <f>I20</f>
        <v>49</v>
      </c>
      <c r="J21" s="898">
        <f>5138/1000/10</f>
        <v>0.51380000000000003</v>
      </c>
      <c r="K21" s="898">
        <v>1</v>
      </c>
      <c r="L21" s="899">
        <f>ROUND(I21*J21*K21*D20,0)</f>
        <v>42</v>
      </c>
      <c r="M21" s="901"/>
      <c r="N21" s="901"/>
      <c r="O21" s="901"/>
      <c r="P21" s="901"/>
      <c r="R21" s="889"/>
    </row>
    <row r="22" spans="1:18">
      <c r="A22" s="1728">
        <v>3</v>
      </c>
      <c r="B22" s="1730" t="s">
        <v>2025</v>
      </c>
      <c r="C22" s="873" t="s">
        <v>2026</v>
      </c>
      <c r="D22" s="868">
        <v>1</v>
      </c>
      <c r="E22" s="869">
        <v>1</v>
      </c>
      <c r="F22" s="870"/>
      <c r="G22" s="871" t="s">
        <v>2027</v>
      </c>
      <c r="H22" s="872" t="s">
        <v>2014</v>
      </c>
      <c r="I22" s="890">
        <v>35</v>
      </c>
      <c r="J22" s="891"/>
      <c r="K22" s="892"/>
      <c r="L22" s="893">
        <f>SUM(L23:L23)</f>
        <v>102060</v>
      </c>
      <c r="M22" s="895">
        <f>40000/10*E22</f>
        <v>4000</v>
      </c>
      <c r="N22" s="895">
        <f>ROUND(L22+M22,0)</f>
        <v>106060</v>
      </c>
      <c r="O22" s="895">
        <v>1657407</v>
      </c>
      <c r="P22" s="895">
        <f>(N22+O22)/1000</f>
        <v>1763.4670000000001</v>
      </c>
      <c r="Q22" s="903" t="s">
        <v>2028</v>
      </c>
    </row>
    <row r="23" spans="1:18">
      <c r="A23" s="1729"/>
      <c r="B23" s="1731"/>
      <c r="C23" s="878" t="s">
        <v>697</v>
      </c>
      <c r="D23" s="879"/>
      <c r="E23" s="880"/>
      <c r="F23" s="881" t="s">
        <v>2029</v>
      </c>
      <c r="G23" s="882" t="s">
        <v>2030</v>
      </c>
      <c r="H23" s="883" t="s">
        <v>697</v>
      </c>
      <c r="I23" s="897">
        <f>I22</f>
        <v>35</v>
      </c>
      <c r="J23" s="904">
        <v>2916</v>
      </c>
      <c r="K23" s="898">
        <v>1</v>
      </c>
      <c r="L23" s="899">
        <f>ROUND(I23*J23*K23,0)</f>
        <v>102060</v>
      </c>
      <c r="M23" s="901"/>
      <c r="N23" s="901"/>
      <c r="O23" s="901"/>
      <c r="P23" s="901"/>
      <c r="R23" s="889"/>
    </row>
    <row r="24" spans="1:18">
      <c r="A24" s="1728">
        <v>4</v>
      </c>
      <c r="B24" s="1730" t="s">
        <v>1747</v>
      </c>
      <c r="C24" s="873" t="s">
        <v>2026</v>
      </c>
      <c r="D24" s="868">
        <v>1</v>
      </c>
      <c r="E24" s="869">
        <v>1</v>
      </c>
      <c r="F24" s="870"/>
      <c r="G24" s="871" t="s">
        <v>2031</v>
      </c>
      <c r="H24" s="872" t="s">
        <v>2014</v>
      </c>
      <c r="I24" s="890">
        <v>40</v>
      </c>
      <c r="J24" s="891"/>
      <c r="K24" s="892"/>
      <c r="L24" s="893">
        <f>SUM(L25:L25)</f>
        <v>61120</v>
      </c>
      <c r="M24" s="895">
        <f>40000/10*E24</f>
        <v>4000</v>
      </c>
      <c r="N24" s="895">
        <f>ROUND(L24+M24,0)</f>
        <v>65120</v>
      </c>
      <c r="O24" s="895">
        <v>18000000</v>
      </c>
      <c r="P24" s="895">
        <f>(N24+O24)/1000</f>
        <v>18065.12</v>
      </c>
      <c r="Q24" s="905" t="s">
        <v>2032</v>
      </c>
    </row>
    <row r="25" spans="1:18">
      <c r="A25" s="1729"/>
      <c r="B25" s="1731"/>
      <c r="C25" s="878" t="s">
        <v>697</v>
      </c>
      <c r="D25" s="879"/>
      <c r="E25" s="880"/>
      <c r="F25" s="881" t="s">
        <v>2033</v>
      </c>
      <c r="G25" s="882" t="s">
        <v>2034</v>
      </c>
      <c r="H25" s="883" t="s">
        <v>697</v>
      </c>
      <c r="I25" s="897">
        <f>I24</f>
        <v>40</v>
      </c>
      <c r="J25" s="904">
        <v>1528</v>
      </c>
      <c r="K25" s="898">
        <v>1</v>
      </c>
      <c r="L25" s="899">
        <f>ROUND(I25*J25*K25,0)</f>
        <v>61120</v>
      </c>
      <c r="M25" s="901"/>
      <c r="N25" s="901"/>
      <c r="O25" s="901"/>
      <c r="P25" s="901"/>
      <c r="R25" s="889"/>
    </row>
    <row r="26" spans="1:18" hidden="1">
      <c r="A26" s="1728">
        <v>9</v>
      </c>
      <c r="B26" s="1728" t="s">
        <v>2035</v>
      </c>
      <c r="C26" s="842" t="s">
        <v>2026</v>
      </c>
      <c r="D26" s="906">
        <v>1</v>
      </c>
      <c r="E26" s="843">
        <v>1</v>
      </c>
      <c r="F26" s="839"/>
      <c r="G26" s="840" t="s">
        <v>2036</v>
      </c>
      <c r="H26" s="841" t="s">
        <v>2014</v>
      </c>
      <c r="I26" s="842">
        <v>13.6</v>
      </c>
      <c r="J26" s="907"/>
      <c r="K26" s="908"/>
      <c r="L26" s="844">
        <f>SUM(L27:L27)</f>
        <v>9656</v>
      </c>
      <c r="M26" s="845">
        <f>40000/10*E26</f>
        <v>4000</v>
      </c>
      <c r="N26" s="845">
        <f>ROUND(L26+M26,0)</f>
        <v>13656</v>
      </c>
      <c r="O26" s="845">
        <f>17450000</f>
        <v>17450000</v>
      </c>
      <c r="P26" s="845">
        <f>(N26+O26)/1000</f>
        <v>17463.655999999999</v>
      </c>
      <c r="Q26" s="903" t="s">
        <v>2037</v>
      </c>
    </row>
    <row r="27" spans="1:18" hidden="1">
      <c r="A27" s="1729"/>
      <c r="B27" s="1729"/>
      <c r="C27" s="846" t="s">
        <v>697</v>
      </c>
      <c r="D27" s="847"/>
      <c r="E27" s="848"/>
      <c r="F27" s="849" t="s">
        <v>2038</v>
      </c>
      <c r="G27" s="866" t="s">
        <v>2039</v>
      </c>
      <c r="H27" s="851" t="s">
        <v>697</v>
      </c>
      <c r="I27" s="852">
        <v>13.6</v>
      </c>
      <c r="J27" s="909">
        <v>710</v>
      </c>
      <c r="K27" s="854">
        <v>1</v>
      </c>
      <c r="L27" s="910">
        <f>ROUND(I27*J27*K27,0)</f>
        <v>9656</v>
      </c>
      <c r="M27" s="856"/>
      <c r="N27" s="856"/>
      <c r="O27" s="856"/>
      <c r="P27" s="856"/>
    </row>
    <row r="28" spans="1:18" hidden="1">
      <c r="A28" s="1728">
        <v>10</v>
      </c>
      <c r="B28" s="1728" t="s">
        <v>2040</v>
      </c>
      <c r="C28" s="842" t="s">
        <v>2026</v>
      </c>
      <c r="D28" s="906">
        <v>1</v>
      </c>
      <c r="E28" s="843">
        <v>1</v>
      </c>
      <c r="F28" s="839"/>
      <c r="G28" s="840" t="s">
        <v>2036</v>
      </c>
      <c r="H28" s="841" t="s">
        <v>2014</v>
      </c>
      <c r="I28" s="842">
        <v>13.6</v>
      </c>
      <c r="J28" s="907"/>
      <c r="K28" s="908"/>
      <c r="L28" s="844">
        <f>SUM(L29:L29)</f>
        <v>9656</v>
      </c>
      <c r="M28" s="845">
        <f>40000/10*E28</f>
        <v>4000</v>
      </c>
      <c r="N28" s="845">
        <f>ROUND(L28+M28,0)</f>
        <v>13656</v>
      </c>
      <c r="O28" s="845">
        <f>17300000</f>
        <v>17300000</v>
      </c>
      <c r="P28" s="845">
        <f>(N28+O28)/1000</f>
        <v>17313.655999999999</v>
      </c>
      <c r="Q28" s="903" t="s">
        <v>2037</v>
      </c>
    </row>
    <row r="29" spans="1:18" hidden="1">
      <c r="A29" s="1729"/>
      <c r="B29" s="1729"/>
      <c r="C29" s="846" t="s">
        <v>697</v>
      </c>
      <c r="D29" s="847"/>
      <c r="E29" s="848"/>
      <c r="F29" s="849" t="s">
        <v>2038</v>
      </c>
      <c r="G29" s="866" t="s">
        <v>2039</v>
      </c>
      <c r="H29" s="851" t="s">
        <v>697</v>
      </c>
      <c r="I29" s="852">
        <v>13.6</v>
      </c>
      <c r="J29" s="909">
        <v>710</v>
      </c>
      <c r="K29" s="854">
        <v>1</v>
      </c>
      <c r="L29" s="910">
        <f>ROUND(I29*J29*K29,0)</f>
        <v>9656</v>
      </c>
      <c r="M29" s="856"/>
      <c r="N29" s="856"/>
      <c r="O29" s="856"/>
      <c r="P29" s="856"/>
    </row>
    <row r="30" spans="1:18" hidden="1">
      <c r="A30" s="1728">
        <v>11</v>
      </c>
      <c r="B30" s="1728" t="s">
        <v>2041</v>
      </c>
      <c r="C30" s="842" t="s">
        <v>2019</v>
      </c>
      <c r="D30" s="906">
        <v>2</v>
      </c>
      <c r="E30" s="843">
        <v>1</v>
      </c>
      <c r="F30" s="839"/>
      <c r="G30" s="840" t="s">
        <v>2042</v>
      </c>
      <c r="H30" s="841" t="s">
        <v>2014</v>
      </c>
      <c r="I30" s="842">
        <v>39</v>
      </c>
      <c r="J30" s="907"/>
      <c r="K30" s="908"/>
      <c r="L30" s="844">
        <f>SUM(L31:L31)</f>
        <v>361</v>
      </c>
      <c r="M30" s="911">
        <f>40000/10/1000*D30</f>
        <v>8</v>
      </c>
      <c r="N30" s="845">
        <f>ROUND(L30+M30,0)</f>
        <v>369</v>
      </c>
      <c r="O30" s="845">
        <v>14000</v>
      </c>
      <c r="P30" s="845">
        <f>O30+N30</f>
        <v>14369</v>
      </c>
      <c r="Q30" s="824" t="s">
        <v>2043</v>
      </c>
    </row>
    <row r="31" spans="1:18" hidden="1">
      <c r="A31" s="1729"/>
      <c r="B31" s="1729"/>
      <c r="C31" s="846" t="s">
        <v>697</v>
      </c>
      <c r="D31" s="847" t="s">
        <v>1730</v>
      </c>
      <c r="E31" s="848"/>
      <c r="F31" s="849" t="s">
        <v>2022</v>
      </c>
      <c r="G31" s="866" t="s">
        <v>2017</v>
      </c>
      <c r="H31" s="851"/>
      <c r="I31" s="852">
        <v>39</v>
      </c>
      <c r="J31" s="854">
        <f>4627/1000</f>
        <v>4.6269999999999998</v>
      </c>
      <c r="K31" s="854">
        <v>1</v>
      </c>
      <c r="L31" s="910">
        <f>ROUND(I31*J31*K31*D30,0)</f>
        <v>361</v>
      </c>
      <c r="M31" s="856"/>
      <c r="N31" s="856"/>
      <c r="O31" s="856"/>
      <c r="P31" s="856"/>
    </row>
    <row r="32" spans="1:18" hidden="1">
      <c r="A32" s="1728">
        <v>12</v>
      </c>
      <c r="B32" s="1728" t="s">
        <v>2044</v>
      </c>
      <c r="C32" s="842" t="s">
        <v>2019</v>
      </c>
      <c r="D32" s="906">
        <v>1.65</v>
      </c>
      <c r="E32" s="843">
        <v>1</v>
      </c>
      <c r="F32" s="839"/>
      <c r="G32" s="840" t="s">
        <v>2045</v>
      </c>
      <c r="H32" s="841" t="s">
        <v>2014</v>
      </c>
      <c r="I32" s="842">
        <v>39</v>
      </c>
      <c r="J32" s="907"/>
      <c r="K32" s="908"/>
      <c r="L32" s="844">
        <f>SUM(L33:L33)</f>
        <v>297</v>
      </c>
      <c r="M32" s="911">
        <f>40000/10/1000*D32</f>
        <v>6.6</v>
      </c>
      <c r="N32" s="845">
        <f>ROUND(L32+M32,0)</f>
        <v>304</v>
      </c>
      <c r="O32" s="845">
        <v>1418</v>
      </c>
      <c r="P32" s="845">
        <f>O32+N32</f>
        <v>1722</v>
      </c>
    </row>
    <row r="33" spans="1:18" hidden="1">
      <c r="A33" s="1729"/>
      <c r="B33" s="1729"/>
      <c r="C33" s="846" t="s">
        <v>697</v>
      </c>
      <c r="D33" s="847" t="s">
        <v>1730</v>
      </c>
      <c r="E33" s="848"/>
      <c r="F33" s="849" t="s">
        <v>2022</v>
      </c>
      <c r="G33" s="866" t="s">
        <v>2017</v>
      </c>
      <c r="H33" s="851"/>
      <c r="I33" s="852">
        <v>39</v>
      </c>
      <c r="J33" s="854">
        <f>46224/1000/10</f>
        <v>4.6223999999999998</v>
      </c>
      <c r="K33" s="854">
        <v>1</v>
      </c>
      <c r="L33" s="910">
        <f>ROUND(I33*J33*K33*D32,0)</f>
        <v>297</v>
      </c>
      <c r="M33" s="856"/>
      <c r="N33" s="856"/>
      <c r="O33" s="856"/>
      <c r="P33" s="856"/>
    </row>
    <row r="34" spans="1:18" hidden="1">
      <c r="A34" s="1728">
        <v>13</v>
      </c>
      <c r="B34" s="1728" t="s">
        <v>2046</v>
      </c>
      <c r="C34" s="842" t="s">
        <v>2047</v>
      </c>
      <c r="D34" s="906">
        <v>1</v>
      </c>
      <c r="E34" s="843">
        <v>1</v>
      </c>
      <c r="F34" s="839"/>
      <c r="G34" s="840" t="s">
        <v>2045</v>
      </c>
      <c r="H34" s="841" t="s">
        <v>2014</v>
      </c>
      <c r="I34" s="842">
        <v>39</v>
      </c>
      <c r="J34" s="907"/>
      <c r="K34" s="908"/>
      <c r="L34" s="844">
        <f>SUM(L35:L35)</f>
        <v>64155</v>
      </c>
      <c r="M34" s="911">
        <f>40000/10/1000*D34</f>
        <v>4</v>
      </c>
      <c r="N34" s="845">
        <f>ROUND(L34+M34,0)</f>
        <v>64159</v>
      </c>
      <c r="O34" s="845">
        <v>2114296</v>
      </c>
      <c r="P34" s="845">
        <f>O34+N34</f>
        <v>2178455</v>
      </c>
      <c r="Q34" s="824">
        <v>0.113</v>
      </c>
      <c r="R34" s="912"/>
    </row>
    <row r="35" spans="1:18" hidden="1">
      <c r="A35" s="1729"/>
      <c r="B35" s="1729"/>
      <c r="C35" s="846"/>
      <c r="D35" s="847"/>
      <c r="E35" s="848"/>
      <c r="F35" s="849" t="s">
        <v>2048</v>
      </c>
      <c r="G35" s="866" t="s">
        <v>2017</v>
      </c>
      <c r="H35" s="851"/>
      <c r="I35" s="852">
        <v>39</v>
      </c>
      <c r="J35" s="909">
        <v>1645</v>
      </c>
      <c r="K35" s="854">
        <v>1</v>
      </c>
      <c r="L35" s="910">
        <f>ROUND(I35*J35*K35*D34,0)</f>
        <v>64155</v>
      </c>
      <c r="M35" s="856"/>
      <c r="N35" s="856"/>
      <c r="O35" s="856"/>
      <c r="P35" s="856"/>
    </row>
    <row r="38" spans="1:18" hidden="1"/>
    <row r="39" spans="1:18" hidden="1"/>
    <row r="40" spans="1:18" hidden="1">
      <c r="I40" s="844"/>
      <c r="J40" s="844"/>
      <c r="K40" s="844" t="s">
        <v>1730</v>
      </c>
      <c r="L40" s="844"/>
      <c r="M40" s="844"/>
      <c r="N40" s="844"/>
      <c r="O40" s="844"/>
      <c r="P40" s="844"/>
    </row>
    <row r="41" spans="1:18" hidden="1">
      <c r="I41" s="844" t="s">
        <v>2049</v>
      </c>
      <c r="J41" s="844">
        <v>240</v>
      </c>
      <c r="K41" s="844">
        <f>3.14*0.24*0.06*2500</f>
        <v>113.03999999999999</v>
      </c>
      <c r="L41" s="844" t="s">
        <v>2050</v>
      </c>
      <c r="M41" s="844"/>
      <c r="N41" s="913">
        <f>K41/1000</f>
        <v>0.11303999999999999</v>
      </c>
      <c r="O41" s="844">
        <f>N41*N34</f>
        <v>7252.5333599999994</v>
      </c>
      <c r="P41" s="844">
        <v>239000</v>
      </c>
      <c r="Q41" s="914">
        <f>P41+O41</f>
        <v>246252.53336</v>
      </c>
    </row>
    <row r="42" spans="1:18" hidden="1">
      <c r="I42" s="844" t="s">
        <v>2051</v>
      </c>
      <c r="J42" s="844"/>
      <c r="K42" s="844"/>
      <c r="L42" s="844"/>
      <c r="M42" s="844"/>
      <c r="N42" s="844"/>
      <c r="O42" s="844"/>
      <c r="P42" s="844"/>
    </row>
    <row r="43" spans="1:18" hidden="1">
      <c r="I43" s="844"/>
      <c r="J43" s="844"/>
      <c r="K43" s="844"/>
      <c r="L43" s="844"/>
      <c r="M43" s="844"/>
      <c r="N43" s="844">
        <f>P41/N41</f>
        <v>2114295.8244869076</v>
      </c>
      <c r="O43" s="844"/>
      <c r="P43" s="844"/>
    </row>
    <row r="44" spans="1:18" hidden="1">
      <c r="I44" s="844"/>
      <c r="J44" s="844"/>
      <c r="K44" s="844" t="s">
        <v>1730</v>
      </c>
      <c r="L44" s="844"/>
      <c r="M44" s="844"/>
      <c r="N44" s="844"/>
      <c r="O44" s="844"/>
      <c r="P44" s="844"/>
    </row>
    <row r="45" spans="1:18" hidden="1">
      <c r="I45" s="844" t="s">
        <v>2052</v>
      </c>
      <c r="J45" s="844">
        <f>(350+230)/2</f>
        <v>290</v>
      </c>
      <c r="K45" s="844">
        <f>3.14*0.29*0.06*2500</f>
        <v>136.59</v>
      </c>
      <c r="L45" s="844" t="s">
        <v>2050</v>
      </c>
      <c r="M45" s="844"/>
      <c r="N45" s="913">
        <f>K45/1000</f>
        <v>0.13659000000000002</v>
      </c>
      <c r="O45" s="844">
        <f>N45*N34</f>
        <v>8763.4778100000003</v>
      </c>
      <c r="P45" s="844">
        <v>291000</v>
      </c>
      <c r="Q45" s="914">
        <f>P45+O45</f>
        <v>299763.47781000001</v>
      </c>
    </row>
    <row r="46" spans="1:18" hidden="1">
      <c r="I46" s="844" t="s">
        <v>2053</v>
      </c>
      <c r="J46" s="844"/>
      <c r="K46" s="844"/>
      <c r="L46" s="844"/>
      <c r="M46" s="844"/>
      <c r="N46" s="844"/>
      <c r="O46" s="844"/>
      <c r="P46" s="844"/>
    </row>
    <row r="47" spans="1:18" hidden="1"/>
  </sheetData>
  <mergeCells count="32">
    <mergeCell ref="A7:P7"/>
    <mergeCell ref="A1:P1"/>
    <mergeCell ref="A2:P2"/>
    <mergeCell ref="A4:P4"/>
    <mergeCell ref="A5:P5"/>
    <mergeCell ref="A6:P6"/>
    <mergeCell ref="A10:A11"/>
    <mergeCell ref="B10:B11"/>
    <mergeCell ref="A12:A13"/>
    <mergeCell ref="B12:B13"/>
    <mergeCell ref="A14:A15"/>
    <mergeCell ref="B14:B15"/>
    <mergeCell ref="A16:A17"/>
    <mergeCell ref="B16:B17"/>
    <mergeCell ref="A18:A19"/>
    <mergeCell ref="B18:B19"/>
    <mergeCell ref="A20:A21"/>
    <mergeCell ref="B20:B21"/>
    <mergeCell ref="A22:A23"/>
    <mergeCell ref="B22:B23"/>
    <mergeCell ref="A24:A25"/>
    <mergeCell ref="B24:B25"/>
    <mergeCell ref="A26:A27"/>
    <mergeCell ref="B26:B27"/>
    <mergeCell ref="A34:A35"/>
    <mergeCell ref="B34:B35"/>
    <mergeCell ref="A28:A29"/>
    <mergeCell ref="B28:B29"/>
    <mergeCell ref="A30:A31"/>
    <mergeCell ref="B30:B31"/>
    <mergeCell ref="A32:A33"/>
    <mergeCell ref="B32:B3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E.C.O.N Co.,Ltd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ĐOÀN CÔNG UẨN</dc:creator>
  <cp:keywords/>
  <dc:description/>
  <cp:lastModifiedBy>Thành Đạt Giang</cp:lastModifiedBy>
  <cp:revision/>
  <dcterms:created xsi:type="dcterms:W3CDTF">2005-06-09T08:50:30Z</dcterms:created>
  <dcterms:modified xsi:type="dcterms:W3CDTF">2025-02-21T08:50:33Z</dcterms:modified>
  <cp:category/>
  <cp:contentStatus/>
</cp:coreProperties>
</file>