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medu-my.sharepoint.com/personal/1921006823_sv_ufm_edu_vn/Documents/Desktop/Hệ hỗ trợ ra quyết định/"/>
    </mc:Choice>
  </mc:AlternateContent>
  <xr:revisionPtr revIDLastSave="170842" documentId="8_{6C449BFF-DB47-45BA-81D6-D654D1F47399}" xr6:coauthVersionLast="47" xr6:coauthVersionMax="47" xr10:uidLastSave="{3ECED2F6-F523-4695-B092-0C97FC964B8F}"/>
  <bookViews>
    <workbookView xWindow="-108" yWindow="-108" windowWidth="23256" windowHeight="12576" xr2:uid="{3EB07F35-3213-4379-810D-378926CF149A}"/>
  </bookViews>
  <sheets>
    <sheet name="Bài 1 - Vấn đề 1" sheetId="3" r:id="rId1"/>
    <sheet name="Bài 1 - Vấn đề 2" sheetId="4" r:id="rId2"/>
    <sheet name="Bài 1 - Vấn đề 3" sheetId="5" r:id="rId3"/>
    <sheet name="Scenario Summary" sheetId="7" r:id="rId4"/>
    <sheet name="Bài 1 - Vấn đề 4" sheetId="6" r:id="rId5"/>
    <sheet name="Bài 2 - Solver" sheetId="13" r:id="rId6"/>
  </sheets>
  <definedNames>
    <definedName name="solver_adj" localSheetId="5" hidden="1">'Bài 2 - Solver'!$C$17:$G$17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'Bài 2 - Solver'!$C$35</definedName>
    <definedName name="solver_lhs10" localSheetId="5" hidden="1">'Bài 2 - Solver'!$D$30</definedName>
    <definedName name="solver_lhs11" localSheetId="5" hidden="1">'Bài 2 - Solver'!$D$30</definedName>
    <definedName name="solver_lhs12" localSheetId="5" hidden="1">'Bài 2 - Solver'!$D$31</definedName>
    <definedName name="solver_lhs13" localSheetId="5" hidden="1">'Bài 2 - Solver'!$D$31</definedName>
    <definedName name="solver_lhs14" localSheetId="5" hidden="1">'Bài 2 - Solver'!$D$32</definedName>
    <definedName name="solver_lhs15" localSheetId="5" hidden="1">'Bài 2 - Solver'!$D$32</definedName>
    <definedName name="solver_lhs16" localSheetId="5" hidden="1">'Bài 2 - Solver'!$D$33</definedName>
    <definedName name="solver_lhs17" localSheetId="5" hidden="1">'Bài 2 - Solver'!$D$33</definedName>
    <definedName name="solver_lhs18" localSheetId="5" hidden="1">'Bài 2 - Solver'!$D$34</definedName>
    <definedName name="solver_lhs19" localSheetId="5" hidden="1">'Bài 2 - Solver'!$D$34</definedName>
    <definedName name="solver_lhs2" localSheetId="5" hidden="1">'Bài 2 - Solver'!$C$36</definedName>
    <definedName name="solver_lhs3" localSheetId="5" hidden="1">'Bài 2 - Solver'!$C$37</definedName>
    <definedName name="solver_lhs4" localSheetId="5" hidden="1">'Bài 2 - Solver'!$C$38</definedName>
    <definedName name="solver_lhs5" localSheetId="5" hidden="1">'Bài 2 - Solver'!$C$39</definedName>
    <definedName name="solver_lhs6" localSheetId="5" hidden="1">'Bài 2 - Solver'!$C$40</definedName>
    <definedName name="solver_lhs7" localSheetId="5" hidden="1">'Bài 2 - Solver'!$C$41</definedName>
    <definedName name="solver_lhs8" localSheetId="5" hidden="1">'Bài 2 - Solver'!$C$42</definedName>
    <definedName name="solver_lhs9" localSheetId="5" hidden="1">'Bài 2 - Solver'!$C$43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19</definedName>
    <definedName name="solver_nwt" localSheetId="5" hidden="1">1</definedName>
    <definedName name="solver_opt" localSheetId="5" hidden="1">'Bài 2 - Solver'!$C$44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10" localSheetId="5" hidden="1">1</definedName>
    <definedName name="solver_rel11" localSheetId="5" hidden="1">3</definedName>
    <definedName name="solver_rel12" localSheetId="5" hidden="1">1</definedName>
    <definedName name="solver_rel13" localSheetId="5" hidden="1">3</definedName>
    <definedName name="solver_rel14" localSheetId="5" hidden="1">1</definedName>
    <definedName name="solver_rel15" localSheetId="5" hidden="1">3</definedName>
    <definedName name="solver_rel16" localSheetId="5" hidden="1">1</definedName>
    <definedName name="solver_rel17" localSheetId="5" hidden="1">3</definedName>
    <definedName name="solver_rel18" localSheetId="5" hidden="1">1</definedName>
    <definedName name="solver_rel19" localSheetId="5" hidden="1">3</definedName>
    <definedName name="solver_rel2" localSheetId="5" hidden="1">1</definedName>
    <definedName name="solver_rel3" localSheetId="5" hidden="1">1</definedName>
    <definedName name="solver_rel4" localSheetId="5" hidden="1">1</definedName>
    <definedName name="solver_rel5" localSheetId="5" hidden="1">1</definedName>
    <definedName name="solver_rel6" localSheetId="5" hidden="1">1</definedName>
    <definedName name="solver_rel7" localSheetId="5" hidden="1">1</definedName>
    <definedName name="solver_rel8" localSheetId="5" hidden="1">1</definedName>
    <definedName name="solver_rel9" localSheetId="5" hidden="1">1</definedName>
    <definedName name="solver_rhs1" localSheetId="5" hidden="1">'Bài 2 - Solver'!$F$35</definedName>
    <definedName name="solver_rhs10" localSheetId="5" hidden="1">'Bài 2 - Solver'!$F$30</definedName>
    <definedName name="solver_rhs11" localSheetId="5" hidden="1">'Bài 2 - Solver'!$E$30</definedName>
    <definedName name="solver_rhs12" localSheetId="5" hidden="1">'Bài 2 - Solver'!$F$31</definedName>
    <definedName name="solver_rhs13" localSheetId="5" hidden="1">'Bài 2 - Solver'!$E$31</definedName>
    <definedName name="solver_rhs14" localSheetId="5" hidden="1">'Bài 2 - Solver'!$F$32</definedName>
    <definedName name="solver_rhs15" localSheetId="5" hidden="1">'Bài 2 - Solver'!$E$32</definedName>
    <definedName name="solver_rhs16" localSheetId="5" hidden="1">'Bài 2 - Solver'!$F$33</definedName>
    <definedName name="solver_rhs17" localSheetId="5" hidden="1">'Bài 2 - Solver'!$E$33</definedName>
    <definedName name="solver_rhs18" localSheetId="5" hidden="1">'Bài 2 - Solver'!$F$34</definedName>
    <definedName name="solver_rhs19" localSheetId="5" hidden="1">'Bài 2 - Solver'!$E$34</definedName>
    <definedName name="solver_rhs2" localSheetId="5" hidden="1">'Bài 2 - Solver'!$F$36</definedName>
    <definedName name="solver_rhs3" localSheetId="5" hidden="1">'Bài 2 - Solver'!$F$37</definedName>
    <definedName name="solver_rhs4" localSheetId="5" hidden="1">'Bài 2 - Solver'!$F$38</definedName>
    <definedName name="solver_rhs5" localSheetId="5" hidden="1">'Bài 2 - Solver'!$F$39</definedName>
    <definedName name="solver_rhs6" localSheetId="5" hidden="1">'Bài 2 - Solver'!$F$40</definedName>
    <definedName name="solver_rhs7" localSheetId="5" hidden="1">'Bài 2 - Solver'!$F$41</definedName>
    <definedName name="solver_rhs8" localSheetId="5" hidden="1">'Bài 2 - Solver'!$F$42</definedName>
    <definedName name="solver_rhs9" localSheetId="5" hidden="1">'Bài 2 - Solver'!$F$43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13" l="1"/>
  <c r="L4" i="13"/>
  <c r="C34" i="13" l="1"/>
  <c r="D34" i="13" s="1"/>
  <c r="C33" i="13"/>
  <c r="D33" i="13" s="1"/>
  <c r="C32" i="13"/>
  <c r="D32" i="13" s="1"/>
  <c r="C31" i="13"/>
  <c r="D31" i="13" s="1"/>
  <c r="C30" i="13"/>
  <c r="D30" i="13" s="1"/>
  <c r="G27" i="13"/>
  <c r="F27" i="13"/>
  <c r="E27" i="13"/>
  <c r="D27" i="13"/>
  <c r="G26" i="13"/>
  <c r="F26" i="13"/>
  <c r="E26" i="13"/>
  <c r="D26" i="13"/>
  <c r="C26" i="13"/>
  <c r="G25" i="13"/>
  <c r="F25" i="13"/>
  <c r="E25" i="13"/>
  <c r="D25" i="13"/>
  <c r="C25" i="13"/>
  <c r="G24" i="13"/>
  <c r="F24" i="13"/>
  <c r="E24" i="13"/>
  <c r="D24" i="13"/>
  <c r="C24" i="13"/>
  <c r="G23" i="13"/>
  <c r="F23" i="13"/>
  <c r="E23" i="13"/>
  <c r="D23" i="13"/>
  <c r="C23" i="13"/>
  <c r="G22" i="13"/>
  <c r="F22" i="13"/>
  <c r="E22" i="13"/>
  <c r="D22" i="13"/>
  <c r="C22" i="13"/>
  <c r="G21" i="13"/>
  <c r="F21" i="13"/>
  <c r="E21" i="13"/>
  <c r="D21" i="13"/>
  <c r="C21" i="13"/>
  <c r="G20" i="13"/>
  <c r="F20" i="13"/>
  <c r="E20" i="13"/>
  <c r="D20" i="13"/>
  <c r="C20" i="13"/>
  <c r="G19" i="13"/>
  <c r="F19" i="13"/>
  <c r="E19" i="13"/>
  <c r="D19" i="13"/>
  <c r="C19" i="13"/>
  <c r="G18" i="13"/>
  <c r="F18" i="13"/>
  <c r="E18" i="13"/>
  <c r="D18" i="13"/>
  <c r="C18" i="13"/>
  <c r="L12" i="13"/>
  <c r="F43" i="13" s="1"/>
  <c r="L11" i="13"/>
  <c r="F42" i="13" s="1"/>
  <c r="L10" i="13"/>
  <c r="F41" i="13" s="1"/>
  <c r="L9" i="13"/>
  <c r="F40" i="13" s="1"/>
  <c r="L8" i="13"/>
  <c r="F39" i="13" s="1"/>
  <c r="L7" i="13"/>
  <c r="F38" i="13" s="1"/>
  <c r="L6" i="13"/>
  <c r="F37" i="13" s="1"/>
  <c r="L5" i="13"/>
  <c r="F36" i="13" s="1"/>
  <c r="F35" i="13"/>
  <c r="F28" i="4"/>
  <c r="B29" i="4"/>
  <c r="B30" i="4" s="1"/>
  <c r="B28" i="4"/>
  <c r="F18" i="4"/>
  <c r="B65" i="3"/>
  <c r="B66" i="3" s="1"/>
  <c r="C61" i="3"/>
  <c r="C59" i="3"/>
  <c r="C58" i="3"/>
  <c r="C55" i="3"/>
  <c r="B42" i="3"/>
  <c r="B41" i="3"/>
  <c r="C39" i="13" l="1"/>
  <c r="C35" i="13"/>
  <c r="C38" i="13"/>
  <c r="C43" i="13"/>
  <c r="C37" i="13"/>
  <c r="C42" i="13"/>
  <c r="C40" i="13"/>
  <c r="C36" i="13"/>
  <c r="C44" i="13"/>
  <c r="C41" i="13"/>
  <c r="B43" i="3"/>
  <c r="C13" i="6" l="1"/>
  <c r="C12" i="6"/>
  <c r="C14" i="5"/>
  <c r="B17" i="5" s="1"/>
  <c r="C13" i="5"/>
  <c r="C12" i="5"/>
  <c r="C31" i="3"/>
  <c r="D53" i="3" s="1"/>
  <c r="D31" i="3"/>
  <c r="E53" i="3" s="1"/>
  <c r="E31" i="3"/>
  <c r="F53" i="3" s="1"/>
  <c r="B31" i="3"/>
  <c r="C53" i="3" s="1"/>
  <c r="C14" i="6" l="1"/>
  <c r="D34" i="4"/>
  <c r="B19" i="4"/>
  <c r="F22" i="4"/>
  <c r="F23" i="4" s="1"/>
  <c r="B10" i="4" l="1"/>
  <c r="B20" i="4" s="1"/>
  <c r="B23" i="4"/>
  <c r="F19" i="4"/>
  <c r="J64" i="3"/>
  <c r="D55" i="3"/>
  <c r="D59" i="3" s="1"/>
  <c r="E55" i="3"/>
  <c r="E59" i="3" s="1"/>
  <c r="F55" i="3"/>
  <c r="F59" i="3" s="1"/>
  <c r="G55" i="3"/>
  <c r="G59" i="3" s="1"/>
  <c r="H55" i="3"/>
  <c r="H59" i="3" s="1"/>
  <c r="I55" i="3"/>
  <c r="I59" i="3" s="1"/>
  <c r="J55" i="3"/>
  <c r="J59" i="3" s="1"/>
  <c r="G30" i="3"/>
  <c r="G31" i="3" s="1"/>
  <c r="H53" i="3" s="1"/>
  <c r="H30" i="3"/>
  <c r="H31" i="3" s="1"/>
  <c r="I53" i="3" s="1"/>
  <c r="I30" i="3"/>
  <c r="I31" i="3" s="1"/>
  <c r="J53" i="3" s="1"/>
  <c r="F30" i="3"/>
  <c r="B50" i="3"/>
  <c r="E42" i="3"/>
  <c r="E43" i="3" s="1"/>
  <c r="C56" i="3" s="1"/>
  <c r="E8" i="3"/>
  <c r="E9" i="3"/>
  <c r="E10" i="3"/>
  <c r="E11" i="3"/>
  <c r="E12" i="3"/>
  <c r="E7" i="3"/>
  <c r="I20" i="3" l="1"/>
  <c r="F20" i="3"/>
  <c r="H20" i="3"/>
  <c r="B20" i="3"/>
  <c r="C20" i="3"/>
  <c r="D20" i="3"/>
  <c r="E20" i="3"/>
  <c r="G20" i="3"/>
  <c r="H19" i="3"/>
  <c r="I19" i="3"/>
  <c r="B19" i="3"/>
  <c r="E19" i="3"/>
  <c r="C19" i="3"/>
  <c r="D19" i="3"/>
  <c r="G19" i="3"/>
  <c r="F19" i="3"/>
  <c r="I22" i="3"/>
  <c r="B22" i="3"/>
  <c r="F22" i="3"/>
  <c r="H22" i="3"/>
  <c r="C22" i="3"/>
  <c r="D22" i="3"/>
  <c r="E22" i="3"/>
  <c r="G22" i="3"/>
  <c r="H18" i="3"/>
  <c r="I18" i="3"/>
  <c r="E18" i="3"/>
  <c r="B18" i="3"/>
  <c r="C18" i="3"/>
  <c r="G18" i="3"/>
  <c r="D18" i="3"/>
  <c r="F18" i="3"/>
  <c r="H17" i="3"/>
  <c r="E17" i="3"/>
  <c r="B17" i="3"/>
  <c r="I17" i="3"/>
  <c r="C17" i="3"/>
  <c r="D17" i="3"/>
  <c r="F17" i="3"/>
  <c r="G17" i="3"/>
  <c r="I21" i="3"/>
  <c r="B21" i="3"/>
  <c r="C21" i="3"/>
  <c r="F21" i="3"/>
  <c r="H21" i="3"/>
  <c r="D21" i="3"/>
  <c r="E21" i="3"/>
  <c r="G21" i="3"/>
  <c r="F31" i="3"/>
  <c r="G53" i="3" s="1"/>
  <c r="J63" i="3"/>
  <c r="F20" i="4"/>
  <c r="F29" i="4" l="1"/>
  <c r="F30" i="4" s="1"/>
  <c r="I23" i="3"/>
  <c r="J52" i="3" s="1"/>
  <c r="F23" i="3"/>
  <c r="G52" i="3" s="1"/>
  <c r="B23" i="3"/>
  <c r="C52" i="3" s="1"/>
  <c r="D23" i="3"/>
  <c r="E52" i="3" s="1"/>
  <c r="C23" i="3"/>
  <c r="D52" i="3" s="1"/>
  <c r="H23" i="3"/>
  <c r="I52" i="3" s="1"/>
  <c r="E23" i="3"/>
  <c r="F52" i="3" s="1"/>
  <c r="G23" i="3"/>
  <c r="H52" i="3" s="1"/>
  <c r="D56" i="3"/>
  <c r="E56" i="3"/>
  <c r="F56" i="3"/>
  <c r="G56" i="3"/>
  <c r="G58" i="3" s="1"/>
  <c r="H56" i="3"/>
  <c r="H58" i="3" s="1"/>
  <c r="I56" i="3"/>
  <c r="I58" i="3" s="1"/>
  <c r="J56" i="3"/>
  <c r="J58" i="3" s="1"/>
  <c r="D33" i="4" l="1"/>
  <c r="D35" i="4" s="1"/>
  <c r="E58" i="3"/>
  <c r="E60" i="3" s="1"/>
  <c r="E61" i="3" s="1"/>
  <c r="E62" i="3" s="1"/>
  <c r="E65" i="3" s="1"/>
  <c r="F58" i="3"/>
  <c r="F60" i="3" s="1"/>
  <c r="F61" i="3" s="1"/>
  <c r="F62" i="3" s="1"/>
  <c r="F65" i="3" s="1"/>
  <c r="D58" i="3"/>
  <c r="D60" i="3" s="1"/>
  <c r="D61" i="3" s="1"/>
  <c r="D62" i="3" s="1"/>
  <c r="D65" i="3" s="1"/>
  <c r="C60" i="3"/>
  <c r="C62" i="3" s="1"/>
  <c r="C65" i="3" s="1"/>
  <c r="G60" i="3"/>
  <c r="G61" i="3" s="1"/>
  <c r="G62" i="3" s="1"/>
  <c r="G65" i="3" s="1"/>
  <c r="H60" i="3"/>
  <c r="H61" i="3" s="1"/>
  <c r="H62" i="3" s="1"/>
  <c r="H65" i="3" s="1"/>
  <c r="J60" i="3" l="1"/>
  <c r="J61" i="3" s="1"/>
  <c r="J62" i="3" s="1"/>
  <c r="J65" i="3" s="1"/>
  <c r="I60" i="3"/>
  <c r="I61" i="3" s="1"/>
  <c r="I62" i="3" s="1"/>
  <c r="I65" i="3" s="1"/>
  <c r="B67" i="3" l="1"/>
</calcChain>
</file>

<file path=xl/sharedStrings.xml><?xml version="1.0" encoding="utf-8"?>
<sst xmlns="http://schemas.openxmlformats.org/spreadsheetml/2006/main" count="276" uniqueCount="147">
  <si>
    <t>TSCD</t>
  </si>
  <si>
    <t>Trị giá</t>
  </si>
  <si>
    <t>Xưởng sản xuất</t>
  </si>
  <si>
    <t>Thiết bị khử khuẩn</t>
  </si>
  <si>
    <t>Hệ thống đường ray</t>
  </si>
  <si>
    <t>Ngăn làm mát</t>
  </si>
  <si>
    <t>Xe vận chuyển</t>
  </si>
  <si>
    <t>Tài sản khác</t>
  </si>
  <si>
    <t>Tỷ suất lợi nhuận</t>
  </si>
  <si>
    <t>Khấu hao TSCD - Xưởng sản xuất</t>
  </si>
  <si>
    <t>Khấu hao TSCD - Thiết bị khử khuẩn</t>
  </si>
  <si>
    <t>Khấu hao TSCD - Hệ thống đường ray</t>
  </si>
  <si>
    <t>Khấu hao TSCD - Ngăn làm mát</t>
  </si>
  <si>
    <t>Khấu hao TSCD - Xe vận chuyển</t>
  </si>
  <si>
    <t>Khấu hao TSCD - Tài sản khác</t>
  </si>
  <si>
    <t>Chi phí bao bì, đóng gói</t>
  </si>
  <si>
    <t>Tổng chi phí</t>
  </si>
  <si>
    <t>Doanh thu</t>
  </si>
  <si>
    <t>Thuế</t>
  </si>
  <si>
    <t>Dòng ngân lưu</t>
  </si>
  <si>
    <t>Giá trị thanh lý TSCD</t>
  </si>
  <si>
    <t>Chi phí chế biến 1 lít sữa</t>
  </si>
  <si>
    <t>lít</t>
  </si>
  <si>
    <t>VẤN ĐỀ 1</t>
  </si>
  <si>
    <t>Thời gian sử dụng kỹ thuật</t>
  </si>
  <si>
    <t>Thời gian sử dụng thực tế</t>
  </si>
  <si>
    <t>Chi phí pha chế 10 lít sữa</t>
  </si>
  <si>
    <t>Giá bán 1 thùng sữa (48 hộp)</t>
  </si>
  <si>
    <t>Biến phí 100 thùng sữa</t>
  </si>
  <si>
    <t>Định phí khác trong năm</t>
  </si>
  <si>
    <t>Tỉ lệ thanh lý TSCD</t>
  </si>
  <si>
    <t>Dung tích 1 hộp sữa</t>
  </si>
  <si>
    <t>hộp sữa</t>
  </si>
  <si>
    <t>Số lít sản xuất 1 thùng sữa</t>
  </si>
  <si>
    <t>Tổng biến phí cho 1 thùng sữa</t>
  </si>
  <si>
    <t>Chi phí chế biến sữa cho 1 thùng sữa</t>
  </si>
  <si>
    <t>Năm 1</t>
  </si>
  <si>
    <t>Năm 2</t>
  </si>
  <si>
    <t>Năm 3</t>
  </si>
  <si>
    <t>Năm 4</t>
  </si>
  <si>
    <t>Năm 5</t>
  </si>
  <si>
    <t>Năm 6</t>
  </si>
  <si>
    <t>Năm 7</t>
  </si>
  <si>
    <t>Năm 8</t>
  </si>
  <si>
    <t>Chí phí nguyên vật liệu</t>
  </si>
  <si>
    <t>Chi phí marketing quảng bá</t>
  </si>
  <si>
    <t>Chi phí tiền điện (tháng)</t>
  </si>
  <si>
    <t>Chi phí nhân công (cứ 4 năm lại tăng thêm 10%)</t>
  </si>
  <si>
    <t>Biến phí 100 thùng sữa 
(chưa tính nguyên liệu sữa)</t>
  </si>
  <si>
    <t>Biến phí 1 thùng sữa
(chưa tính nguyên liệu sữa)</t>
  </si>
  <si>
    <t>Vốn</t>
  </si>
  <si>
    <t>Tổng TSCD</t>
  </si>
  <si>
    <t>Vốn ngắn hạn</t>
  </si>
  <si>
    <t>Định phí</t>
  </si>
  <si>
    <t>Biến phí</t>
  </si>
  <si>
    <t>Số lượng tiêu thụ</t>
  </si>
  <si>
    <t>Giá bán 1 thùng sữa</t>
  </si>
  <si>
    <t>Lợi nhuận trước thuế</t>
  </si>
  <si>
    <t>Thuế suất thu nhập</t>
  </si>
  <si>
    <t>Lợi nhuận sau thuế</t>
  </si>
  <si>
    <t>Thanh lý TSCD</t>
  </si>
  <si>
    <t>Thu hồi vốn ngắn hạn</t>
  </si>
  <si>
    <t>Giá trị thuần của dự án (NPV)</t>
  </si>
  <si>
    <t>Nội suất thu hồi vốn (IRR)</t>
  </si>
  <si>
    <t>*Dựa trên các số liệu đã tính ở Vấn đề 1</t>
  </si>
  <si>
    <t>Lúc chưa tăng giá</t>
  </si>
  <si>
    <t>Tăng giá nguyên liệu sữa</t>
  </si>
  <si>
    <t>/10 lít</t>
  </si>
  <si>
    <t>Tăng thêm biến phí 100 thùng</t>
  </si>
  <si>
    <t>đồng</t>
  </si>
  <si>
    <t>Số liệu tăng giá</t>
  </si>
  <si>
    <t>1 thùng sữa</t>
  </si>
  <si>
    <t>Tổng chi phí năm thứ 6 của dự án</t>
  </si>
  <si>
    <t>Chi phí của 9 tháng đầu năm thứ 6 của dự án</t>
  </si>
  <si>
    <t>Lúc tăng giá</t>
  </si>
  <si>
    <t>Biến phí 100 thùng sữa
(chưa tính nguyên liệu sữa)</t>
  </si>
  <si>
    <t>Chi phí chế biến 1 thùng sữa</t>
  </si>
  <si>
    <t>Chi phí 3 tháng cuối năm thứ 6 của dự án</t>
  </si>
  <si>
    <t>Tổng chi phí của năm thứ 6</t>
  </si>
  <si>
    <t>Tổng khấu hao TSCD năm thứ 6</t>
  </si>
  <si>
    <t>Số liệu ở vấn đề 1</t>
  </si>
  <si>
    <t>Năm</t>
  </si>
  <si>
    <t>Tổng chi phí các năm</t>
  </si>
  <si>
    <t>Số lượng tiêu thụ của năm thứ 6</t>
  </si>
  <si>
    <t>Tổng các chi phí khác trong năm thứ 6</t>
  </si>
  <si>
    <t>Tổng khấu hao TSCD năm thứ 3</t>
  </si>
  <si>
    <t>Số lượng tiêu thụ của năm thứ 3</t>
  </si>
  <si>
    <t>Tổng các chi phí khác trong năm thứ 3</t>
  </si>
  <si>
    <t>Số lượng sản xuất và tiêu thụ</t>
  </si>
  <si>
    <t>Tổng khấu hao TSCD năm thứ 4</t>
  </si>
  <si>
    <t>Tổng các chi phí khác trong năm thứ 4</t>
  </si>
  <si>
    <t>Đại lý A</t>
  </si>
  <si>
    <t>Số lượng phân phối</t>
  </si>
  <si>
    <t>Giá bán lẻ 1 thùng</t>
  </si>
  <si>
    <t>Các chi phí phát sinh</t>
  </si>
  <si>
    <t>Chi phí vận chuyển</t>
  </si>
  <si>
    <t>Chi phí lưu kho cảng và kiểm tra</t>
  </si>
  <si>
    <t>Chi phí kiểm nghiệm</t>
  </si>
  <si>
    <t>Các chi phí khác</t>
  </si>
  <si>
    <t>Chiết khấu đại lý</t>
  </si>
  <si>
    <t xml:space="preserve">Tổng chi phí </t>
  </si>
  <si>
    <t>Created by APC on 3/8/2022</t>
  </si>
  <si>
    <t>Đại lý B</t>
  </si>
  <si>
    <t>Đại lý C</t>
  </si>
  <si>
    <t>Đại lý D</t>
  </si>
  <si>
    <t>Đại lý 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</si>
  <si>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</si>
  <si>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</si>
  <si>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</si>
  <si>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</si>
  <si>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</si>
  <si>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</si>
  <si>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</si>
  <si>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BẢNG PHÂN TÍCH CÁC ĐẠI LÝ PHÂN PHỐI</t>
  </si>
  <si>
    <t>Đường</t>
  </si>
  <si>
    <t>Kết quả</t>
  </si>
  <si>
    <t>Tối thiểu</t>
  </si>
  <si>
    <t>Tối đa</t>
  </si>
  <si>
    <t>Nguyên liệu</t>
  </si>
  <si>
    <t>Corn Flakes</t>
  </si>
  <si>
    <t>Honey Stars</t>
  </si>
  <si>
    <t>Milo</t>
  </si>
  <si>
    <t>Koko Krunch</t>
  </si>
  <si>
    <t>Bột ngũ cốc</t>
  </si>
  <si>
    <t xml:space="preserve">Siro </t>
  </si>
  <si>
    <t>Chất chống oxy hóa 307b</t>
  </si>
  <si>
    <t>Bột lúa mì nguyên cám</t>
  </si>
  <si>
    <t>Dầu cọ</t>
  </si>
  <si>
    <t>Các khoáng chất</t>
  </si>
  <si>
    <t>Giá 1 hộp</t>
  </si>
  <si>
    <t>Nestle Fitness</t>
  </si>
  <si>
    <t>Nguyên liệu (250g / hộp)</t>
  </si>
  <si>
    <t>Khối lượng (kg)</t>
  </si>
  <si>
    <t>Số lượng hộp</t>
  </si>
  <si>
    <t>ĐVT</t>
  </si>
  <si>
    <t>g</t>
  </si>
  <si>
    <t>Hộp</t>
  </si>
  <si>
    <t>Nguyên liệu (260g / hộp)</t>
  </si>
  <si>
    <t>Kết quả thùng</t>
  </si>
  <si>
    <t>Tổng khấu hao TSCD từng năm</t>
  </si>
  <si>
    <t>Tổng khấu hao TSCD qua từng năm</t>
  </si>
  <si>
    <t>KẾT LUẬN: NPV&gt;0 và IRR&gt;rate =&gt; Dự án hiệu quả</t>
  </si>
  <si>
    <t>Tổng chi phí qua các năm
 (chi phí bao bì, chi phí marketing, …)</t>
  </si>
  <si>
    <t>Tổng chi phí của năm thứ 3</t>
  </si>
  <si>
    <t>Các vitamin 
(B3, B5, B6, B2, B9)</t>
  </si>
  <si>
    <t>Khối lượng (g)</t>
  </si>
  <si>
    <t>Hương liệu tự nhiên 
(Vani, mật ong,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</si>
</sst>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  <font>
      <sz val="15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9" fontId="1" fillId="0" borderId="1" xfId="0" applyNumberFormat="1" applyFont="1" applyBorder="1"/>
    <xf numFmtId="164" fontId="1" fillId="0" borderId="1" xfId="0" applyNumberFormat="1" applyFont="1" applyFill="1" applyBorder="1"/>
    <xf numFmtId="0" fontId="1" fillId="0" borderId="0" xfId="0" applyFont="1" applyFill="1" applyBorder="1"/>
    <xf numFmtId="3" fontId="1" fillId="0" borderId="0" xfId="0" applyNumberFormat="1" applyFont="1"/>
    <xf numFmtId="3" fontId="1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3" fontId="1" fillId="0" borderId="6" xfId="0" applyNumberFormat="1" applyFont="1" applyBorder="1"/>
    <xf numFmtId="0" fontId="1" fillId="0" borderId="7" xfId="0" applyFont="1" applyFill="1" applyBorder="1"/>
    <xf numFmtId="3" fontId="1" fillId="0" borderId="8" xfId="0" applyNumberFormat="1" applyFont="1" applyBorder="1"/>
    <xf numFmtId="0" fontId="1" fillId="0" borderId="7" xfId="0" applyFont="1" applyBorder="1"/>
    <xf numFmtId="3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/>
    <xf numFmtId="3" fontId="1" fillId="0" borderId="10" xfId="0" applyNumberFormat="1" applyFont="1" applyBorder="1"/>
    <xf numFmtId="0" fontId="2" fillId="0" borderId="9" xfId="0" applyFont="1" applyBorder="1"/>
    <xf numFmtId="0" fontId="1" fillId="0" borderId="13" xfId="0" applyFont="1" applyBorder="1"/>
    <xf numFmtId="3" fontId="1" fillId="0" borderId="14" xfId="0" applyNumberFormat="1" applyFont="1" applyBorder="1"/>
    <xf numFmtId="0" fontId="5" fillId="5" borderId="5" xfId="0" applyFont="1" applyFill="1" applyBorder="1"/>
    <xf numFmtId="0" fontId="5" fillId="5" borderId="7" xfId="0" applyFont="1" applyFill="1" applyBorder="1"/>
    <xf numFmtId="0" fontId="5" fillId="5" borderId="9" xfId="0" applyFont="1" applyFill="1" applyBorder="1"/>
    <xf numFmtId="0" fontId="5" fillId="4" borderId="15" xfId="0" applyFont="1" applyFill="1" applyBorder="1"/>
    <xf numFmtId="3" fontId="1" fillId="4" borderId="16" xfId="0" applyNumberFormat="1" applyFont="1" applyFill="1" applyBorder="1"/>
    <xf numFmtId="0" fontId="5" fillId="6" borderId="0" xfId="0" applyFont="1" applyFill="1" applyBorder="1"/>
    <xf numFmtId="3" fontId="1" fillId="6" borderId="0" xfId="0" applyNumberFormat="1" applyFont="1" applyFill="1" applyBorder="1" applyAlignment="1">
      <alignment horizontal="right" vertical="center" wrapText="1"/>
    </xf>
    <xf numFmtId="0" fontId="1" fillId="0" borderId="17" xfId="0" applyFont="1" applyBorder="1"/>
    <xf numFmtId="3" fontId="1" fillId="0" borderId="10" xfId="0" applyNumberFormat="1" applyFont="1" applyBorder="1" applyAlignment="1">
      <alignment horizontal="right" vertical="center" wrapText="1"/>
    </xf>
    <xf numFmtId="0" fontId="5" fillId="7" borderId="11" xfId="0" applyFont="1" applyFill="1" applyBorder="1"/>
    <xf numFmtId="0" fontId="1" fillId="7" borderId="12" xfId="0" applyFont="1" applyFill="1" applyBorder="1"/>
    <xf numFmtId="3" fontId="1" fillId="0" borderId="8" xfId="0" applyNumberFormat="1" applyFont="1" applyFill="1" applyBorder="1"/>
    <xf numFmtId="0" fontId="1" fillId="0" borderId="13" xfId="0" applyFont="1" applyFill="1" applyBorder="1"/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8" xfId="0" applyFont="1" applyBorder="1"/>
    <xf numFmtId="0" fontId="2" fillId="2" borderId="5" xfId="0" applyFont="1" applyFill="1" applyBorder="1"/>
    <xf numFmtId="0" fontId="2" fillId="2" borderId="18" xfId="0" applyFont="1" applyFill="1" applyBorder="1"/>
    <xf numFmtId="0" fontId="2" fillId="2" borderId="6" xfId="0" applyFont="1" applyFill="1" applyBorder="1"/>
    <xf numFmtId="3" fontId="1" fillId="0" borderId="19" xfId="0" applyNumberFormat="1" applyFont="1" applyBorder="1"/>
    <xf numFmtId="0" fontId="1" fillId="0" borderId="19" xfId="0" applyFont="1" applyBorder="1"/>
    <xf numFmtId="0" fontId="1" fillId="0" borderId="7" xfId="0" applyFont="1" applyBorder="1" applyAlignment="1">
      <alignment vertical="center" wrapText="1"/>
    </xf>
    <xf numFmtId="3" fontId="3" fillId="0" borderId="8" xfId="0" applyNumberFormat="1" applyFont="1" applyBorder="1" applyAlignment="1">
      <alignment horizontal="right" vertical="center" wrapText="1"/>
    </xf>
    <xf numFmtId="0" fontId="1" fillId="0" borderId="5" xfId="0" applyFont="1" applyBorder="1"/>
    <xf numFmtId="3" fontId="1" fillId="0" borderId="6" xfId="0" applyNumberFormat="1" applyFont="1" applyFill="1" applyBorder="1"/>
    <xf numFmtId="3" fontId="1" fillId="0" borderId="10" xfId="0" applyNumberFormat="1" applyFont="1" applyFill="1" applyBorder="1"/>
    <xf numFmtId="0" fontId="1" fillId="0" borderId="6" xfId="0" applyFont="1" applyBorder="1"/>
    <xf numFmtId="0" fontId="2" fillId="3" borderId="5" xfId="0" applyFont="1" applyFill="1" applyBorder="1"/>
    <xf numFmtId="0" fontId="2" fillId="3" borderId="18" xfId="0" applyFont="1" applyFill="1" applyBorder="1"/>
    <xf numFmtId="0" fontId="2" fillId="3" borderId="6" xfId="0" applyFont="1" applyFill="1" applyBorder="1"/>
    <xf numFmtId="0" fontId="5" fillId="4" borderId="5" xfId="0" applyFont="1" applyFill="1" applyBorder="1"/>
    <xf numFmtId="3" fontId="2" fillId="4" borderId="6" xfId="0" applyNumberFormat="1" applyFont="1" applyFill="1" applyBorder="1"/>
    <xf numFmtId="0" fontId="5" fillId="4" borderId="9" xfId="0" applyFont="1" applyFill="1" applyBorder="1"/>
    <xf numFmtId="9" fontId="2" fillId="4" borderId="10" xfId="0" applyNumberFormat="1" applyFont="1" applyFill="1" applyBorder="1"/>
    <xf numFmtId="9" fontId="1" fillId="0" borderId="6" xfId="0" applyNumberFormat="1" applyFont="1" applyBorder="1"/>
    <xf numFmtId="0" fontId="1" fillId="0" borderId="9" xfId="0" applyFont="1" applyFill="1" applyBorder="1"/>
    <xf numFmtId="9" fontId="1" fillId="0" borderId="10" xfId="0" applyNumberFormat="1" applyFont="1" applyBorder="1"/>
    <xf numFmtId="0" fontId="7" fillId="0" borderId="1" xfId="0" applyFont="1" applyBorder="1"/>
    <xf numFmtId="3" fontId="3" fillId="0" borderId="2" xfId="0" applyNumberFormat="1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3" fontId="3" fillId="0" borderId="20" xfId="0" applyNumberFormat="1" applyFont="1" applyBorder="1" applyAlignment="1">
      <alignment horizontal="right" vertical="center" wrapText="1"/>
    </xf>
    <xf numFmtId="3" fontId="3" fillId="0" borderId="16" xfId="0" applyNumberFormat="1" applyFont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3" fontId="3" fillId="0" borderId="22" xfId="0" applyNumberFormat="1" applyFont="1" applyBorder="1" applyAlignment="1">
      <alignment horizontal="right" vertical="center" wrapText="1"/>
    </xf>
    <xf numFmtId="0" fontId="5" fillId="5" borderId="15" xfId="0" applyFont="1" applyFill="1" applyBorder="1"/>
    <xf numFmtId="3" fontId="1" fillId="0" borderId="16" xfId="0" applyNumberFormat="1" applyFont="1" applyBorder="1"/>
    <xf numFmtId="3" fontId="1" fillId="6" borderId="16" xfId="0" applyNumberFormat="1" applyFont="1" applyFill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3" fontId="1" fillId="0" borderId="31" xfId="0" applyNumberFormat="1" applyFont="1" applyBorder="1"/>
    <xf numFmtId="3" fontId="1" fillId="0" borderId="32" xfId="0" applyNumberFormat="1" applyFont="1" applyBorder="1"/>
    <xf numFmtId="3" fontId="2" fillId="0" borderId="15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8" borderId="5" xfId="0" applyFont="1" applyFill="1" applyBorder="1"/>
    <xf numFmtId="0" fontId="1" fillId="8" borderId="9" xfId="0" applyFont="1" applyFill="1" applyBorder="1"/>
    <xf numFmtId="3" fontId="1" fillId="0" borderId="16" xfId="0" applyNumberFormat="1" applyFont="1" applyBorder="1" applyAlignment="1">
      <alignment horizontal="right" vertical="center" wrapText="1"/>
    </xf>
    <xf numFmtId="0" fontId="1" fillId="0" borderId="36" xfId="0" applyFont="1" applyBorder="1"/>
    <xf numFmtId="9" fontId="1" fillId="0" borderId="37" xfId="0" applyNumberFormat="1" applyFon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9" fontId="0" fillId="0" borderId="0" xfId="0" applyNumberFormat="1" applyFill="1" applyBorder="1" applyAlignment="1"/>
    <xf numFmtId="3" fontId="0" fillId="0" borderId="35" xfId="0" applyNumberFormat="1" applyFill="1" applyBorder="1" applyAlignment="1"/>
    <xf numFmtId="0" fontId="10" fillId="11" borderId="38" xfId="0" applyFont="1" applyFill="1" applyBorder="1" applyAlignment="1">
      <alignment horizontal="left"/>
    </xf>
    <xf numFmtId="0" fontId="10" fillId="11" borderId="23" xfId="0" applyFont="1" applyFill="1" applyBorder="1" applyAlignment="1">
      <alignment horizontal="left"/>
    </xf>
    <xf numFmtId="0" fontId="0" fillId="0" borderId="39" xfId="0" applyFill="1" applyBorder="1" applyAlignment="1"/>
    <xf numFmtId="0" fontId="11" fillId="12" borderId="0" xfId="0" applyFont="1" applyFill="1" applyBorder="1" applyAlignment="1">
      <alignment horizontal="left"/>
    </xf>
    <xf numFmtId="0" fontId="12" fillId="12" borderId="39" xfId="0" applyFont="1" applyFill="1" applyBorder="1" applyAlignment="1">
      <alignment horizontal="left"/>
    </xf>
    <xf numFmtId="0" fontId="11" fillId="12" borderId="35" xfId="0" applyFont="1" applyFill="1" applyBorder="1" applyAlignment="1">
      <alignment horizontal="left"/>
    </xf>
    <xf numFmtId="0" fontId="13" fillId="11" borderId="23" xfId="0" applyFont="1" applyFill="1" applyBorder="1" applyAlignment="1">
      <alignment horizontal="right"/>
    </xf>
    <xf numFmtId="0" fontId="13" fillId="11" borderId="38" xfId="0" applyFont="1" applyFill="1" applyBorder="1" applyAlignment="1">
      <alignment horizontal="right"/>
    </xf>
    <xf numFmtId="3" fontId="0" fillId="13" borderId="0" xfId="0" applyNumberFormat="1" applyFill="1" applyBorder="1" applyAlignment="1"/>
    <xf numFmtId="9" fontId="0" fillId="13" borderId="0" xfId="0" applyNumberFormat="1" applyFill="1" applyBorder="1" applyAlignment="1"/>
    <xf numFmtId="0" fontId="14" fillId="0" borderId="0" xfId="0" applyFont="1" applyFill="1" applyBorder="1" applyAlignment="1">
      <alignment vertical="top" wrapText="1"/>
    </xf>
    <xf numFmtId="0" fontId="10" fillId="11" borderId="11" xfId="0" applyFont="1" applyFill="1" applyBorder="1" applyAlignment="1">
      <alignment horizontal="left"/>
    </xf>
    <xf numFmtId="0" fontId="13" fillId="11" borderId="12" xfId="0" applyFont="1" applyFill="1" applyBorder="1" applyAlignment="1">
      <alignment horizontal="right"/>
    </xf>
    <xf numFmtId="0" fontId="10" fillId="11" borderId="40" xfId="0" applyFont="1" applyFill="1" applyBorder="1" applyAlignment="1">
      <alignment horizontal="left"/>
    </xf>
    <xf numFmtId="0" fontId="13" fillId="11" borderId="41" xfId="0" applyFont="1" applyFill="1" applyBorder="1" applyAlignment="1">
      <alignment horizontal="right"/>
    </xf>
    <xf numFmtId="0" fontId="11" fillId="12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vertical="top" wrapText="1"/>
    </xf>
    <xf numFmtId="0" fontId="12" fillId="12" borderId="42" xfId="0" applyFont="1" applyFill="1" applyBorder="1" applyAlignment="1">
      <alignment horizontal="left"/>
    </xf>
    <xf numFmtId="0" fontId="0" fillId="0" borderId="43" xfId="0" applyFill="1" applyBorder="1" applyAlignment="1"/>
    <xf numFmtId="3" fontId="0" fillId="13" borderId="14" xfId="0" applyNumberFormat="1" applyFill="1" applyBorder="1" applyAlignment="1"/>
    <xf numFmtId="9" fontId="0" fillId="13" borderId="14" xfId="0" applyNumberFormat="1" applyFill="1" applyBorder="1" applyAlignment="1"/>
    <xf numFmtId="3" fontId="0" fillId="0" borderId="14" xfId="0" applyNumberFormat="1" applyFill="1" applyBorder="1" applyAlignment="1"/>
    <xf numFmtId="0" fontId="11" fillId="12" borderId="33" xfId="0" applyFont="1" applyFill="1" applyBorder="1" applyAlignment="1">
      <alignment horizontal="left"/>
    </xf>
    <xf numFmtId="3" fontId="0" fillId="0" borderId="34" xfId="0" applyNumberFormat="1" applyFill="1" applyBorder="1" applyAlignment="1"/>
    <xf numFmtId="0" fontId="5" fillId="4" borderId="5" xfId="0" applyFont="1" applyFill="1" applyBorder="1" applyAlignment="1"/>
    <xf numFmtId="0" fontId="5" fillId="4" borderId="7" xfId="0" applyFont="1" applyFill="1" applyBorder="1" applyAlignment="1"/>
    <xf numFmtId="0" fontId="5" fillId="4" borderId="9" xfId="0" applyFont="1" applyFill="1" applyBorder="1" applyAlignment="1"/>
    <xf numFmtId="0" fontId="5" fillId="0" borderId="0" xfId="0" applyFont="1" applyFill="1" applyBorder="1" applyAlignment="1"/>
    <xf numFmtId="0" fontId="1" fillId="0" borderId="9" xfId="0" applyFont="1" applyBorder="1" applyAlignment="1">
      <alignment vertical="center" wrapText="1"/>
    </xf>
    <xf numFmtId="0" fontId="1" fillId="0" borderId="44" xfId="0" applyFont="1" applyBorder="1"/>
    <xf numFmtId="0" fontId="1" fillId="0" borderId="1" xfId="0" applyFont="1" applyBorder="1" applyAlignment="1">
      <alignment horizontal="right" vertical="center" wrapText="1"/>
    </xf>
    <xf numFmtId="165" fontId="1" fillId="0" borderId="0" xfId="0" applyNumberFormat="1" applyFont="1"/>
    <xf numFmtId="3" fontId="2" fillId="14" borderId="1" xfId="0" applyNumberFormat="1" applyFont="1" applyFill="1" applyBorder="1" applyAlignment="1">
      <alignment vertical="center" wrapText="1"/>
    </xf>
    <xf numFmtId="3" fontId="1" fillId="0" borderId="0" xfId="0" applyNumberFormat="1" applyFont="1" applyFill="1" applyBorder="1"/>
    <xf numFmtId="164" fontId="1" fillId="0" borderId="16" xfId="0" applyNumberFormat="1" applyFont="1" applyFill="1" applyBorder="1"/>
    <xf numFmtId="3" fontId="1" fillId="0" borderId="46" xfId="0" applyNumberFormat="1" applyFont="1" applyBorder="1"/>
    <xf numFmtId="3" fontId="1" fillId="0" borderId="43" xfId="0" applyNumberFormat="1" applyFont="1" applyBorder="1"/>
    <xf numFmtId="3" fontId="1" fillId="0" borderId="47" xfId="0" applyNumberFormat="1" applyFont="1" applyBorder="1"/>
    <xf numFmtId="0" fontId="5" fillId="4" borderId="26" xfId="0" applyFont="1" applyFill="1" applyBorder="1" applyAlignment="1"/>
    <xf numFmtId="0" fontId="5" fillId="4" borderId="27" xfId="0" applyFont="1" applyFill="1" applyBorder="1" applyAlignment="1"/>
    <xf numFmtId="0" fontId="5" fillId="4" borderId="28" xfId="0" applyFont="1" applyFill="1" applyBorder="1" applyAlignment="1"/>
    <xf numFmtId="0" fontId="1" fillId="0" borderId="0" xfId="0" applyFont="1" applyFill="1"/>
    <xf numFmtId="0" fontId="7" fillId="0" borderId="0" xfId="0" applyFont="1" applyBorder="1"/>
    <xf numFmtId="9" fontId="1" fillId="0" borderId="0" xfId="0" applyNumberFormat="1" applyFont="1" applyBorder="1"/>
    <xf numFmtId="0" fontId="1" fillId="0" borderId="31" xfId="0" applyFont="1" applyBorder="1"/>
    <xf numFmtId="3" fontId="1" fillId="0" borderId="48" xfId="0" applyNumberFormat="1" applyFont="1" applyBorder="1"/>
    <xf numFmtId="3" fontId="1" fillId="0" borderId="0" xfId="0" applyNumberFormat="1" applyFont="1" applyBorder="1" applyAlignment="1">
      <alignment horizontal="right"/>
    </xf>
    <xf numFmtId="0" fontId="2" fillId="3" borderId="18" xfId="0" applyFont="1" applyFill="1" applyBorder="1" applyAlignment="1">
      <alignment horizontal="center"/>
    </xf>
    <xf numFmtId="0" fontId="5" fillId="0" borderId="5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5" xfId="0" applyFont="1" applyBorder="1"/>
    <xf numFmtId="0" fontId="5" fillId="8" borderId="5" xfId="0" applyFont="1" applyFill="1" applyBorder="1"/>
    <xf numFmtId="0" fontId="5" fillId="8" borderId="7" xfId="0" applyFont="1" applyFill="1" applyBorder="1"/>
    <xf numFmtId="0" fontId="5" fillId="8" borderId="9" xfId="0" applyFont="1" applyFill="1" applyBorder="1"/>
    <xf numFmtId="0" fontId="5" fillId="5" borderId="5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17" fillId="0" borderId="0" xfId="0" applyFont="1"/>
    <xf numFmtId="0" fontId="8" fillId="0" borderId="0" xfId="0" applyFont="1" applyFill="1" applyBorder="1" applyAlignment="1"/>
    <xf numFmtId="3" fontId="2" fillId="0" borderId="0" xfId="0" applyNumberFormat="1" applyFont="1" applyFill="1" applyBorder="1"/>
    <xf numFmtId="3" fontId="2" fillId="0" borderId="45" xfId="0" applyNumberFormat="1" applyFont="1" applyBorder="1"/>
    <xf numFmtId="0" fontId="2" fillId="3" borderId="5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3" fontId="1" fillId="0" borderId="19" xfId="0" applyNumberFormat="1" applyFont="1" applyBorder="1" applyAlignment="1">
      <alignment horizontal="right" vertical="center" wrapText="1"/>
    </xf>
    <xf numFmtId="3" fontId="1" fillId="0" borderId="34" xfId="0" applyNumberFormat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18" xfId="0" applyNumberFormat="1" applyFont="1" applyBorder="1"/>
    <xf numFmtId="0" fontId="1" fillId="0" borderId="7" xfId="0" applyFont="1" applyBorder="1" applyAlignment="1">
      <alignment horizontal="left" vertical="center" wrapText="1"/>
    </xf>
    <xf numFmtId="3" fontId="1" fillId="15" borderId="16" xfId="0" applyNumberFormat="1" applyFont="1" applyFill="1" applyBorder="1"/>
    <xf numFmtId="0" fontId="5" fillId="0" borderId="9" xfId="0" applyFont="1" applyBorder="1" applyAlignment="1">
      <alignment vertical="center" wrapText="1"/>
    </xf>
    <xf numFmtId="0" fontId="2" fillId="5" borderId="5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5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8" borderId="42" xfId="0" applyFont="1" applyFill="1" applyBorder="1" applyAlignment="1">
      <alignment horizontal="center" textRotation="90"/>
    </xf>
    <xf numFmtId="0" fontId="8" fillId="8" borderId="49" xfId="0" applyFont="1" applyFill="1" applyBorder="1" applyAlignment="1">
      <alignment horizontal="center" textRotation="90"/>
    </xf>
    <xf numFmtId="0" fontId="5" fillId="4" borderId="5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0" fontId="8" fillId="9" borderId="23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HÒA VỐN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'Bài 1 - Vấn đề 2'!$C$34</c:f>
              <c:strCache>
                <c:ptCount val="1"/>
                <c:pt idx="0">
                  <c:v>Doanh thu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'Bài 1 - Vấn đề 2'!$D$33</c:f>
              <c:numCache>
                <c:formatCode>#,##0</c:formatCode>
                <c:ptCount val="1"/>
                <c:pt idx="0">
                  <c:v>33245944691</c:v>
                </c:pt>
              </c:numCache>
            </c:numRef>
          </c:xVal>
          <c:yVal>
            <c:numRef>
              <c:f>'Bài 1 - Vấn đề 2'!$D$34</c:f>
              <c:numCache>
                <c:formatCode>#,##0</c:formatCode>
                <c:ptCount val="1"/>
                <c:pt idx="0">
                  <c:v>33245944690.999996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0-4F21-AAB3-75DFEABDA983}"/>
            </c:ext>
          </c:extLst>
        </c:ser>
        <c:ser>
          <c:idx val="1"/>
          <c:order val="1"/>
          <c:tx>
            <c:strRef>
              <c:f>'Bài 1 - Vấn đề 2'!$C$35</c:f>
              <c:strCache>
                <c:ptCount val="1"/>
                <c:pt idx="0">
                  <c:v>Lợi nhuận trước thuế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'Bài 1 - Vấn đề 2'!$D$33</c:f>
              <c:numCache>
                <c:formatCode>#,##0</c:formatCode>
                <c:ptCount val="1"/>
                <c:pt idx="0">
                  <c:v>33245944691</c:v>
                </c:pt>
              </c:numCache>
            </c:numRef>
          </c:xVal>
          <c:yVal>
            <c:numRef>
              <c:f>'Bài 1 - Vấn đề 2'!$D$35</c:f>
              <c:numCache>
                <c:formatCode>#,##0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30-4F21-AAB3-75DFEABDA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071360"/>
        <c:axId val="742739368"/>
      </c:scatterChart>
      <c:valAx>
        <c:axId val="31107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739368"/>
        <c:crosses val="autoZero"/>
        <c:crossBetween val="midCat"/>
      </c:valAx>
      <c:valAx>
        <c:axId val="74273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36</xdr:row>
      <xdr:rowOff>19050</xdr:rowOff>
    </xdr:from>
    <xdr:to>
      <xdr:col>4</xdr:col>
      <xdr:colOff>533400</xdr:colOff>
      <xdr:row>49</xdr:row>
      <xdr:rowOff>186690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FA6E56-B4E9-471C-80C1-33F4F05BB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9300-E336-469C-BDC2-66248219AB68}">
  <dimension ref="A1:J70"/>
  <sheetViews>
    <sheetView tabSelected="1" topLeftCell="A13" zoomScale="85" zoomScaleNormal="85" workbookViewId="0">
      <selection activeCell="F10" sqref="F10"/>
    </sheetView>
  </sheetViews>
  <sheetFormatPr defaultRowHeight="15.6" x14ac:dyDescent="0.3"/>
  <cols>
    <col min="1" max="1" width="37.6640625" style="1" customWidth="1"/>
    <col min="2" max="10" width="22.77734375" style="1" customWidth="1"/>
    <col min="11" max="16384" width="8.88671875" style="1"/>
  </cols>
  <sheetData>
    <row r="1" spans="1:9" ht="30.6" x14ac:dyDescent="0.55000000000000004">
      <c r="F1" s="13" t="s">
        <v>23</v>
      </c>
    </row>
    <row r="3" spans="1:9" x14ac:dyDescent="0.3">
      <c r="A3" s="2"/>
    </row>
    <row r="5" spans="1:9" ht="16.2" thickBot="1" x14ac:dyDescent="0.35"/>
    <row r="6" spans="1:9" x14ac:dyDescent="0.3">
      <c r="A6" s="44" t="s">
        <v>0</v>
      </c>
      <c r="B6" s="45" t="s">
        <v>1</v>
      </c>
      <c r="C6" s="45" t="s">
        <v>24</v>
      </c>
      <c r="D6" s="45" t="s">
        <v>25</v>
      </c>
      <c r="E6" s="46" t="s">
        <v>20</v>
      </c>
    </row>
    <row r="7" spans="1:9" x14ac:dyDescent="0.3">
      <c r="A7" s="21" t="s">
        <v>2</v>
      </c>
      <c r="B7" s="4">
        <v>1200000000</v>
      </c>
      <c r="C7" s="3">
        <v>10</v>
      </c>
      <c r="D7" s="3">
        <v>8</v>
      </c>
      <c r="E7" s="20">
        <f t="shared" ref="E7:E12" si="0">$E$14*B7</f>
        <v>120000000</v>
      </c>
    </row>
    <row r="8" spans="1:9" x14ac:dyDescent="0.3">
      <c r="A8" s="21" t="s">
        <v>3</v>
      </c>
      <c r="B8" s="4">
        <v>800000000</v>
      </c>
      <c r="C8" s="3">
        <v>9</v>
      </c>
      <c r="D8" s="3">
        <v>8</v>
      </c>
      <c r="E8" s="20">
        <f t="shared" si="0"/>
        <v>80000000</v>
      </c>
    </row>
    <row r="9" spans="1:9" x14ac:dyDescent="0.3">
      <c r="A9" s="21" t="s">
        <v>4</v>
      </c>
      <c r="B9" s="4">
        <v>700000000</v>
      </c>
      <c r="C9" s="3">
        <v>11</v>
      </c>
      <c r="D9" s="3">
        <v>8</v>
      </c>
      <c r="E9" s="20">
        <f t="shared" si="0"/>
        <v>70000000</v>
      </c>
    </row>
    <row r="10" spans="1:9" x14ac:dyDescent="0.3">
      <c r="A10" s="21" t="s">
        <v>5</v>
      </c>
      <c r="B10" s="4">
        <v>400000000</v>
      </c>
      <c r="C10" s="3">
        <v>10</v>
      </c>
      <c r="D10" s="3">
        <v>8</v>
      </c>
      <c r="E10" s="20">
        <f t="shared" si="0"/>
        <v>40000000</v>
      </c>
    </row>
    <row r="11" spans="1:9" x14ac:dyDescent="0.3">
      <c r="A11" s="21" t="s">
        <v>6</v>
      </c>
      <c r="B11" s="4">
        <v>900000000</v>
      </c>
      <c r="C11" s="3">
        <v>9</v>
      </c>
      <c r="D11" s="3">
        <v>8</v>
      </c>
      <c r="E11" s="20">
        <f t="shared" si="0"/>
        <v>90000000</v>
      </c>
    </row>
    <row r="12" spans="1:9" ht="16.2" thickBot="1" x14ac:dyDescent="0.35">
      <c r="A12" s="23" t="s">
        <v>7</v>
      </c>
      <c r="B12" s="47">
        <v>1000000000</v>
      </c>
      <c r="C12" s="48">
        <v>9</v>
      </c>
      <c r="D12" s="48">
        <v>8</v>
      </c>
      <c r="E12" s="24">
        <f t="shared" si="0"/>
        <v>100000000</v>
      </c>
    </row>
    <row r="13" spans="1:9" x14ac:dyDescent="0.3">
      <c r="A13" s="5"/>
      <c r="B13" s="6"/>
      <c r="C13" s="5"/>
      <c r="D13" s="5"/>
      <c r="E13" s="6"/>
    </row>
    <row r="14" spans="1:9" x14ac:dyDescent="0.3">
      <c r="A14" s="5"/>
      <c r="B14" s="6"/>
      <c r="C14" s="5"/>
      <c r="D14" s="65" t="s">
        <v>30</v>
      </c>
      <c r="E14" s="7">
        <v>0.1</v>
      </c>
    </row>
    <row r="15" spans="1:9" ht="16.2" thickBot="1" x14ac:dyDescent="0.35">
      <c r="A15" s="5"/>
      <c r="B15" s="6"/>
      <c r="C15" s="5"/>
      <c r="D15" s="140"/>
      <c r="E15" s="141"/>
    </row>
    <row r="16" spans="1:9" x14ac:dyDescent="0.3">
      <c r="A16" s="55"/>
      <c r="B16" s="145">
        <v>1</v>
      </c>
      <c r="C16" s="145">
        <v>2</v>
      </c>
      <c r="D16" s="145">
        <v>3</v>
      </c>
      <c r="E16" s="145">
        <v>4</v>
      </c>
      <c r="F16" s="145">
        <v>5</v>
      </c>
      <c r="G16" s="145">
        <v>6</v>
      </c>
      <c r="H16" s="145">
        <v>7</v>
      </c>
      <c r="I16" s="145">
        <v>8</v>
      </c>
    </row>
    <row r="17" spans="1:10" x14ac:dyDescent="0.3">
      <c r="A17" s="21" t="s">
        <v>9</v>
      </c>
      <c r="B17" s="4">
        <f>VDB($B$7,$E$7,$D$7,B16-1,B16,2.5,0)</f>
        <v>375000000</v>
      </c>
      <c r="C17" s="4">
        <f t="shared" ref="C17:I17" si="1">VDB($B$7,$E$7,$D$7,C16-1,C16,2.5,0)</f>
        <v>257812500</v>
      </c>
      <c r="D17" s="4">
        <f t="shared" si="1"/>
        <v>177246093.75</v>
      </c>
      <c r="E17" s="4">
        <f t="shared" si="1"/>
        <v>121856689.453125</v>
      </c>
      <c r="F17" s="4">
        <f t="shared" si="1"/>
        <v>83776473.999023438</v>
      </c>
      <c r="G17" s="4">
        <f t="shared" si="1"/>
        <v>57596325.874328613</v>
      </c>
      <c r="H17" s="4">
        <f t="shared" si="1"/>
        <v>6711916.9235229492</v>
      </c>
      <c r="I17" s="4">
        <f t="shared" si="1"/>
        <v>0</v>
      </c>
    </row>
    <row r="18" spans="1:10" x14ac:dyDescent="0.3">
      <c r="A18" s="21" t="s">
        <v>10</v>
      </c>
      <c r="B18" s="4">
        <f>VDB($B$8,$E$8,$D$8,B16-1,B16,2.5,0)</f>
        <v>250000000</v>
      </c>
      <c r="C18" s="4">
        <f t="shared" ref="C18:I18" si="2">VDB($B$8,$E$8,$D$8,C16-1,C16,2.5,0)</f>
        <v>171875000</v>
      </c>
      <c r="D18" s="4">
        <f t="shared" si="2"/>
        <v>118164062.5</v>
      </c>
      <c r="E18" s="4">
        <f t="shared" si="2"/>
        <v>81237792.96875</v>
      </c>
      <c r="F18" s="4">
        <f t="shared" si="2"/>
        <v>55850982.666015625</v>
      </c>
      <c r="G18" s="4">
        <f t="shared" si="2"/>
        <v>38397550.582885742</v>
      </c>
      <c r="H18" s="4">
        <f t="shared" si="2"/>
        <v>4474611.2823486328</v>
      </c>
      <c r="I18" s="4">
        <f t="shared" si="2"/>
        <v>0</v>
      </c>
    </row>
    <row r="19" spans="1:10" x14ac:dyDescent="0.3">
      <c r="A19" s="21" t="s">
        <v>11</v>
      </c>
      <c r="B19" s="4">
        <f>VDB($B$9,$E$9,$D$9,B16-1,B16,2.5,0)</f>
        <v>218750000</v>
      </c>
      <c r="C19" s="4">
        <f t="shared" ref="C19:I19" si="3">VDB($B$9,$E$9,$D$9,C16-1,C16,2.5,0)</f>
        <v>150390625</v>
      </c>
      <c r="D19" s="4">
        <f t="shared" si="3"/>
        <v>103393554.6875</v>
      </c>
      <c r="E19" s="4">
        <f t="shared" si="3"/>
        <v>71083068.84765625</v>
      </c>
      <c r="F19" s="4">
        <f t="shared" si="3"/>
        <v>48869609.832763672</v>
      </c>
      <c r="G19" s="4">
        <f t="shared" si="3"/>
        <v>33597856.760025024</v>
      </c>
      <c r="H19" s="4">
        <f t="shared" si="3"/>
        <v>3915284.8720550537</v>
      </c>
      <c r="I19" s="4">
        <f t="shared" si="3"/>
        <v>0</v>
      </c>
    </row>
    <row r="20" spans="1:10" x14ac:dyDescent="0.3">
      <c r="A20" s="21" t="s">
        <v>12</v>
      </c>
      <c r="B20" s="4">
        <f>VDB($B$10,$E$10,$D$10,B16-1,B16,2.5,0)</f>
        <v>125000000</v>
      </c>
      <c r="C20" s="4">
        <f t="shared" ref="C20:I20" si="4">VDB($B$10,$E$10,$D$10,C16-1,C16,2.5,0)</f>
        <v>85937500</v>
      </c>
      <c r="D20" s="4">
        <f t="shared" si="4"/>
        <v>59082031.25</v>
      </c>
      <c r="E20" s="4">
        <f t="shared" si="4"/>
        <v>40618896.484375</v>
      </c>
      <c r="F20" s="4">
        <f t="shared" si="4"/>
        <v>27925491.333007813</v>
      </c>
      <c r="G20" s="4">
        <f t="shared" si="4"/>
        <v>19198775.291442871</v>
      </c>
      <c r="H20" s="4">
        <f t="shared" si="4"/>
        <v>2237305.6411743164</v>
      </c>
      <c r="I20" s="4">
        <f t="shared" si="4"/>
        <v>0</v>
      </c>
    </row>
    <row r="21" spans="1:10" x14ac:dyDescent="0.3">
      <c r="A21" s="21" t="s">
        <v>13</v>
      </c>
      <c r="B21" s="4">
        <f>VDB($B$11,$E$11,$D$11,B16-1,B16,2.5,0)</f>
        <v>281250000</v>
      </c>
      <c r="C21" s="4">
        <f t="shared" ref="C21:I21" si="5">VDB($B$11,$E$11,$D$11,C16-1,C16,2.5,0)</f>
        <v>193359375</v>
      </c>
      <c r="D21" s="4">
        <f t="shared" si="5"/>
        <v>132934570.3125</v>
      </c>
      <c r="E21" s="4">
        <f t="shared" si="5"/>
        <v>91392517.08984375</v>
      </c>
      <c r="F21" s="4">
        <f t="shared" si="5"/>
        <v>62832355.499267578</v>
      </c>
      <c r="G21" s="4">
        <f t="shared" si="5"/>
        <v>43197244.40574646</v>
      </c>
      <c r="H21" s="4">
        <f t="shared" si="5"/>
        <v>5033937.6926422119</v>
      </c>
      <c r="I21" s="4">
        <f t="shared" si="5"/>
        <v>0</v>
      </c>
    </row>
    <row r="22" spans="1:10" ht="16.2" thickBot="1" x14ac:dyDescent="0.35">
      <c r="A22" s="23" t="s">
        <v>14</v>
      </c>
      <c r="B22" s="4">
        <f>VDB($B$12,$E$12,$D$12,B16-1,B16,2.5,0)</f>
        <v>312500000</v>
      </c>
      <c r="C22" s="4">
        <f t="shared" ref="C22:I22" si="6">VDB($B$12,$E$12,$D$12,C16-1,C16,2.5,0)</f>
        <v>214843750</v>
      </c>
      <c r="D22" s="4">
        <f t="shared" si="6"/>
        <v>147705078.125</v>
      </c>
      <c r="E22" s="4">
        <f t="shared" si="6"/>
        <v>101547241.2109375</v>
      </c>
      <c r="F22" s="4">
        <f t="shared" si="6"/>
        <v>69813728.332519531</v>
      </c>
      <c r="G22" s="4">
        <f t="shared" si="6"/>
        <v>47996938.228607178</v>
      </c>
      <c r="H22" s="4">
        <f t="shared" si="6"/>
        <v>5593264.102935791</v>
      </c>
      <c r="I22" s="4">
        <f t="shared" si="6"/>
        <v>0</v>
      </c>
    </row>
    <row r="23" spans="1:10" x14ac:dyDescent="0.3">
      <c r="A23" s="127" t="s">
        <v>139</v>
      </c>
      <c r="B23" s="84">
        <f>SUM(B17:B22)</f>
        <v>1562500000</v>
      </c>
      <c r="C23" s="84">
        <f t="shared" ref="C23:I23" si="7">SUM(C17:C22)</f>
        <v>1074218750</v>
      </c>
      <c r="D23" s="84">
        <f t="shared" si="7"/>
        <v>738525390.625</v>
      </c>
      <c r="E23" s="84">
        <f t="shared" si="7"/>
        <v>507736206.0546875</v>
      </c>
      <c r="F23" s="84">
        <f t="shared" si="7"/>
        <v>349068641.66259766</v>
      </c>
      <c r="G23" s="84">
        <f t="shared" si="7"/>
        <v>239984691.14303589</v>
      </c>
      <c r="H23" s="84">
        <f t="shared" si="7"/>
        <v>27966320.514678955</v>
      </c>
      <c r="I23" s="84">
        <f t="shared" si="7"/>
        <v>0</v>
      </c>
      <c r="J23" s="144"/>
    </row>
    <row r="24" spans="1:10" ht="16.2" thickBot="1" x14ac:dyDescent="0.35">
      <c r="A24" s="127"/>
      <c r="B24" s="142"/>
      <c r="C24" s="84"/>
      <c r="D24" s="84"/>
      <c r="E24" s="84"/>
      <c r="F24" s="84"/>
      <c r="G24" s="84"/>
      <c r="H24" s="84"/>
      <c r="I24" s="143"/>
      <c r="J24" s="144"/>
    </row>
    <row r="25" spans="1:10" x14ac:dyDescent="0.3">
      <c r="A25" s="70"/>
      <c r="B25" s="71" t="s">
        <v>36</v>
      </c>
      <c r="C25" s="71" t="s">
        <v>37</v>
      </c>
      <c r="D25" s="71" t="s">
        <v>38</v>
      </c>
      <c r="E25" s="71" t="s">
        <v>39</v>
      </c>
      <c r="F25" s="71" t="s">
        <v>40</v>
      </c>
      <c r="G25" s="71" t="s">
        <v>41</v>
      </c>
      <c r="H25" s="71" t="s">
        <v>42</v>
      </c>
      <c r="I25" s="72" t="s">
        <v>43</v>
      </c>
    </row>
    <row r="26" spans="1:10" x14ac:dyDescent="0.3">
      <c r="A26" s="49" t="s">
        <v>15</v>
      </c>
      <c r="B26" s="11">
        <v>100000000</v>
      </c>
      <c r="C26" s="11">
        <v>120000000</v>
      </c>
      <c r="D26" s="11">
        <v>127000000</v>
      </c>
      <c r="E26" s="11">
        <v>136000000</v>
      </c>
      <c r="F26" s="11">
        <v>144000000</v>
      </c>
      <c r="G26" s="11">
        <v>155000000</v>
      </c>
      <c r="H26" s="11">
        <v>160000000</v>
      </c>
      <c r="I26" s="22">
        <v>165000000</v>
      </c>
    </row>
    <row r="27" spans="1:10" x14ac:dyDescent="0.3">
      <c r="A27" s="49" t="s">
        <v>44</v>
      </c>
      <c r="B27" s="12">
        <v>200000000</v>
      </c>
      <c r="C27" s="12">
        <v>240000000</v>
      </c>
      <c r="D27" s="12">
        <v>300000000</v>
      </c>
      <c r="E27" s="12">
        <v>380000000</v>
      </c>
      <c r="F27" s="12">
        <v>400000000</v>
      </c>
      <c r="G27" s="12">
        <v>450000000</v>
      </c>
      <c r="H27" s="12">
        <v>480000000</v>
      </c>
      <c r="I27" s="50">
        <v>500000000</v>
      </c>
    </row>
    <row r="28" spans="1:10" x14ac:dyDescent="0.3">
      <c r="A28" s="49" t="s">
        <v>45</v>
      </c>
      <c r="B28" s="12">
        <v>120000000</v>
      </c>
      <c r="C28" s="12">
        <v>150000000</v>
      </c>
      <c r="D28" s="12">
        <v>160000000</v>
      </c>
      <c r="E28" s="12">
        <v>170000000</v>
      </c>
      <c r="F28" s="12">
        <v>185000000</v>
      </c>
      <c r="G28" s="12">
        <v>188000000</v>
      </c>
      <c r="H28" s="12">
        <v>195000000</v>
      </c>
      <c r="I28" s="50">
        <v>200000000</v>
      </c>
    </row>
    <row r="29" spans="1:10" x14ac:dyDescent="0.3">
      <c r="A29" s="49" t="s">
        <v>46</v>
      </c>
      <c r="B29" s="11">
        <v>6000000</v>
      </c>
      <c r="C29" s="11">
        <v>6500000</v>
      </c>
      <c r="D29" s="11">
        <v>7000000</v>
      </c>
      <c r="E29" s="11">
        <v>7500000</v>
      </c>
      <c r="F29" s="11">
        <v>7800000</v>
      </c>
      <c r="G29" s="11">
        <v>8300000</v>
      </c>
      <c r="H29" s="11">
        <v>9000000</v>
      </c>
      <c r="I29" s="22">
        <v>9700000</v>
      </c>
    </row>
    <row r="30" spans="1:10" ht="31.8" thickBot="1" x14ac:dyDescent="0.35">
      <c r="A30" s="73" t="s">
        <v>47</v>
      </c>
      <c r="B30" s="66">
        <v>1000000000</v>
      </c>
      <c r="C30" s="66">
        <v>1000000000</v>
      </c>
      <c r="D30" s="66">
        <v>1000000000</v>
      </c>
      <c r="E30" s="66">
        <v>1000000000</v>
      </c>
      <c r="F30" s="66">
        <f>$E$30*110%</f>
        <v>1100000000</v>
      </c>
      <c r="G30" s="66">
        <f t="shared" ref="G30:I30" si="8">$E$30*110%</f>
        <v>1100000000</v>
      </c>
      <c r="H30" s="66">
        <f t="shared" si="8"/>
        <v>1100000000</v>
      </c>
      <c r="I30" s="74">
        <f t="shared" si="8"/>
        <v>1100000000</v>
      </c>
    </row>
    <row r="31" spans="1:10" ht="16.2" thickBot="1" x14ac:dyDescent="0.35">
      <c r="A31" s="67" t="s">
        <v>82</v>
      </c>
      <c r="B31" s="68">
        <f>B26+B27+B28+B29*12+B30</f>
        <v>1492000000</v>
      </c>
      <c r="C31" s="68">
        <f t="shared" ref="C31:I31" si="9">C26+C27+C28+C29*12+C30</f>
        <v>1588000000</v>
      </c>
      <c r="D31" s="68">
        <f t="shared" si="9"/>
        <v>1671000000</v>
      </c>
      <c r="E31" s="68">
        <f t="shared" si="9"/>
        <v>1776000000</v>
      </c>
      <c r="F31" s="68">
        <f t="shared" si="9"/>
        <v>1922600000</v>
      </c>
      <c r="G31" s="68">
        <f t="shared" si="9"/>
        <v>1992600000</v>
      </c>
      <c r="H31" s="68">
        <f t="shared" si="9"/>
        <v>2043000000</v>
      </c>
      <c r="I31" s="69">
        <f t="shared" si="9"/>
        <v>2081400000</v>
      </c>
    </row>
    <row r="32" spans="1:10" ht="16.2" thickBot="1" x14ac:dyDescent="0.35"/>
    <row r="33" spans="1:10" ht="16.2" x14ac:dyDescent="0.35">
      <c r="A33" s="146" t="s">
        <v>26</v>
      </c>
      <c r="B33" s="52">
        <v>215000</v>
      </c>
    </row>
    <row r="34" spans="1:10" ht="16.2" x14ac:dyDescent="0.35">
      <c r="A34" s="147" t="s">
        <v>27</v>
      </c>
      <c r="B34" s="39">
        <v>420000</v>
      </c>
    </row>
    <row r="35" spans="1:10" ht="16.2" x14ac:dyDescent="0.35">
      <c r="A35" s="147" t="s">
        <v>28</v>
      </c>
      <c r="B35" s="39">
        <v>20000000</v>
      </c>
    </row>
    <row r="36" spans="1:10" ht="16.8" thickBot="1" x14ac:dyDescent="0.4">
      <c r="A36" s="148" t="s">
        <v>29</v>
      </c>
      <c r="B36" s="53">
        <v>800000000</v>
      </c>
    </row>
    <row r="37" spans="1:10" ht="16.2" thickBot="1" x14ac:dyDescent="0.35"/>
    <row r="38" spans="1:10" ht="16.8" thickBot="1" x14ac:dyDescent="0.4">
      <c r="A38" s="149" t="s">
        <v>31</v>
      </c>
      <c r="B38" s="132">
        <v>0.215</v>
      </c>
      <c r="C38" s="1" t="s">
        <v>22</v>
      </c>
    </row>
    <row r="39" spans="1:10" x14ac:dyDescent="0.3">
      <c r="A39" s="5"/>
      <c r="B39" s="131"/>
    </row>
    <row r="40" spans="1:10" ht="16.2" thickBot="1" x14ac:dyDescent="0.35"/>
    <row r="41" spans="1:10" ht="64.8" x14ac:dyDescent="0.35">
      <c r="A41" s="150" t="s">
        <v>33</v>
      </c>
      <c r="B41" s="54">
        <f>B38*48</f>
        <v>10.32</v>
      </c>
      <c r="C41" s="1" t="s">
        <v>22</v>
      </c>
      <c r="D41" s="153" t="s">
        <v>48</v>
      </c>
      <c r="E41" s="18">
        <v>10000000</v>
      </c>
    </row>
    <row r="42" spans="1:10" ht="48.6" x14ac:dyDescent="0.35">
      <c r="A42" s="151" t="s">
        <v>21</v>
      </c>
      <c r="B42" s="20">
        <f>B33/10</f>
        <v>21500</v>
      </c>
      <c r="D42" s="154" t="s">
        <v>49</v>
      </c>
      <c r="E42" s="20">
        <f>E41/100</f>
        <v>100000</v>
      </c>
    </row>
    <row r="43" spans="1:10" ht="16.8" thickBot="1" x14ac:dyDescent="0.4">
      <c r="A43" s="152" t="s">
        <v>35</v>
      </c>
      <c r="B43" s="24">
        <f>B42*B41</f>
        <v>221880</v>
      </c>
      <c r="D43" s="25" t="s">
        <v>34</v>
      </c>
      <c r="E43" s="24">
        <f>E42+B43</f>
        <v>321880</v>
      </c>
    </row>
    <row r="44" spans="1:10" x14ac:dyDescent="0.3">
      <c r="A44" s="9"/>
    </row>
    <row r="45" spans="1:10" ht="16.2" thickBot="1" x14ac:dyDescent="0.35"/>
    <row r="46" spans="1:10" x14ac:dyDescent="0.3">
      <c r="A46" s="51" t="s">
        <v>58</v>
      </c>
      <c r="B46" s="62">
        <v>0.22</v>
      </c>
    </row>
    <row r="47" spans="1:10" ht="16.2" thickBot="1" x14ac:dyDescent="0.35">
      <c r="A47" s="63" t="s">
        <v>8</v>
      </c>
      <c r="B47" s="64">
        <v>0.15</v>
      </c>
    </row>
    <row r="48" spans="1:10" x14ac:dyDescent="0.3">
      <c r="A48" s="55" t="s">
        <v>81</v>
      </c>
      <c r="B48" s="56">
        <v>0</v>
      </c>
      <c r="C48" s="56">
        <v>1</v>
      </c>
      <c r="D48" s="56">
        <v>2</v>
      </c>
      <c r="E48" s="56">
        <v>3</v>
      </c>
      <c r="F48" s="56">
        <v>4</v>
      </c>
      <c r="G48" s="56">
        <v>5</v>
      </c>
      <c r="H48" s="56">
        <v>6</v>
      </c>
      <c r="I48" s="56">
        <v>7</v>
      </c>
      <c r="J48" s="57">
        <v>8</v>
      </c>
    </row>
    <row r="49" spans="1:10" x14ac:dyDescent="0.3">
      <c r="A49" s="21" t="s">
        <v>50</v>
      </c>
      <c r="B49" s="4">
        <v>6000000000</v>
      </c>
      <c r="C49" s="3"/>
      <c r="D49" s="3"/>
      <c r="E49" s="3"/>
      <c r="F49" s="3"/>
      <c r="G49" s="3"/>
      <c r="H49" s="3"/>
      <c r="I49" s="3"/>
      <c r="J49" s="43"/>
    </row>
    <row r="50" spans="1:10" x14ac:dyDescent="0.3">
      <c r="A50" s="21" t="s">
        <v>51</v>
      </c>
      <c r="B50" s="4">
        <f>SUM(B7:B12)</f>
        <v>5000000000</v>
      </c>
      <c r="C50" s="3"/>
      <c r="D50" s="3"/>
      <c r="E50" s="3"/>
      <c r="F50" s="3"/>
      <c r="G50" s="3"/>
      <c r="H50" s="3"/>
      <c r="I50" s="3"/>
      <c r="J50" s="43"/>
    </row>
    <row r="51" spans="1:10" x14ac:dyDescent="0.3">
      <c r="A51" s="21" t="s">
        <v>52</v>
      </c>
      <c r="B51" s="4"/>
      <c r="C51" s="4">
        <v>243000000</v>
      </c>
      <c r="D51" s="4"/>
      <c r="E51" s="4"/>
      <c r="F51" s="4"/>
      <c r="G51" s="4">
        <v>111000000</v>
      </c>
      <c r="H51" s="4"/>
      <c r="I51" s="4"/>
      <c r="J51" s="20"/>
    </row>
    <row r="52" spans="1:10" x14ac:dyDescent="0.3">
      <c r="A52" s="21" t="s">
        <v>140</v>
      </c>
      <c r="B52" s="3"/>
      <c r="C52" s="4">
        <f>B23</f>
        <v>1562500000</v>
      </c>
      <c r="D52" s="4">
        <f t="shared" ref="D52:J52" si="10">C23</f>
        <v>1074218750</v>
      </c>
      <c r="E52" s="4">
        <f t="shared" si="10"/>
        <v>738525390.625</v>
      </c>
      <c r="F52" s="4">
        <f t="shared" si="10"/>
        <v>507736206.0546875</v>
      </c>
      <c r="G52" s="4">
        <f t="shared" si="10"/>
        <v>349068641.66259766</v>
      </c>
      <c r="H52" s="4">
        <f t="shared" si="10"/>
        <v>239984691.14303589</v>
      </c>
      <c r="I52" s="4">
        <f t="shared" si="10"/>
        <v>27966320.514678955</v>
      </c>
      <c r="J52" s="4">
        <f t="shared" si="10"/>
        <v>0</v>
      </c>
    </row>
    <row r="53" spans="1:10" ht="31.2" x14ac:dyDescent="0.3">
      <c r="A53" s="41" t="s">
        <v>142</v>
      </c>
      <c r="B53" s="3"/>
      <c r="C53" s="4">
        <f>B31</f>
        <v>1492000000</v>
      </c>
      <c r="D53" s="4">
        <f t="shared" ref="D53:J53" si="11">C31</f>
        <v>1588000000</v>
      </c>
      <c r="E53" s="4">
        <f t="shared" si="11"/>
        <v>1671000000</v>
      </c>
      <c r="F53" s="4">
        <f t="shared" si="11"/>
        <v>1776000000</v>
      </c>
      <c r="G53" s="4">
        <f t="shared" si="11"/>
        <v>1922600000</v>
      </c>
      <c r="H53" s="4">
        <f t="shared" si="11"/>
        <v>1992600000</v>
      </c>
      <c r="I53" s="4">
        <f t="shared" si="11"/>
        <v>2043000000</v>
      </c>
      <c r="J53" s="4">
        <f t="shared" si="11"/>
        <v>2081400000</v>
      </c>
    </row>
    <row r="54" spans="1:10" x14ac:dyDescent="0.3">
      <c r="A54" s="21" t="s">
        <v>53</v>
      </c>
      <c r="B54" s="3"/>
      <c r="C54" s="4">
        <v>800000000</v>
      </c>
      <c r="D54" s="4">
        <v>800000000</v>
      </c>
      <c r="E54" s="4">
        <v>800000000</v>
      </c>
      <c r="F54" s="4">
        <v>800000000</v>
      </c>
      <c r="G54" s="4">
        <v>800000000</v>
      </c>
      <c r="H54" s="4">
        <v>800000000</v>
      </c>
      <c r="I54" s="4">
        <v>800000000</v>
      </c>
      <c r="J54" s="20">
        <v>800000000</v>
      </c>
    </row>
    <row r="55" spans="1:10" x14ac:dyDescent="0.3">
      <c r="A55" s="21" t="s">
        <v>56</v>
      </c>
      <c r="B55" s="3"/>
      <c r="C55" s="4">
        <f>$B$34</f>
        <v>420000</v>
      </c>
      <c r="D55" s="4">
        <f t="shared" ref="D55:J55" si="12">$B$34</f>
        <v>420000</v>
      </c>
      <c r="E55" s="4">
        <f t="shared" si="12"/>
        <v>420000</v>
      </c>
      <c r="F55" s="4">
        <f t="shared" si="12"/>
        <v>420000</v>
      </c>
      <c r="G55" s="4">
        <f t="shared" si="12"/>
        <v>420000</v>
      </c>
      <c r="H55" s="4">
        <f t="shared" si="12"/>
        <v>420000</v>
      </c>
      <c r="I55" s="4">
        <f t="shared" si="12"/>
        <v>420000</v>
      </c>
      <c r="J55" s="20">
        <f t="shared" si="12"/>
        <v>420000</v>
      </c>
    </row>
    <row r="56" spans="1:10" x14ac:dyDescent="0.3">
      <c r="A56" s="21" t="s">
        <v>54</v>
      </c>
      <c r="B56" s="3"/>
      <c r="C56" s="4">
        <f>$E$43</f>
        <v>321880</v>
      </c>
      <c r="D56" s="4">
        <f t="shared" ref="D56:J56" si="13">$E$43</f>
        <v>321880</v>
      </c>
      <c r="E56" s="4">
        <f t="shared" si="13"/>
        <v>321880</v>
      </c>
      <c r="F56" s="4">
        <f t="shared" si="13"/>
        <v>321880</v>
      </c>
      <c r="G56" s="4">
        <f t="shared" si="13"/>
        <v>321880</v>
      </c>
      <c r="H56" s="4">
        <f t="shared" si="13"/>
        <v>321880</v>
      </c>
      <c r="I56" s="4">
        <f t="shared" si="13"/>
        <v>321880</v>
      </c>
      <c r="J56" s="20">
        <f t="shared" si="13"/>
        <v>321880</v>
      </c>
    </row>
    <row r="57" spans="1:10" x14ac:dyDescent="0.3">
      <c r="A57" s="21" t="s">
        <v>55</v>
      </c>
      <c r="B57" s="3"/>
      <c r="C57" s="11">
        <v>70000</v>
      </c>
      <c r="D57" s="11">
        <v>75000</v>
      </c>
      <c r="E57" s="11">
        <v>77000</v>
      </c>
      <c r="F57" s="11">
        <v>80000</v>
      </c>
      <c r="G57" s="11">
        <v>86000</v>
      </c>
      <c r="H57" s="11">
        <v>87000</v>
      </c>
      <c r="I57" s="11">
        <v>88000</v>
      </c>
      <c r="J57" s="22">
        <v>90000</v>
      </c>
    </row>
    <row r="58" spans="1:10" x14ac:dyDescent="0.3">
      <c r="A58" s="21" t="s">
        <v>16</v>
      </c>
      <c r="B58" s="3"/>
      <c r="C58" s="4">
        <f t="shared" ref="C58:J58" si="14">C54+C56*C57+C52+C53</f>
        <v>26386100000</v>
      </c>
      <c r="D58" s="4">
        <f t="shared" si="14"/>
        <v>27603218750</v>
      </c>
      <c r="E58" s="4">
        <f t="shared" si="14"/>
        <v>27994285390.625</v>
      </c>
      <c r="F58" s="4">
        <f t="shared" si="14"/>
        <v>28834136206.054688</v>
      </c>
      <c r="G58" s="4">
        <f t="shared" si="14"/>
        <v>30753348641.662598</v>
      </c>
      <c r="H58" s="4">
        <f t="shared" si="14"/>
        <v>31036144691.143036</v>
      </c>
      <c r="I58" s="4">
        <f t="shared" si="14"/>
        <v>31196406320.514679</v>
      </c>
      <c r="J58" s="4">
        <f t="shared" si="14"/>
        <v>31850600000</v>
      </c>
    </row>
    <row r="59" spans="1:10" x14ac:dyDescent="0.3">
      <c r="A59" s="21" t="s">
        <v>17</v>
      </c>
      <c r="B59" s="3"/>
      <c r="C59" s="4">
        <f>C55*C57</f>
        <v>29400000000</v>
      </c>
      <c r="D59" s="4">
        <f t="shared" ref="D59:J59" si="15">D55*D57</f>
        <v>31500000000</v>
      </c>
      <c r="E59" s="4">
        <f t="shared" si="15"/>
        <v>32340000000</v>
      </c>
      <c r="F59" s="4">
        <f t="shared" si="15"/>
        <v>33600000000</v>
      </c>
      <c r="G59" s="4">
        <f t="shared" si="15"/>
        <v>36120000000</v>
      </c>
      <c r="H59" s="4">
        <f t="shared" si="15"/>
        <v>36540000000</v>
      </c>
      <c r="I59" s="4">
        <f t="shared" si="15"/>
        <v>36960000000</v>
      </c>
      <c r="J59" s="20">
        <f t="shared" si="15"/>
        <v>37800000000</v>
      </c>
    </row>
    <row r="60" spans="1:10" x14ac:dyDescent="0.3">
      <c r="A60" s="21" t="s">
        <v>57</v>
      </c>
      <c r="B60" s="3"/>
      <c r="C60" s="4">
        <f>C59-C58</f>
        <v>3013900000</v>
      </c>
      <c r="D60" s="4">
        <f t="shared" ref="D60:J60" si="16">D59-D58</f>
        <v>3896781250</v>
      </c>
      <c r="E60" s="4">
        <f t="shared" si="16"/>
        <v>4345714609.375</v>
      </c>
      <c r="F60" s="4">
        <f t="shared" si="16"/>
        <v>4765863793.9453125</v>
      </c>
      <c r="G60" s="4">
        <f t="shared" si="16"/>
        <v>5366651358.3374023</v>
      </c>
      <c r="H60" s="4">
        <f t="shared" si="16"/>
        <v>5503855308.8569641</v>
      </c>
      <c r="I60" s="4">
        <f t="shared" si="16"/>
        <v>5763593679.485321</v>
      </c>
      <c r="J60" s="20">
        <f t="shared" si="16"/>
        <v>5949400000</v>
      </c>
    </row>
    <row r="61" spans="1:10" x14ac:dyDescent="0.3">
      <c r="A61" s="21" t="s">
        <v>18</v>
      </c>
      <c r="B61" s="3"/>
      <c r="C61" s="4">
        <f>C60*$B$46</f>
        <v>663058000</v>
      </c>
      <c r="D61" s="4">
        <f t="shared" ref="D61:J61" si="17">D60*$B$46</f>
        <v>857291875</v>
      </c>
      <c r="E61" s="4">
        <f t="shared" si="17"/>
        <v>956057214.0625</v>
      </c>
      <c r="F61" s="4">
        <f t="shared" si="17"/>
        <v>1048490034.6679688</v>
      </c>
      <c r="G61" s="4">
        <f t="shared" si="17"/>
        <v>1180663298.8342285</v>
      </c>
      <c r="H61" s="4">
        <f t="shared" si="17"/>
        <v>1210848167.9485321</v>
      </c>
      <c r="I61" s="4">
        <f t="shared" si="17"/>
        <v>1267990609.4867706</v>
      </c>
      <c r="J61" s="20">
        <f t="shared" si="17"/>
        <v>1308868000</v>
      </c>
    </row>
    <row r="62" spans="1:10" x14ac:dyDescent="0.3">
      <c r="A62" s="21" t="s">
        <v>59</v>
      </c>
      <c r="B62" s="3"/>
      <c r="C62" s="4">
        <f>C60-C61</f>
        <v>2350842000</v>
      </c>
      <c r="D62" s="4">
        <f t="shared" ref="D62:J62" si="18">D60-D61</f>
        <v>3039489375</v>
      </c>
      <c r="E62" s="4">
        <f t="shared" si="18"/>
        <v>3389657395.3125</v>
      </c>
      <c r="F62" s="4">
        <f t="shared" si="18"/>
        <v>3717373759.2773438</v>
      </c>
      <c r="G62" s="4">
        <f t="shared" si="18"/>
        <v>4185988059.5031738</v>
      </c>
      <c r="H62" s="4">
        <f t="shared" si="18"/>
        <v>4293007140.908432</v>
      </c>
      <c r="I62" s="4">
        <f t="shared" si="18"/>
        <v>4495603069.9985504</v>
      </c>
      <c r="J62" s="20">
        <f t="shared" si="18"/>
        <v>4640532000</v>
      </c>
    </row>
    <row r="63" spans="1:10" x14ac:dyDescent="0.3">
      <c r="A63" s="21" t="s">
        <v>60</v>
      </c>
      <c r="B63" s="3"/>
      <c r="C63" s="3"/>
      <c r="D63" s="3"/>
      <c r="E63" s="3"/>
      <c r="F63" s="3"/>
      <c r="G63" s="3"/>
      <c r="H63" s="3"/>
      <c r="I63" s="3"/>
      <c r="J63" s="20">
        <f>SUM(E7:E12)</f>
        <v>500000000</v>
      </c>
    </row>
    <row r="64" spans="1:10" x14ac:dyDescent="0.3">
      <c r="A64" s="21" t="s">
        <v>61</v>
      </c>
      <c r="B64" s="3"/>
      <c r="C64" s="3"/>
      <c r="D64" s="3"/>
      <c r="E64" s="3"/>
      <c r="F64" s="3"/>
      <c r="G64" s="3"/>
      <c r="H64" s="3"/>
      <c r="I64" s="3"/>
      <c r="J64" s="20">
        <f>SUM(C51,G51)</f>
        <v>354000000</v>
      </c>
    </row>
    <row r="65" spans="1:10" ht="16.2" thickBot="1" x14ac:dyDescent="0.35">
      <c r="A65" s="23" t="s">
        <v>19</v>
      </c>
      <c r="B65" s="47">
        <f t="shared" ref="B65:J65" si="19">-B49-B50-B51+B52+B62+B63+B64</f>
        <v>-11000000000</v>
      </c>
      <c r="C65" s="47">
        <f t="shared" si="19"/>
        <v>3670342000</v>
      </c>
      <c r="D65" s="47">
        <f t="shared" si="19"/>
        <v>4113708125</v>
      </c>
      <c r="E65" s="47">
        <f t="shared" si="19"/>
        <v>4128182785.9375</v>
      </c>
      <c r="F65" s="47">
        <f t="shared" si="19"/>
        <v>4225109965.3320313</v>
      </c>
      <c r="G65" s="47">
        <f t="shared" si="19"/>
        <v>4424056701.1657715</v>
      </c>
      <c r="H65" s="47">
        <f t="shared" si="19"/>
        <v>4532991832.0514679</v>
      </c>
      <c r="I65" s="47">
        <f t="shared" si="19"/>
        <v>4523569390.5132294</v>
      </c>
      <c r="J65" s="47">
        <f t="shared" si="19"/>
        <v>5494532000</v>
      </c>
    </row>
    <row r="66" spans="1:10" ht="16.2" x14ac:dyDescent="0.35">
      <c r="A66" s="58" t="s">
        <v>62</v>
      </c>
      <c r="B66" s="59">
        <f>B65+NPV(B47,C65:J65)</f>
        <v>8088248687.1312256</v>
      </c>
    </row>
    <row r="67" spans="1:10" ht="16.8" thickBot="1" x14ac:dyDescent="0.4">
      <c r="A67" s="60" t="s">
        <v>63</v>
      </c>
      <c r="B67" s="61">
        <f>IRR(B65:J65,B47)</f>
        <v>0.33906178464754122</v>
      </c>
    </row>
    <row r="68" spans="1:10" x14ac:dyDescent="0.3">
      <c r="H68" s="10"/>
    </row>
    <row r="69" spans="1:10" ht="19.2" x14ac:dyDescent="0.35">
      <c r="B69" s="155" t="s">
        <v>141</v>
      </c>
      <c r="E69" s="10"/>
      <c r="F69" s="10"/>
    </row>
    <row r="70" spans="1:10" x14ac:dyDescent="0.3">
      <c r="H70" s="10"/>
    </row>
  </sheetData>
  <phoneticPr fontId="1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ADC6-92E1-4CAC-AD4D-945DDAF0BED0}">
  <dimension ref="A2:H36"/>
  <sheetViews>
    <sheetView workbookViewId="0">
      <selection activeCell="C27" sqref="C27"/>
    </sheetView>
  </sheetViews>
  <sheetFormatPr defaultRowHeight="15.6" x14ac:dyDescent="0.3"/>
  <cols>
    <col min="1" max="1" width="45.33203125" style="1" customWidth="1"/>
    <col min="2" max="2" width="15" style="1" bestFit="1" customWidth="1"/>
    <col min="3" max="3" width="29.77734375" style="1" customWidth="1"/>
    <col min="4" max="4" width="20.77734375" style="1" customWidth="1"/>
    <col min="5" max="5" width="41.5546875" style="1" customWidth="1"/>
    <col min="6" max="6" width="16.88671875" style="1" customWidth="1"/>
    <col min="7" max="16384" width="8.88671875" style="1"/>
  </cols>
  <sheetData>
    <row r="2" spans="1:8" ht="17.399999999999999" x14ac:dyDescent="0.3">
      <c r="A2" s="179" t="s">
        <v>64</v>
      </c>
      <c r="B2" s="179"/>
      <c r="C2" s="179"/>
      <c r="D2" s="179"/>
      <c r="E2" s="179"/>
      <c r="F2" s="179"/>
    </row>
    <row r="4" spans="1:8" ht="16.2" x14ac:dyDescent="0.35">
      <c r="A4" s="14" t="s">
        <v>80</v>
      </c>
      <c r="E4" s="14" t="s">
        <v>70</v>
      </c>
    </row>
    <row r="5" spans="1:8" ht="16.2" x14ac:dyDescent="0.35">
      <c r="A5" s="3" t="s">
        <v>71</v>
      </c>
      <c r="B5" s="15">
        <v>48</v>
      </c>
      <c r="C5" s="16" t="s">
        <v>32</v>
      </c>
      <c r="E5" s="14"/>
    </row>
    <row r="7" spans="1:8" ht="16.2" thickBot="1" x14ac:dyDescent="0.35">
      <c r="E7" s="3" t="s">
        <v>66</v>
      </c>
      <c r="F7" s="4">
        <v>50000</v>
      </c>
      <c r="G7" s="1" t="s">
        <v>67</v>
      </c>
    </row>
    <row r="8" spans="1:8" ht="16.8" thickBot="1" x14ac:dyDescent="0.4">
      <c r="A8" s="31" t="s">
        <v>27</v>
      </c>
      <c r="B8" s="32">
        <v>382137.29529885051</v>
      </c>
      <c r="E8" s="3" t="s">
        <v>68</v>
      </c>
      <c r="F8" s="4">
        <v>5000000</v>
      </c>
      <c r="G8" s="1" t="s">
        <v>69</v>
      </c>
    </row>
    <row r="9" spans="1:8" x14ac:dyDescent="0.3">
      <c r="A9" s="3" t="s">
        <v>31</v>
      </c>
      <c r="B9" s="8">
        <v>0.215</v>
      </c>
      <c r="C9" s="1" t="s">
        <v>22</v>
      </c>
      <c r="E9" s="5"/>
      <c r="F9" s="6"/>
    </row>
    <row r="10" spans="1:8" x14ac:dyDescent="0.3">
      <c r="A10" s="3" t="s">
        <v>33</v>
      </c>
      <c r="B10" s="3">
        <f>B9*B5</f>
        <v>10.32</v>
      </c>
      <c r="E10" s="5"/>
      <c r="F10" s="6"/>
    </row>
    <row r="11" spans="1:8" ht="16.2" thickBot="1" x14ac:dyDescent="0.35">
      <c r="A11" s="35"/>
      <c r="B11" s="16"/>
      <c r="E11" s="5"/>
      <c r="F11" s="6"/>
    </row>
    <row r="12" spans="1:8" ht="16.2" x14ac:dyDescent="0.35">
      <c r="A12" s="28" t="s">
        <v>79</v>
      </c>
      <c r="B12" s="18">
        <v>239984691</v>
      </c>
      <c r="E12" s="5"/>
      <c r="F12" s="6"/>
    </row>
    <row r="13" spans="1:8" ht="16.2" x14ac:dyDescent="0.35">
      <c r="A13" s="29" t="s">
        <v>53</v>
      </c>
      <c r="B13" s="20">
        <v>800000000</v>
      </c>
      <c r="E13" s="5"/>
      <c r="F13" s="6"/>
    </row>
    <row r="14" spans="1:8" ht="16.2" x14ac:dyDescent="0.35">
      <c r="A14" s="29" t="s">
        <v>83</v>
      </c>
      <c r="B14" s="22">
        <v>87000</v>
      </c>
      <c r="C14" s="9"/>
      <c r="D14" s="5"/>
      <c r="E14" s="5"/>
      <c r="F14" s="6"/>
      <c r="G14" s="5"/>
      <c r="H14" s="5"/>
    </row>
    <row r="15" spans="1:8" ht="16.8" thickBot="1" x14ac:dyDescent="0.4">
      <c r="A15" s="30" t="s">
        <v>84</v>
      </c>
      <c r="B15" s="36">
        <v>1992600000</v>
      </c>
      <c r="C15" s="9"/>
      <c r="D15" s="9"/>
      <c r="E15" s="5"/>
      <c r="F15" s="6"/>
      <c r="G15" s="5"/>
      <c r="H15" s="5"/>
    </row>
    <row r="16" spans="1:8" ht="16.8" thickBot="1" x14ac:dyDescent="0.4">
      <c r="A16" s="33"/>
      <c r="B16" s="34"/>
      <c r="C16" s="9"/>
      <c r="D16" s="9"/>
      <c r="E16" s="5"/>
      <c r="F16" s="6"/>
      <c r="G16" s="5"/>
      <c r="H16" s="5"/>
    </row>
    <row r="17" spans="1:8" ht="16.2" x14ac:dyDescent="0.35">
      <c r="A17" s="37" t="s">
        <v>65</v>
      </c>
      <c r="B17" s="38"/>
      <c r="C17" s="9"/>
      <c r="D17" s="139"/>
      <c r="E17" s="37" t="s">
        <v>74</v>
      </c>
      <c r="F17" s="38"/>
    </row>
    <row r="18" spans="1:8" x14ac:dyDescent="0.3">
      <c r="A18" s="21" t="s">
        <v>26</v>
      </c>
      <c r="B18" s="39">
        <v>215000</v>
      </c>
      <c r="E18" s="21" t="s">
        <v>26</v>
      </c>
      <c r="F18" s="20">
        <f>B18+F7</f>
        <v>265000</v>
      </c>
    </row>
    <row r="19" spans="1:8" x14ac:dyDescent="0.3">
      <c r="A19" s="19" t="s">
        <v>21</v>
      </c>
      <c r="B19" s="20">
        <f>B18/10</f>
        <v>21500</v>
      </c>
      <c r="E19" s="19" t="s">
        <v>21</v>
      </c>
      <c r="F19" s="20">
        <f>F18/10</f>
        <v>26500</v>
      </c>
    </row>
    <row r="20" spans="1:8" ht="17.399999999999999" customHeight="1" x14ac:dyDescent="0.3">
      <c r="A20" s="19" t="s">
        <v>35</v>
      </c>
      <c r="B20" s="20">
        <f>B19*B10</f>
        <v>221880</v>
      </c>
      <c r="C20" s="5"/>
      <c r="E20" s="21" t="s">
        <v>76</v>
      </c>
      <c r="F20" s="20">
        <f>F19*B10</f>
        <v>273480</v>
      </c>
    </row>
    <row r="21" spans="1:8" ht="13.2" customHeight="1" x14ac:dyDescent="0.3">
      <c r="A21" s="40"/>
      <c r="B21" s="27"/>
      <c r="C21" s="5"/>
      <c r="D21" s="5"/>
      <c r="E21" s="26"/>
      <c r="F21" s="27"/>
      <c r="G21" s="5"/>
    </row>
    <row r="22" spans="1:8" ht="31.2" x14ac:dyDescent="0.3">
      <c r="A22" s="41" t="s">
        <v>75</v>
      </c>
      <c r="B22" s="20">
        <v>10000000</v>
      </c>
      <c r="E22" s="41" t="s">
        <v>75</v>
      </c>
      <c r="F22" s="20">
        <f>B22+F8</f>
        <v>15000000</v>
      </c>
    </row>
    <row r="23" spans="1:8" ht="31.8" thickBot="1" x14ac:dyDescent="0.35">
      <c r="A23" s="42" t="s">
        <v>49</v>
      </c>
      <c r="B23" s="24">
        <f>B22/100</f>
        <v>100000</v>
      </c>
      <c r="D23" s="5"/>
      <c r="E23" s="42" t="s">
        <v>49</v>
      </c>
      <c r="F23" s="24">
        <f>F22/100</f>
        <v>150000</v>
      </c>
      <c r="G23" s="5"/>
    </row>
    <row r="26" spans="1:8" x14ac:dyDescent="0.3">
      <c r="D26" s="5"/>
      <c r="E26" s="5"/>
      <c r="F26" s="6"/>
      <c r="G26" s="5"/>
      <c r="H26" s="5"/>
    </row>
    <row r="27" spans="1:8" ht="16.2" thickBot="1" x14ac:dyDescent="0.35">
      <c r="A27" s="9"/>
      <c r="B27" s="6"/>
      <c r="D27" s="5"/>
      <c r="E27" s="5"/>
      <c r="F27" s="6"/>
      <c r="G27" s="5"/>
      <c r="H27" s="5"/>
    </row>
    <row r="28" spans="1:8" ht="16.2" x14ac:dyDescent="0.35">
      <c r="A28" s="28" t="s">
        <v>34</v>
      </c>
      <c r="B28" s="18">
        <f>B23+B20</f>
        <v>321880</v>
      </c>
      <c r="E28" s="28" t="s">
        <v>34</v>
      </c>
      <c r="F28" s="18">
        <f>F23+F20</f>
        <v>423480</v>
      </c>
    </row>
    <row r="29" spans="1:8" ht="16.2" x14ac:dyDescent="0.35">
      <c r="A29" s="29" t="s">
        <v>72</v>
      </c>
      <c r="B29" s="20">
        <f>B13+B12+B28*B14+B15</f>
        <v>31036144691</v>
      </c>
      <c r="E29" s="29" t="s">
        <v>72</v>
      </c>
      <c r="F29" s="20">
        <f>B13+B12+F28*B14+B15</f>
        <v>39875344691</v>
      </c>
    </row>
    <row r="30" spans="1:8" ht="16.8" thickBot="1" x14ac:dyDescent="0.4">
      <c r="A30" s="30" t="s">
        <v>73</v>
      </c>
      <c r="B30" s="24">
        <f>B29*9/12</f>
        <v>23277108518.25</v>
      </c>
      <c r="E30" s="30" t="s">
        <v>77</v>
      </c>
      <c r="F30" s="24">
        <f>F29*3/12</f>
        <v>9968836172.75</v>
      </c>
    </row>
    <row r="32" spans="1:8" ht="16.2" thickBot="1" x14ac:dyDescent="0.35">
      <c r="B32" s="139"/>
    </row>
    <row r="33" spans="2:4" ht="16.2" x14ac:dyDescent="0.35">
      <c r="B33" s="125"/>
      <c r="C33" s="136" t="s">
        <v>78</v>
      </c>
      <c r="D33" s="133">
        <f>B30+F30</f>
        <v>33245944691</v>
      </c>
    </row>
    <row r="34" spans="2:4" ht="16.2" x14ac:dyDescent="0.35">
      <c r="B34" s="125"/>
      <c r="C34" s="137" t="s">
        <v>17</v>
      </c>
      <c r="D34" s="134">
        <f>B8*B14</f>
        <v>33245944690.999996</v>
      </c>
    </row>
    <row r="35" spans="2:4" ht="16.8" thickBot="1" x14ac:dyDescent="0.4">
      <c r="B35" s="125"/>
      <c r="C35" s="138" t="s">
        <v>57</v>
      </c>
      <c r="D35" s="135">
        <f>D34-D33</f>
        <v>0</v>
      </c>
    </row>
    <row r="36" spans="2:4" x14ac:dyDescent="0.3">
      <c r="C36" s="17"/>
    </row>
  </sheetData>
  <mergeCells count="1"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74F1-EE68-4A83-84AF-41BEA699FCD4}">
  <dimension ref="A1:V26"/>
  <sheetViews>
    <sheetView topLeftCell="A13" zoomScaleNormal="100" workbookViewId="0">
      <selection activeCell="D23" sqref="D23"/>
    </sheetView>
  </sheetViews>
  <sheetFormatPr defaultRowHeight="15.6" x14ac:dyDescent="0.3"/>
  <cols>
    <col min="1" max="1" width="39.5546875" style="1" customWidth="1"/>
    <col min="2" max="2" width="19.6640625" style="1" customWidth="1"/>
    <col min="3" max="3" width="18.88671875" style="1" customWidth="1"/>
    <col min="4" max="4" width="17.5546875" style="1" customWidth="1"/>
    <col min="5" max="11" width="13.88671875" style="1" bestFit="1" customWidth="1"/>
    <col min="12" max="12" width="15.21875" style="1" customWidth="1"/>
    <col min="13" max="19" width="13.88671875" style="1" bestFit="1" customWidth="1"/>
    <col min="20" max="22" width="15" style="1" bestFit="1" customWidth="1"/>
    <col min="23" max="16384" width="8.88671875" style="1"/>
  </cols>
  <sheetData>
    <row r="1" spans="1:22" ht="17.399999999999999" x14ac:dyDescent="0.3">
      <c r="D1" s="179" t="s">
        <v>64</v>
      </c>
      <c r="E1" s="179"/>
      <c r="F1" s="179"/>
      <c r="G1" s="179"/>
      <c r="H1" s="179"/>
      <c r="I1" s="179"/>
    </row>
    <row r="2" spans="1:22" ht="16.2" thickBot="1" x14ac:dyDescent="0.35"/>
    <row r="3" spans="1:22" ht="16.2" x14ac:dyDescent="0.35">
      <c r="A3" s="28" t="s">
        <v>85</v>
      </c>
      <c r="B3" s="18">
        <v>738525391</v>
      </c>
    </row>
    <row r="4" spans="1:22" ht="16.2" x14ac:dyDescent="0.35">
      <c r="A4" s="29" t="s">
        <v>53</v>
      </c>
      <c r="B4" s="20">
        <v>800000000</v>
      </c>
    </row>
    <row r="5" spans="1:22" ht="16.2" x14ac:dyDescent="0.35">
      <c r="A5" s="29" t="s">
        <v>86</v>
      </c>
      <c r="B5" s="22">
        <v>77000</v>
      </c>
    </row>
    <row r="6" spans="1:22" ht="16.8" thickBot="1" x14ac:dyDescent="0.4">
      <c r="A6" s="30" t="s">
        <v>87</v>
      </c>
      <c r="B6" s="36">
        <v>1671000000</v>
      </c>
    </row>
    <row r="7" spans="1:22" ht="16.2" thickBot="1" x14ac:dyDescent="0.35">
      <c r="B7" s="10"/>
    </row>
    <row r="8" spans="1:22" ht="16.8" thickBot="1" x14ac:dyDescent="0.4">
      <c r="A8" s="31" t="s">
        <v>27</v>
      </c>
      <c r="B8" s="77">
        <v>420000</v>
      </c>
    </row>
    <row r="9" spans="1:22" ht="16.2" thickBot="1" x14ac:dyDescent="0.35">
      <c r="B9" s="10"/>
    </row>
    <row r="10" spans="1:22" ht="16.8" thickBot="1" x14ac:dyDescent="0.4">
      <c r="A10" s="75" t="s">
        <v>34</v>
      </c>
      <c r="B10" s="76">
        <v>321880</v>
      </c>
    </row>
    <row r="11" spans="1:22" ht="16.2" thickBot="1" x14ac:dyDescent="0.35"/>
    <row r="12" spans="1:22" ht="16.2" x14ac:dyDescent="0.35">
      <c r="A12" s="182" t="s">
        <v>143</v>
      </c>
      <c r="B12" s="183"/>
      <c r="C12" s="18">
        <f>B4+B3+B6+B5*B10</f>
        <v>27994285391</v>
      </c>
    </row>
    <row r="13" spans="1:22" ht="16.2" x14ac:dyDescent="0.35">
      <c r="A13" s="184" t="s">
        <v>17</v>
      </c>
      <c r="B13" s="185"/>
      <c r="C13" s="20">
        <f>B8*B5</f>
        <v>32340000000</v>
      </c>
    </row>
    <row r="14" spans="1:22" ht="16.8" thickBot="1" x14ac:dyDescent="0.4">
      <c r="A14" s="186" t="s">
        <v>57</v>
      </c>
      <c r="B14" s="187"/>
      <c r="C14" s="24">
        <f>C13-C12</f>
        <v>4345714609</v>
      </c>
    </row>
    <row r="15" spans="1:22" ht="16.2" thickBot="1" x14ac:dyDescent="0.35"/>
    <row r="16" spans="1:22" ht="18.600000000000001" thickBot="1" x14ac:dyDescent="0.4">
      <c r="A16" s="188" t="s">
        <v>88</v>
      </c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90"/>
      <c r="M16" s="156"/>
      <c r="N16" s="156"/>
      <c r="O16" s="156"/>
      <c r="P16" s="156"/>
      <c r="Q16" s="156"/>
      <c r="R16" s="156"/>
      <c r="S16" s="156"/>
      <c r="T16" s="156"/>
      <c r="U16" s="156"/>
      <c r="V16" s="156"/>
    </row>
    <row r="17" spans="1:22" ht="16.2" thickBot="1" x14ac:dyDescent="0.35">
      <c r="A17" s="26"/>
      <c r="B17" s="82">
        <f>C14</f>
        <v>4345714609</v>
      </c>
      <c r="C17" s="86">
        <v>78000</v>
      </c>
      <c r="D17" s="87">
        <v>79000</v>
      </c>
      <c r="E17" s="86">
        <v>80000</v>
      </c>
      <c r="F17" s="87">
        <v>81000</v>
      </c>
      <c r="G17" s="86">
        <v>82000</v>
      </c>
      <c r="H17" s="87">
        <v>83000</v>
      </c>
      <c r="I17" s="86">
        <v>84000</v>
      </c>
      <c r="J17" s="87">
        <v>85000</v>
      </c>
      <c r="K17" s="86">
        <v>86000</v>
      </c>
      <c r="L17" s="88">
        <v>87000</v>
      </c>
      <c r="M17" s="157"/>
      <c r="N17" s="157"/>
      <c r="O17" s="157"/>
      <c r="P17" s="157"/>
      <c r="Q17" s="157"/>
      <c r="R17" s="157"/>
      <c r="S17" s="157"/>
      <c r="T17" s="157"/>
      <c r="U17" s="157"/>
      <c r="V17" s="157"/>
    </row>
    <row r="18" spans="1:22" x14ac:dyDescent="0.3">
      <c r="A18" s="180" t="s">
        <v>56</v>
      </c>
      <c r="B18" s="80">
        <v>435000</v>
      </c>
      <c r="C18" s="83">
        <f t="dataTable" ref="C18:L26" dt2D="1" dtr="1" r1="B5" r2="B8"/>
        <v>5613834609</v>
      </c>
      <c r="D18" s="84">
        <v>5726954609</v>
      </c>
      <c r="E18" s="84">
        <v>5840074609</v>
      </c>
      <c r="F18" s="84">
        <v>5953194609</v>
      </c>
      <c r="G18" s="84">
        <v>6066314609</v>
      </c>
      <c r="H18" s="84">
        <v>6179434609</v>
      </c>
      <c r="I18" s="84">
        <v>6292554609</v>
      </c>
      <c r="J18" s="84">
        <v>6405674609</v>
      </c>
      <c r="K18" s="84">
        <v>6518794609</v>
      </c>
      <c r="L18" s="85">
        <v>6631914609</v>
      </c>
      <c r="M18" s="131"/>
      <c r="N18" s="131"/>
      <c r="O18" s="131"/>
      <c r="P18" s="131"/>
      <c r="Q18" s="131"/>
      <c r="R18" s="131"/>
      <c r="S18" s="131"/>
      <c r="T18" s="131"/>
      <c r="U18" s="131"/>
      <c r="V18" s="131"/>
    </row>
    <row r="19" spans="1:22" ht="16.2" thickBot="1" x14ac:dyDescent="0.35">
      <c r="A19" s="180"/>
      <c r="B19" s="81">
        <v>440000</v>
      </c>
      <c r="C19" s="78">
        <v>6003834609</v>
      </c>
      <c r="D19" s="4">
        <v>6121954609</v>
      </c>
      <c r="E19" s="4">
        <v>6240074609</v>
      </c>
      <c r="F19" s="4">
        <v>6358194609</v>
      </c>
      <c r="G19" s="4">
        <v>6476314609</v>
      </c>
      <c r="H19" s="4">
        <v>6594434609</v>
      </c>
      <c r="I19" s="4">
        <v>6712554609</v>
      </c>
      <c r="J19" s="4">
        <v>6830674609</v>
      </c>
      <c r="K19" s="4">
        <v>6948794609</v>
      </c>
      <c r="L19" s="20">
        <v>7066914609</v>
      </c>
      <c r="M19" s="131"/>
      <c r="N19" s="131"/>
      <c r="O19" s="131"/>
      <c r="P19" s="131"/>
      <c r="Q19" s="131"/>
      <c r="R19" s="131"/>
      <c r="S19" s="131"/>
      <c r="T19" s="131"/>
      <c r="U19" s="131"/>
      <c r="V19" s="131"/>
    </row>
    <row r="20" spans="1:22" x14ac:dyDescent="0.3">
      <c r="A20" s="180"/>
      <c r="B20" s="80">
        <v>445000</v>
      </c>
      <c r="C20" s="78">
        <v>6393834609</v>
      </c>
      <c r="D20" s="4">
        <v>6516954609</v>
      </c>
      <c r="E20" s="4">
        <v>6640074609</v>
      </c>
      <c r="F20" s="4">
        <v>6763194609</v>
      </c>
      <c r="G20" s="4">
        <v>6886314609</v>
      </c>
      <c r="H20" s="4">
        <v>7009434609</v>
      </c>
      <c r="I20" s="4">
        <v>7132554609</v>
      </c>
      <c r="J20" s="4">
        <v>7255674609</v>
      </c>
      <c r="K20" s="4">
        <v>7378794609</v>
      </c>
      <c r="L20" s="20">
        <v>7501914609</v>
      </c>
      <c r="M20" s="131"/>
      <c r="N20" s="131"/>
      <c r="O20" s="131"/>
      <c r="P20" s="131"/>
      <c r="Q20" s="131"/>
      <c r="R20" s="131"/>
      <c r="S20" s="131"/>
      <c r="T20" s="131"/>
      <c r="U20" s="131"/>
      <c r="V20" s="131"/>
    </row>
    <row r="21" spans="1:22" ht="16.2" thickBot="1" x14ac:dyDescent="0.35">
      <c r="A21" s="180"/>
      <c r="B21" s="81">
        <v>450000</v>
      </c>
      <c r="C21" s="78">
        <v>6783834609</v>
      </c>
      <c r="D21" s="4">
        <v>6911954609</v>
      </c>
      <c r="E21" s="4">
        <v>7040074609</v>
      </c>
      <c r="F21" s="4">
        <v>7168194609</v>
      </c>
      <c r="G21" s="4">
        <v>7296314609</v>
      </c>
      <c r="H21" s="4">
        <v>7424434609</v>
      </c>
      <c r="I21" s="4">
        <v>7552554609</v>
      </c>
      <c r="J21" s="4">
        <v>7680674609</v>
      </c>
      <c r="K21" s="4">
        <v>7808794609</v>
      </c>
      <c r="L21" s="20">
        <v>7936914609</v>
      </c>
      <c r="M21" s="131"/>
      <c r="N21" s="131"/>
      <c r="O21" s="131"/>
      <c r="P21" s="131"/>
      <c r="Q21" s="131"/>
      <c r="R21" s="131"/>
      <c r="S21" s="131"/>
      <c r="T21" s="131"/>
      <c r="U21" s="131"/>
      <c r="V21" s="131"/>
    </row>
    <row r="22" spans="1:22" x14ac:dyDescent="0.3">
      <c r="A22" s="180"/>
      <c r="B22" s="80">
        <v>455000</v>
      </c>
      <c r="C22" s="78">
        <v>7173834609</v>
      </c>
      <c r="D22" s="4">
        <v>7306954609</v>
      </c>
      <c r="E22" s="4">
        <v>7440074609</v>
      </c>
      <c r="F22" s="4">
        <v>7573194609</v>
      </c>
      <c r="G22" s="4">
        <v>7706314609</v>
      </c>
      <c r="H22" s="4">
        <v>7839434609</v>
      </c>
      <c r="I22" s="4">
        <v>7972554609</v>
      </c>
      <c r="J22" s="4">
        <v>8105674609</v>
      </c>
      <c r="K22" s="4">
        <v>8238794609</v>
      </c>
      <c r="L22" s="20">
        <v>8371914609</v>
      </c>
      <c r="M22" s="131"/>
      <c r="N22" s="131"/>
      <c r="O22" s="131"/>
      <c r="P22" s="131"/>
      <c r="Q22" s="131"/>
      <c r="R22" s="131"/>
      <c r="S22" s="131"/>
      <c r="T22" s="131"/>
      <c r="U22" s="131"/>
      <c r="V22" s="131"/>
    </row>
    <row r="23" spans="1:22" ht="16.2" thickBot="1" x14ac:dyDescent="0.35">
      <c r="A23" s="180"/>
      <c r="B23" s="81">
        <v>460000</v>
      </c>
      <c r="C23" s="78">
        <v>7563834609</v>
      </c>
      <c r="D23" s="4">
        <v>7701954609</v>
      </c>
      <c r="E23" s="4">
        <v>7840074609</v>
      </c>
      <c r="F23" s="4">
        <v>7978194609</v>
      </c>
      <c r="G23" s="4">
        <v>8116314609</v>
      </c>
      <c r="H23" s="4">
        <v>8254434609</v>
      </c>
      <c r="I23" s="4">
        <v>8392554609</v>
      </c>
      <c r="J23" s="4">
        <v>8530674609</v>
      </c>
      <c r="K23" s="4">
        <v>8668794609</v>
      </c>
      <c r="L23" s="20">
        <v>8806914609</v>
      </c>
      <c r="M23" s="131"/>
      <c r="N23" s="131"/>
      <c r="O23" s="131"/>
      <c r="P23" s="131"/>
      <c r="Q23" s="131"/>
      <c r="R23" s="131"/>
      <c r="S23" s="131"/>
      <c r="T23" s="131"/>
      <c r="U23" s="131"/>
      <c r="V23" s="131"/>
    </row>
    <row r="24" spans="1:22" x14ac:dyDescent="0.3">
      <c r="A24" s="180"/>
      <c r="B24" s="80">
        <v>465000</v>
      </c>
      <c r="C24" s="78">
        <v>7953834609</v>
      </c>
      <c r="D24" s="4">
        <v>8096954609</v>
      </c>
      <c r="E24" s="4">
        <v>8240074609</v>
      </c>
      <c r="F24" s="4">
        <v>8383194609</v>
      </c>
      <c r="G24" s="4">
        <v>8526314609</v>
      </c>
      <c r="H24" s="4">
        <v>8669434609</v>
      </c>
      <c r="I24" s="4">
        <v>8812554609</v>
      </c>
      <c r="J24" s="4">
        <v>8955674609</v>
      </c>
      <c r="K24" s="4">
        <v>9098794609</v>
      </c>
      <c r="L24" s="20">
        <v>9241914609</v>
      </c>
      <c r="M24" s="131"/>
      <c r="N24" s="131"/>
      <c r="O24" s="131"/>
      <c r="P24" s="131"/>
      <c r="Q24" s="131"/>
      <c r="R24" s="131"/>
      <c r="S24" s="131"/>
      <c r="T24" s="131"/>
      <c r="U24" s="131"/>
      <c r="V24" s="131"/>
    </row>
    <row r="25" spans="1:22" ht="16.2" thickBot="1" x14ac:dyDescent="0.35">
      <c r="A25" s="180"/>
      <c r="B25" s="81">
        <v>470000</v>
      </c>
      <c r="C25" s="78">
        <v>8343834609</v>
      </c>
      <c r="D25" s="4">
        <v>8491954609</v>
      </c>
      <c r="E25" s="4">
        <v>8640074609</v>
      </c>
      <c r="F25" s="4">
        <v>8788194609</v>
      </c>
      <c r="G25" s="4">
        <v>8936314609</v>
      </c>
      <c r="H25" s="4">
        <v>9084434609</v>
      </c>
      <c r="I25" s="4">
        <v>9232554609</v>
      </c>
      <c r="J25" s="4">
        <v>9380674609</v>
      </c>
      <c r="K25" s="4">
        <v>9528794609</v>
      </c>
      <c r="L25" s="20">
        <v>9676914609</v>
      </c>
      <c r="M25" s="131"/>
      <c r="N25" s="131"/>
      <c r="O25" s="131"/>
      <c r="P25" s="131"/>
      <c r="Q25" s="131"/>
      <c r="R25" s="131"/>
      <c r="S25" s="131"/>
      <c r="T25" s="131"/>
      <c r="U25" s="131"/>
      <c r="V25" s="131"/>
    </row>
    <row r="26" spans="1:22" ht="16.2" thickBot="1" x14ac:dyDescent="0.35">
      <c r="A26" s="181"/>
      <c r="B26" s="158">
        <v>475000</v>
      </c>
      <c r="C26" s="79">
        <v>8733834609</v>
      </c>
      <c r="D26" s="47">
        <v>8886954609</v>
      </c>
      <c r="E26" s="47">
        <v>9040074609</v>
      </c>
      <c r="F26" s="47">
        <v>9193194609</v>
      </c>
      <c r="G26" s="47">
        <v>9346314609</v>
      </c>
      <c r="H26" s="47">
        <v>9499434609</v>
      </c>
      <c r="I26" s="47">
        <v>9652554609</v>
      </c>
      <c r="J26" s="47">
        <v>9805674609</v>
      </c>
      <c r="K26" s="47">
        <v>9958794609</v>
      </c>
      <c r="L26" s="24">
        <v>10111914609</v>
      </c>
      <c r="M26" s="131"/>
      <c r="N26" s="131"/>
      <c r="O26" s="131"/>
      <c r="P26" s="131"/>
      <c r="Q26" s="131"/>
      <c r="R26" s="131"/>
      <c r="S26" s="131"/>
      <c r="T26" s="131"/>
      <c r="U26" s="131"/>
      <c r="V26" s="131"/>
    </row>
  </sheetData>
  <mergeCells count="6">
    <mergeCell ref="A18:A26"/>
    <mergeCell ref="D1:I1"/>
    <mergeCell ref="A12:B12"/>
    <mergeCell ref="A13:B13"/>
    <mergeCell ref="A14:B14"/>
    <mergeCell ref="A16:L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CD88-F551-4AA6-91B4-4710BA8BC8EA}">
  <sheetPr>
    <outlinePr summaryBelow="0"/>
  </sheetPr>
  <dimension ref="B1:I19"/>
  <sheetViews>
    <sheetView showGridLines="0" workbookViewId="0">
      <selection activeCell="C17" sqref="C17"/>
    </sheetView>
  </sheetViews>
  <sheetFormatPr defaultRowHeight="14.4" outlineLevelRow="1" outlineLevelCol="1" x14ac:dyDescent="0.3"/>
  <cols>
    <col min="3" max="3" width="32.109375" customWidth="1"/>
    <col min="4" max="9" width="13.44140625" bestFit="1" customWidth="1" outlineLevel="1"/>
  </cols>
  <sheetData>
    <row r="1" spans="2:9" ht="15" thickBot="1" x14ac:dyDescent="0.35"/>
    <row r="2" spans="2:9" ht="15.6" x14ac:dyDescent="0.3">
      <c r="B2" s="99" t="s">
        <v>106</v>
      </c>
      <c r="C2" s="99"/>
      <c r="D2" s="104"/>
      <c r="E2" s="104"/>
      <c r="F2" s="104"/>
      <c r="G2" s="104"/>
      <c r="H2" s="104"/>
      <c r="I2" s="104"/>
    </row>
    <row r="3" spans="2:9" ht="15.6" collapsed="1" x14ac:dyDescent="0.3">
      <c r="B3" s="98"/>
      <c r="C3" s="98"/>
      <c r="D3" s="105" t="s">
        <v>108</v>
      </c>
      <c r="E3" s="105" t="s">
        <v>91</v>
      </c>
      <c r="F3" s="105" t="s">
        <v>102</v>
      </c>
      <c r="G3" s="105" t="s">
        <v>103</v>
      </c>
      <c r="H3" s="105" t="s">
        <v>104</v>
      </c>
      <c r="I3" s="105" t="s">
        <v>105</v>
      </c>
    </row>
    <row r="4" spans="2:9" ht="20.399999999999999" hidden="1" outlineLevel="1" x14ac:dyDescent="0.3">
      <c r="B4" s="101"/>
      <c r="C4" s="101"/>
      <c r="D4" s="94"/>
      <c r="E4" s="108" t="s">
        <v>101</v>
      </c>
      <c r="F4" s="108" t="s">
        <v>101</v>
      </c>
      <c r="G4" s="108" t="s">
        <v>101</v>
      </c>
      <c r="H4" s="108" t="s">
        <v>101</v>
      </c>
      <c r="I4" s="108" t="s">
        <v>101</v>
      </c>
    </row>
    <row r="5" spans="2:9" ht="15" thickBot="1" x14ac:dyDescent="0.35">
      <c r="B5" s="102" t="s">
        <v>107</v>
      </c>
      <c r="C5" s="102"/>
      <c r="D5" s="100"/>
      <c r="E5" s="100"/>
      <c r="F5" s="100"/>
      <c r="G5" s="100"/>
      <c r="H5" s="100"/>
      <c r="I5" s="100"/>
    </row>
    <row r="6" spans="2:9" ht="15.6" outlineLevel="1" x14ac:dyDescent="0.3">
      <c r="B6" s="101"/>
      <c r="C6" s="89" t="s">
        <v>92</v>
      </c>
      <c r="D6" s="95">
        <v>87000</v>
      </c>
      <c r="E6" s="106">
        <v>87000</v>
      </c>
      <c r="F6" s="106">
        <v>82000</v>
      </c>
      <c r="G6" s="106">
        <v>90000</v>
      </c>
      <c r="H6" s="106">
        <v>84000</v>
      </c>
      <c r="I6" s="106">
        <v>92000</v>
      </c>
    </row>
    <row r="7" spans="2:9" ht="16.2" outlineLevel="1" thickBot="1" x14ac:dyDescent="0.35">
      <c r="B7" s="101"/>
      <c r="C7" s="90" t="s">
        <v>93</v>
      </c>
      <c r="D7" s="95">
        <v>520000</v>
      </c>
      <c r="E7" s="106">
        <v>520000</v>
      </c>
      <c r="F7" s="106">
        <v>528000</v>
      </c>
      <c r="G7" s="106">
        <v>535000</v>
      </c>
      <c r="H7" s="106">
        <v>529000</v>
      </c>
      <c r="I7" s="106">
        <v>530000</v>
      </c>
    </row>
    <row r="8" spans="2:9" ht="15.6" outlineLevel="1" x14ac:dyDescent="0.3">
      <c r="B8" s="101"/>
      <c r="C8" s="21" t="s">
        <v>95</v>
      </c>
      <c r="D8" s="95">
        <v>300000000</v>
      </c>
      <c r="E8" s="106">
        <v>300000000</v>
      </c>
      <c r="F8" s="106">
        <v>250000000</v>
      </c>
      <c r="G8" s="106">
        <v>315000000</v>
      </c>
      <c r="H8" s="106">
        <v>275000000</v>
      </c>
      <c r="I8" s="106">
        <v>287000000</v>
      </c>
    </row>
    <row r="9" spans="2:9" ht="15.6" outlineLevel="1" x14ac:dyDescent="0.3">
      <c r="B9" s="101"/>
      <c r="C9" s="21" t="s">
        <v>96</v>
      </c>
      <c r="D9" s="95">
        <v>100000000</v>
      </c>
      <c r="E9" s="106">
        <v>100000000</v>
      </c>
      <c r="F9" s="106">
        <v>120000000</v>
      </c>
      <c r="G9" s="106">
        <v>122000000</v>
      </c>
      <c r="H9" s="106">
        <v>115000000</v>
      </c>
      <c r="I9" s="106">
        <v>127000000</v>
      </c>
    </row>
    <row r="10" spans="2:9" ht="15.6" outlineLevel="1" x14ac:dyDescent="0.3">
      <c r="B10" s="101"/>
      <c r="C10" s="21" t="s">
        <v>97</v>
      </c>
      <c r="D10" s="95">
        <v>70000000</v>
      </c>
      <c r="E10" s="106">
        <v>70000000</v>
      </c>
      <c r="F10" s="106">
        <v>77000000</v>
      </c>
      <c r="G10" s="106">
        <v>80000000</v>
      </c>
      <c r="H10" s="106">
        <v>72000000</v>
      </c>
      <c r="I10" s="106">
        <v>76000000</v>
      </c>
    </row>
    <row r="11" spans="2:9" ht="16.2" outlineLevel="1" thickBot="1" x14ac:dyDescent="0.35">
      <c r="B11" s="101"/>
      <c r="C11" s="23" t="s">
        <v>98</v>
      </c>
      <c r="D11" s="95">
        <v>98000000</v>
      </c>
      <c r="E11" s="106">
        <v>98000000</v>
      </c>
      <c r="F11" s="106">
        <v>98000000</v>
      </c>
      <c r="G11" s="106">
        <v>95000000</v>
      </c>
      <c r="H11" s="106">
        <v>92000000</v>
      </c>
      <c r="I11" s="106">
        <v>96000000</v>
      </c>
    </row>
    <row r="12" spans="2:9" ht="16.2" outlineLevel="1" thickBot="1" x14ac:dyDescent="0.35">
      <c r="B12" s="101"/>
      <c r="C12" s="92" t="s">
        <v>99</v>
      </c>
      <c r="D12" s="96">
        <v>0.2</v>
      </c>
      <c r="E12" s="107">
        <v>0.2</v>
      </c>
      <c r="F12" s="107">
        <v>0.25</v>
      </c>
      <c r="G12" s="107">
        <v>0.22</v>
      </c>
      <c r="H12" s="107">
        <v>0.18</v>
      </c>
      <c r="I12" s="107">
        <v>0.23</v>
      </c>
    </row>
    <row r="13" spans="2:9" ht="15" thickBot="1" x14ac:dyDescent="0.35">
      <c r="B13" s="102" t="s">
        <v>109</v>
      </c>
      <c r="C13" s="102"/>
      <c r="D13" s="100"/>
      <c r="E13" s="100"/>
      <c r="F13" s="100"/>
      <c r="G13" s="100"/>
      <c r="H13" s="100"/>
      <c r="I13" s="100"/>
    </row>
    <row r="14" spans="2:9" ht="16.2" outlineLevel="1" x14ac:dyDescent="0.35">
      <c r="B14" s="101"/>
      <c r="C14" s="122" t="s">
        <v>100</v>
      </c>
      <c r="D14" s="95">
        <v>31655296206</v>
      </c>
      <c r="E14" s="95">
        <v>31655296206</v>
      </c>
      <c r="F14" s="95">
        <v>30022896206</v>
      </c>
      <c r="G14" s="95">
        <v>32664936206</v>
      </c>
      <c r="H14" s="95">
        <v>30675656206</v>
      </c>
      <c r="I14" s="95">
        <v>33282696206</v>
      </c>
    </row>
    <row r="15" spans="2:9" ht="16.2" outlineLevel="1" x14ac:dyDescent="0.35">
      <c r="B15" s="101"/>
      <c r="C15" s="123" t="s">
        <v>17</v>
      </c>
      <c r="D15" s="95">
        <v>36192000000</v>
      </c>
      <c r="E15" s="95">
        <v>36192000000</v>
      </c>
      <c r="F15" s="95">
        <v>32472000000</v>
      </c>
      <c r="G15" s="95">
        <v>37557000000</v>
      </c>
      <c r="H15" s="95">
        <v>36437520000</v>
      </c>
      <c r="I15" s="95">
        <v>37545200000</v>
      </c>
    </row>
    <row r="16" spans="2:9" ht="16.8" outlineLevel="1" thickBot="1" x14ac:dyDescent="0.4">
      <c r="B16" s="103"/>
      <c r="C16" s="124" t="s">
        <v>57</v>
      </c>
      <c r="D16" s="97">
        <v>4536703794</v>
      </c>
      <c r="E16" s="97">
        <v>4536703794</v>
      </c>
      <c r="F16" s="97">
        <v>2449103794</v>
      </c>
      <c r="G16" s="97">
        <v>4892063794</v>
      </c>
      <c r="H16" s="97">
        <v>5761863794</v>
      </c>
      <c r="I16" s="97">
        <v>4262503794</v>
      </c>
    </row>
    <row r="17" spans="2:2" x14ac:dyDescent="0.3">
      <c r="B17" t="s">
        <v>110</v>
      </c>
    </row>
    <row r="18" spans="2:2" x14ac:dyDescent="0.3">
      <c r="B18" t="s">
        <v>111</v>
      </c>
    </row>
    <row r="19" spans="2:2" x14ac:dyDescent="0.3">
      <c r="B19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25C9-9746-428D-AF44-BDA9CF4C99D7}">
  <dimension ref="A1:M33"/>
  <sheetViews>
    <sheetView workbookViewId="0">
      <selection activeCell="D7" sqref="D7"/>
    </sheetView>
  </sheetViews>
  <sheetFormatPr defaultRowHeight="15.6" x14ac:dyDescent="0.3"/>
  <cols>
    <col min="1" max="1" width="38.33203125" style="1" customWidth="1"/>
    <col min="2" max="2" width="18.77734375" style="1" customWidth="1"/>
    <col min="3" max="3" width="29.77734375" style="1" customWidth="1"/>
    <col min="4" max="4" width="18.109375" style="1" customWidth="1"/>
    <col min="5" max="5" width="34" style="1" customWidth="1"/>
    <col min="6" max="6" width="14.21875" style="1" customWidth="1"/>
    <col min="7" max="7" width="13.88671875" style="1" customWidth="1"/>
    <col min="8" max="8" width="13.44140625" style="1" customWidth="1"/>
    <col min="9" max="9" width="15.6640625" style="1" customWidth="1"/>
    <col min="10" max="16384" width="8.88671875" style="1"/>
  </cols>
  <sheetData>
    <row r="1" spans="1:13" ht="18.600000000000001" x14ac:dyDescent="0.3">
      <c r="H1" s="193" t="s">
        <v>64</v>
      </c>
      <c r="I1" s="193"/>
      <c r="J1" s="193"/>
      <c r="K1" s="193"/>
      <c r="L1" s="193"/>
      <c r="M1" s="193"/>
    </row>
    <row r="3" spans="1:13" ht="16.2" thickBot="1" x14ac:dyDescent="0.35">
      <c r="D3" s="1" t="s">
        <v>91</v>
      </c>
    </row>
    <row r="4" spans="1:13" ht="16.2" x14ac:dyDescent="0.35">
      <c r="A4" s="28" t="s">
        <v>89</v>
      </c>
      <c r="B4" s="18">
        <v>507736206</v>
      </c>
      <c r="E4" s="89" t="s">
        <v>92</v>
      </c>
      <c r="F4" s="18">
        <v>87000</v>
      </c>
    </row>
    <row r="5" spans="1:13" ht="16.8" thickBot="1" x14ac:dyDescent="0.4">
      <c r="A5" s="30" t="s">
        <v>53</v>
      </c>
      <c r="B5" s="24">
        <v>800000000</v>
      </c>
      <c r="C5" s="9"/>
      <c r="E5" s="90" t="s">
        <v>93</v>
      </c>
      <c r="F5" s="24">
        <v>520000</v>
      </c>
    </row>
    <row r="6" spans="1:13" ht="16.8" thickBot="1" x14ac:dyDescent="0.4">
      <c r="A6" s="75" t="s">
        <v>90</v>
      </c>
      <c r="B6" s="91">
        <v>1776000000</v>
      </c>
      <c r="E6" s="194" t="s">
        <v>94</v>
      </c>
      <c r="F6" s="195"/>
    </row>
    <row r="7" spans="1:13" x14ac:dyDescent="0.3">
      <c r="E7" s="21" t="s">
        <v>95</v>
      </c>
      <c r="F7" s="20">
        <v>300000000</v>
      </c>
    </row>
    <row r="8" spans="1:13" x14ac:dyDescent="0.3">
      <c r="C8" s="9"/>
      <c r="E8" s="21" t="s">
        <v>96</v>
      </c>
      <c r="F8" s="20">
        <v>100000000</v>
      </c>
    </row>
    <row r="9" spans="1:13" ht="16.2" thickBot="1" x14ac:dyDescent="0.35">
      <c r="B9" s="10"/>
      <c r="E9" s="21" t="s">
        <v>97</v>
      </c>
      <c r="F9" s="20">
        <v>70000000</v>
      </c>
    </row>
    <row r="10" spans="1:13" ht="16.8" thickBot="1" x14ac:dyDescent="0.4">
      <c r="A10" s="75" t="s">
        <v>34</v>
      </c>
      <c r="B10" s="76">
        <v>321880</v>
      </c>
      <c r="E10" s="23" t="s">
        <v>98</v>
      </c>
      <c r="F10" s="24">
        <v>98000000</v>
      </c>
    </row>
    <row r="11" spans="1:13" ht="16.2" thickBot="1" x14ac:dyDescent="0.35"/>
    <row r="12" spans="1:13" ht="16.8" thickBot="1" x14ac:dyDescent="0.4">
      <c r="A12" s="182" t="s">
        <v>100</v>
      </c>
      <c r="B12" s="183"/>
      <c r="C12" s="18">
        <f>B5+B4+B6+F4*B10+SUM(F7:F10)</f>
        <v>31655296206</v>
      </c>
      <c r="E12" s="92" t="s">
        <v>99</v>
      </c>
      <c r="F12" s="93">
        <v>0.2</v>
      </c>
    </row>
    <row r="13" spans="1:13" ht="16.2" x14ac:dyDescent="0.35">
      <c r="A13" s="184" t="s">
        <v>17</v>
      </c>
      <c r="B13" s="185"/>
      <c r="C13" s="20">
        <f>F5*F4*(1-F12)</f>
        <v>36192000000</v>
      </c>
    </row>
    <row r="14" spans="1:13" ht="16.8" thickBot="1" x14ac:dyDescent="0.4">
      <c r="A14" s="186" t="s">
        <v>57</v>
      </c>
      <c r="B14" s="187"/>
      <c r="C14" s="24">
        <f>C13-C12</f>
        <v>4536703794</v>
      </c>
    </row>
    <row r="17" spans="1:9" ht="22.8" x14ac:dyDescent="0.4">
      <c r="B17" s="191" t="s">
        <v>113</v>
      </c>
      <c r="C17" s="192"/>
      <c r="D17" s="192"/>
      <c r="E17" s="192"/>
      <c r="F17" s="192"/>
      <c r="G17" s="192"/>
      <c r="H17" s="192"/>
      <c r="I17" s="192"/>
    </row>
    <row r="18" spans="1:9" ht="16.2" thickBot="1" x14ac:dyDescent="0.35"/>
    <row r="19" spans="1:9" x14ac:dyDescent="0.3">
      <c r="B19" s="109" t="s">
        <v>106</v>
      </c>
      <c r="C19" s="99"/>
      <c r="D19" s="104"/>
      <c r="E19" s="104"/>
      <c r="F19" s="104"/>
      <c r="G19" s="104"/>
      <c r="H19" s="104"/>
      <c r="I19" s="110"/>
    </row>
    <row r="20" spans="1:9" x14ac:dyDescent="0.3">
      <c r="B20" s="111"/>
      <c r="C20" s="98"/>
      <c r="D20" s="105" t="s">
        <v>108</v>
      </c>
      <c r="E20" s="105" t="s">
        <v>91</v>
      </c>
      <c r="F20" s="105" t="s">
        <v>102</v>
      </c>
      <c r="G20" s="105" t="s">
        <v>103</v>
      </c>
      <c r="H20" s="105" t="s">
        <v>104</v>
      </c>
      <c r="I20" s="112" t="s">
        <v>105</v>
      </c>
    </row>
    <row r="21" spans="1:9" ht="30.6" x14ac:dyDescent="0.3">
      <c r="B21" s="113"/>
      <c r="C21" s="101"/>
      <c r="D21" s="94"/>
      <c r="E21" s="108" t="s">
        <v>101</v>
      </c>
      <c r="F21" s="108" t="s">
        <v>101</v>
      </c>
      <c r="G21" s="108" t="s">
        <v>101</v>
      </c>
      <c r="H21" s="108" t="s">
        <v>101</v>
      </c>
      <c r="I21" s="114" t="s">
        <v>101</v>
      </c>
    </row>
    <row r="22" spans="1:9" ht="16.8" thickBot="1" x14ac:dyDescent="0.4">
      <c r="A22" s="125"/>
      <c r="B22" s="115" t="s">
        <v>107</v>
      </c>
      <c r="C22" s="102"/>
      <c r="D22" s="100"/>
      <c r="E22" s="100"/>
      <c r="F22" s="100"/>
      <c r="G22" s="100"/>
      <c r="H22" s="100"/>
      <c r="I22" s="116"/>
    </row>
    <row r="23" spans="1:9" ht="16.2" x14ac:dyDescent="0.35">
      <c r="A23" s="125"/>
      <c r="B23" s="113"/>
      <c r="C23" s="89" t="s">
        <v>92</v>
      </c>
      <c r="D23" s="95">
        <v>87000</v>
      </c>
      <c r="E23" s="106">
        <v>87000</v>
      </c>
      <c r="F23" s="106">
        <v>82000</v>
      </c>
      <c r="G23" s="106">
        <v>90000</v>
      </c>
      <c r="H23" s="106">
        <v>84000</v>
      </c>
      <c r="I23" s="117">
        <v>92000</v>
      </c>
    </row>
    <row r="24" spans="1:9" ht="16.8" thickBot="1" x14ac:dyDescent="0.4">
      <c r="A24" s="125"/>
      <c r="B24" s="113"/>
      <c r="C24" s="90" t="s">
        <v>93</v>
      </c>
      <c r="D24" s="95">
        <v>520000</v>
      </c>
      <c r="E24" s="106">
        <v>520000</v>
      </c>
      <c r="F24" s="106">
        <v>528000</v>
      </c>
      <c r="G24" s="106">
        <v>535000</v>
      </c>
      <c r="H24" s="106">
        <v>529000</v>
      </c>
      <c r="I24" s="117">
        <v>530000</v>
      </c>
    </row>
    <row r="25" spans="1:9" x14ac:dyDescent="0.3">
      <c r="B25" s="113"/>
      <c r="C25" s="21" t="s">
        <v>95</v>
      </c>
      <c r="D25" s="95">
        <v>300000000</v>
      </c>
      <c r="E25" s="106">
        <v>300000000</v>
      </c>
      <c r="F25" s="106">
        <v>250000000</v>
      </c>
      <c r="G25" s="106">
        <v>315000000</v>
      </c>
      <c r="H25" s="106">
        <v>275000000</v>
      </c>
      <c r="I25" s="117">
        <v>287000000</v>
      </c>
    </row>
    <row r="26" spans="1:9" x14ac:dyDescent="0.3">
      <c r="B26" s="113"/>
      <c r="C26" s="21" t="s">
        <v>96</v>
      </c>
      <c r="D26" s="95">
        <v>100000000</v>
      </c>
      <c r="E26" s="106">
        <v>100000000</v>
      </c>
      <c r="F26" s="106">
        <v>120000000</v>
      </c>
      <c r="G26" s="106">
        <v>122000000</v>
      </c>
      <c r="H26" s="106">
        <v>115000000</v>
      </c>
      <c r="I26" s="117">
        <v>127000000</v>
      </c>
    </row>
    <row r="27" spans="1:9" x14ac:dyDescent="0.3">
      <c r="B27" s="113"/>
      <c r="C27" s="21" t="s">
        <v>97</v>
      </c>
      <c r="D27" s="95">
        <v>70000000</v>
      </c>
      <c r="E27" s="106">
        <v>70000000</v>
      </c>
      <c r="F27" s="106">
        <v>77000000</v>
      </c>
      <c r="G27" s="106">
        <v>80000000</v>
      </c>
      <c r="H27" s="106">
        <v>72000000</v>
      </c>
      <c r="I27" s="117">
        <v>76000000</v>
      </c>
    </row>
    <row r="28" spans="1:9" ht="16.2" thickBot="1" x14ac:dyDescent="0.35">
      <c r="B28" s="113"/>
      <c r="C28" s="23" t="s">
        <v>98</v>
      </c>
      <c r="D28" s="95">
        <v>98000000</v>
      </c>
      <c r="E28" s="106">
        <v>98000000</v>
      </c>
      <c r="F28" s="106">
        <v>98000000</v>
      </c>
      <c r="G28" s="106">
        <v>95000000</v>
      </c>
      <c r="H28" s="106">
        <v>92000000</v>
      </c>
      <c r="I28" s="117">
        <v>96000000</v>
      </c>
    </row>
    <row r="29" spans="1:9" ht="16.2" thickBot="1" x14ac:dyDescent="0.35">
      <c r="B29" s="113"/>
      <c r="C29" s="92" t="s">
        <v>99</v>
      </c>
      <c r="D29" s="96">
        <v>0.2</v>
      </c>
      <c r="E29" s="107">
        <v>0.2</v>
      </c>
      <c r="F29" s="107">
        <v>0.25</v>
      </c>
      <c r="G29" s="107">
        <v>0.22</v>
      </c>
      <c r="H29" s="107">
        <v>0.18</v>
      </c>
      <c r="I29" s="118">
        <v>0.23</v>
      </c>
    </row>
    <row r="30" spans="1:9" ht="16.2" thickBot="1" x14ac:dyDescent="0.35">
      <c r="B30" s="115" t="s">
        <v>109</v>
      </c>
      <c r="C30" s="102"/>
      <c r="D30" s="100"/>
      <c r="E30" s="100"/>
      <c r="F30" s="100"/>
      <c r="G30" s="100"/>
      <c r="H30" s="100"/>
      <c r="I30" s="116"/>
    </row>
    <row r="31" spans="1:9" ht="16.2" x14ac:dyDescent="0.35">
      <c r="B31" s="113"/>
      <c r="C31" s="122" t="s">
        <v>100</v>
      </c>
      <c r="D31" s="95">
        <v>31655296206</v>
      </c>
      <c r="E31" s="95">
        <v>31655296206</v>
      </c>
      <c r="F31" s="95">
        <v>30022896206</v>
      </c>
      <c r="G31" s="95">
        <v>32664936206</v>
      </c>
      <c r="H31" s="95">
        <v>30675656206</v>
      </c>
      <c r="I31" s="119">
        <v>33282696206</v>
      </c>
    </row>
    <row r="32" spans="1:9" ht="16.2" x14ac:dyDescent="0.35">
      <c r="B32" s="113"/>
      <c r="C32" s="123" t="s">
        <v>17</v>
      </c>
      <c r="D32" s="95">
        <v>36192000000</v>
      </c>
      <c r="E32" s="95">
        <v>36192000000</v>
      </c>
      <c r="F32" s="95">
        <v>32472000000</v>
      </c>
      <c r="G32" s="95">
        <v>37557000000</v>
      </c>
      <c r="H32" s="95">
        <v>36437520000</v>
      </c>
      <c r="I32" s="119">
        <v>37545200000</v>
      </c>
    </row>
    <row r="33" spans="2:9" ht="16.8" thickBot="1" x14ac:dyDescent="0.4">
      <c r="B33" s="120"/>
      <c r="C33" s="124" t="s">
        <v>57</v>
      </c>
      <c r="D33" s="97">
        <v>4536703794</v>
      </c>
      <c r="E33" s="97">
        <v>4536703794</v>
      </c>
      <c r="F33" s="97">
        <v>2449103794</v>
      </c>
      <c r="G33" s="97">
        <v>4892063794</v>
      </c>
      <c r="H33" s="97">
        <v>5761863794</v>
      </c>
      <c r="I33" s="121">
        <v>4262503794</v>
      </c>
    </row>
  </sheetData>
  <scenarios current="0" sqref="C12:C14">
    <scenario name="Đại lý A" locked="1" count="7" user="APC" comment="Created by APC on 3/8/2022">
      <inputCells r="F4" val="87000" numFmtId="3"/>
      <inputCells r="F5" val="520000" numFmtId="3"/>
      <inputCells r="F7" val="300000000" numFmtId="3"/>
      <inputCells r="F8" val="100000000" numFmtId="3"/>
      <inputCells r="F9" val="70000000" numFmtId="3"/>
      <inputCells r="F10" val="98000000" numFmtId="3"/>
      <inputCells r="F12" val="0.2" numFmtId="9"/>
    </scenario>
    <scenario name="Đại lý B" locked="1" count="7" user="APC" comment="Created by APC on 3/8/2022">
      <inputCells r="F4" val="82000" numFmtId="3"/>
      <inputCells r="F5" val="528000" numFmtId="3"/>
      <inputCells r="F7" val="250000000" numFmtId="3"/>
      <inputCells r="F8" val="120000000" numFmtId="3"/>
      <inputCells r="F9" val="77000000" numFmtId="3"/>
      <inputCells r="F10" val="98000000" numFmtId="3"/>
      <inputCells r="F12" val="0.25" numFmtId="9"/>
    </scenario>
    <scenario name="Đại lý C" locked="1" count="7" user="APC" comment="Created by APC on 3/8/2022">
      <inputCells r="F4" val="90000" numFmtId="3"/>
      <inputCells r="F5" val="535000" numFmtId="3"/>
      <inputCells r="F7" val="315000000" numFmtId="3"/>
      <inputCells r="F8" val="122000000" numFmtId="3"/>
      <inputCells r="F9" val="80000000" numFmtId="3"/>
      <inputCells r="F10" val="95000000" numFmtId="3"/>
      <inputCells r="F12" val="0.22" numFmtId="9"/>
    </scenario>
    <scenario name="Đại lý D" locked="1" count="7" user="APC" comment="Created by APC on 3/8/2022">
      <inputCells r="F4" val="84000" numFmtId="3"/>
      <inputCells r="F5" val="529000" numFmtId="3"/>
      <inputCells r="F7" val="275000000" numFmtId="3"/>
      <inputCells r="F8" val="115000000" numFmtId="3"/>
      <inputCells r="F9" val="72000000" numFmtId="3"/>
      <inputCells r="F10" val="92000000" numFmtId="3"/>
      <inputCells r="F12" val="0.18" numFmtId="9"/>
    </scenario>
    <scenario name="Đại lý E" locked="1" count="7" user="APC" comment="Created by APC on 3/8/2022">
      <inputCells r="F4" val="92000" numFmtId="3"/>
      <inputCells r="F5" val="530000" numFmtId="3"/>
      <inputCells r="F7" val="287000000" numFmtId="3"/>
      <inputCells r="F8" val="127000000" numFmtId="3"/>
      <inputCells r="F9" val="76000000" numFmtId="3"/>
      <inputCells r="F10" val="96000000" numFmtId="3"/>
      <inputCells r="F12" val="0.23" numFmtId="9"/>
    </scenario>
  </scenarios>
  <mergeCells count="6">
    <mergeCell ref="B17:I17"/>
    <mergeCell ref="H1:M1"/>
    <mergeCell ref="A12:B12"/>
    <mergeCell ref="A13:B13"/>
    <mergeCell ref="A14:B14"/>
    <mergeCell ref="E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2A49-63D1-4F34-B720-B0EFFD982088}">
  <dimension ref="B2:L44"/>
  <sheetViews>
    <sheetView topLeftCell="A52" workbookViewId="0">
      <selection activeCell="F47" sqref="F47"/>
    </sheetView>
  </sheetViews>
  <sheetFormatPr defaultRowHeight="15.6" x14ac:dyDescent="0.3"/>
  <cols>
    <col min="1" max="1" width="8.88671875" style="1"/>
    <col min="2" max="2" width="26.21875" style="1" bestFit="1" customWidth="1"/>
    <col min="3" max="7" width="20.77734375" style="1" customWidth="1"/>
    <col min="8" max="8" width="9.109375" style="1" customWidth="1"/>
    <col min="9" max="9" width="8.88671875" style="1"/>
    <col min="10" max="10" width="23" style="1" customWidth="1"/>
    <col min="11" max="11" width="15.88671875" style="1" customWidth="1"/>
    <col min="12" max="12" width="15.21875" style="1" customWidth="1"/>
    <col min="13" max="16384" width="8.88671875" style="1"/>
  </cols>
  <sheetData>
    <row r="2" spans="2:12" ht="16.2" thickBot="1" x14ac:dyDescent="0.35"/>
    <row r="3" spans="2:12" ht="16.95" customHeight="1" x14ac:dyDescent="0.3">
      <c r="B3" s="159" t="s">
        <v>137</v>
      </c>
      <c r="C3" s="160" t="s">
        <v>119</v>
      </c>
      <c r="D3" s="160" t="s">
        <v>120</v>
      </c>
      <c r="E3" s="160" t="s">
        <v>121</v>
      </c>
      <c r="F3" s="160" t="s">
        <v>122</v>
      </c>
      <c r="G3" s="160" t="s">
        <v>130</v>
      </c>
      <c r="H3" s="161" t="s">
        <v>134</v>
      </c>
      <c r="J3" s="167" t="s">
        <v>118</v>
      </c>
      <c r="K3" s="160" t="s">
        <v>132</v>
      </c>
      <c r="L3" s="178" t="s">
        <v>145</v>
      </c>
    </row>
    <row r="4" spans="2:12" ht="16.95" customHeight="1" x14ac:dyDescent="0.3">
      <c r="B4" s="49" t="s">
        <v>123</v>
      </c>
      <c r="C4" s="128">
        <v>180</v>
      </c>
      <c r="D4" s="128">
        <v>180</v>
      </c>
      <c r="E4" s="128">
        <v>180</v>
      </c>
      <c r="F4" s="128">
        <v>180</v>
      </c>
      <c r="G4" s="128">
        <v>180</v>
      </c>
      <c r="H4" s="162" t="s">
        <v>135</v>
      </c>
      <c r="J4" s="49" t="s">
        <v>123</v>
      </c>
      <c r="K4" s="11">
        <v>60000</v>
      </c>
      <c r="L4" s="20">
        <f>K4*1000</f>
        <v>60000000</v>
      </c>
    </row>
    <row r="5" spans="2:12" ht="16.95" customHeight="1" x14ac:dyDescent="0.3">
      <c r="B5" s="49" t="s">
        <v>114</v>
      </c>
      <c r="C5" s="128">
        <v>17</v>
      </c>
      <c r="D5" s="128">
        <v>19</v>
      </c>
      <c r="E5" s="128">
        <v>24</v>
      </c>
      <c r="F5" s="128">
        <v>18</v>
      </c>
      <c r="G5" s="128">
        <v>12</v>
      </c>
      <c r="H5" s="162" t="s">
        <v>135</v>
      </c>
      <c r="J5" s="49" t="s">
        <v>114</v>
      </c>
      <c r="K5" s="11">
        <v>10000</v>
      </c>
      <c r="L5" s="20">
        <f t="shared" ref="L5:L12" si="0">K5*1000</f>
        <v>10000000</v>
      </c>
    </row>
    <row r="6" spans="2:12" ht="16.95" customHeight="1" x14ac:dyDescent="0.3">
      <c r="B6" s="49" t="s">
        <v>124</v>
      </c>
      <c r="C6" s="128">
        <v>10</v>
      </c>
      <c r="D6" s="128">
        <v>8</v>
      </c>
      <c r="E6" s="128">
        <v>6</v>
      </c>
      <c r="F6" s="128">
        <v>3</v>
      </c>
      <c r="G6" s="128">
        <v>3</v>
      </c>
      <c r="H6" s="162" t="s">
        <v>135</v>
      </c>
      <c r="J6" s="49" t="s">
        <v>124</v>
      </c>
      <c r="K6" s="11">
        <v>8800</v>
      </c>
      <c r="L6" s="20">
        <f t="shared" si="0"/>
        <v>8800000</v>
      </c>
    </row>
    <row r="7" spans="2:12" ht="16.95" customHeight="1" x14ac:dyDescent="0.3">
      <c r="B7" s="49" t="s">
        <v>125</v>
      </c>
      <c r="C7" s="128">
        <v>4</v>
      </c>
      <c r="D7" s="128">
        <v>5</v>
      </c>
      <c r="E7" s="128"/>
      <c r="F7" s="128">
        <v>3</v>
      </c>
      <c r="G7" s="128">
        <v>3</v>
      </c>
      <c r="H7" s="162" t="s">
        <v>135</v>
      </c>
      <c r="J7" s="49" t="s">
        <v>125</v>
      </c>
      <c r="K7" s="11">
        <v>5500</v>
      </c>
      <c r="L7" s="20">
        <f t="shared" si="0"/>
        <v>5500000</v>
      </c>
    </row>
    <row r="8" spans="2:12" ht="30" customHeight="1" x14ac:dyDescent="0.3">
      <c r="B8" s="49" t="s">
        <v>144</v>
      </c>
      <c r="C8" s="128">
        <v>7</v>
      </c>
      <c r="D8" s="128">
        <v>5</v>
      </c>
      <c r="E8" s="128">
        <v>8</v>
      </c>
      <c r="F8" s="128">
        <v>9</v>
      </c>
      <c r="G8" s="128">
        <v>11</v>
      </c>
      <c r="H8" s="162" t="s">
        <v>135</v>
      </c>
      <c r="J8" s="49" t="s">
        <v>144</v>
      </c>
      <c r="K8" s="11">
        <v>7000</v>
      </c>
      <c r="L8" s="20">
        <f t="shared" si="0"/>
        <v>7000000</v>
      </c>
    </row>
    <row r="9" spans="2:12" ht="30" customHeight="1" x14ac:dyDescent="0.3">
      <c r="B9" s="163" t="s">
        <v>146</v>
      </c>
      <c r="C9" s="128">
        <v>7</v>
      </c>
      <c r="D9" s="128">
        <v>7</v>
      </c>
      <c r="E9" s="128">
        <v>5</v>
      </c>
      <c r="F9" s="128">
        <v>3</v>
      </c>
      <c r="G9" s="128">
        <v>3</v>
      </c>
      <c r="H9" s="162" t="s">
        <v>135</v>
      </c>
      <c r="J9" s="163" t="s">
        <v>146</v>
      </c>
      <c r="K9" s="11">
        <v>6500</v>
      </c>
      <c r="L9" s="20">
        <f t="shared" si="0"/>
        <v>6500000</v>
      </c>
    </row>
    <row r="10" spans="2:12" ht="16.95" customHeight="1" x14ac:dyDescent="0.3">
      <c r="B10" s="49" t="s">
        <v>126</v>
      </c>
      <c r="C10" s="128">
        <v>8</v>
      </c>
      <c r="D10" s="128">
        <v>14</v>
      </c>
      <c r="E10" s="128">
        <v>11</v>
      </c>
      <c r="F10" s="128">
        <v>8</v>
      </c>
      <c r="G10" s="128">
        <v>9</v>
      </c>
      <c r="H10" s="162" t="s">
        <v>135</v>
      </c>
      <c r="J10" s="49" t="s">
        <v>126</v>
      </c>
      <c r="K10" s="11">
        <v>7000</v>
      </c>
      <c r="L10" s="20">
        <f t="shared" si="0"/>
        <v>7000000</v>
      </c>
    </row>
    <row r="11" spans="2:12" ht="16.95" customHeight="1" x14ac:dyDescent="0.3">
      <c r="B11" s="49" t="s">
        <v>127</v>
      </c>
      <c r="C11" s="128">
        <v>9</v>
      </c>
      <c r="D11" s="128">
        <v>9</v>
      </c>
      <c r="E11" s="128">
        <v>4</v>
      </c>
      <c r="F11" s="128">
        <v>6</v>
      </c>
      <c r="G11" s="128">
        <v>7</v>
      </c>
      <c r="H11" s="162" t="s">
        <v>135</v>
      </c>
      <c r="J11" s="49" t="s">
        <v>127</v>
      </c>
      <c r="K11" s="11">
        <v>8000</v>
      </c>
      <c r="L11" s="20">
        <f t="shared" si="0"/>
        <v>8000000</v>
      </c>
    </row>
    <row r="12" spans="2:12" ht="16.95" customHeight="1" thickBot="1" x14ac:dyDescent="0.35">
      <c r="B12" s="49" t="s">
        <v>128</v>
      </c>
      <c r="C12" s="128">
        <v>8</v>
      </c>
      <c r="D12" s="128">
        <v>8</v>
      </c>
      <c r="E12" s="128">
        <v>12</v>
      </c>
      <c r="F12" s="128">
        <v>20</v>
      </c>
      <c r="G12" s="128">
        <v>22</v>
      </c>
      <c r="H12" s="162" t="s">
        <v>135</v>
      </c>
      <c r="J12" s="126" t="s">
        <v>128</v>
      </c>
      <c r="K12" s="165">
        <v>7000</v>
      </c>
      <c r="L12" s="24">
        <f t="shared" si="0"/>
        <v>7000000</v>
      </c>
    </row>
    <row r="13" spans="2:12" ht="16.95" customHeight="1" thickBot="1" x14ac:dyDescent="0.35">
      <c r="B13" s="164" t="s">
        <v>129</v>
      </c>
      <c r="C13" s="165">
        <v>75000</v>
      </c>
      <c r="D13" s="165">
        <v>74000</v>
      </c>
      <c r="E13" s="165">
        <v>76000</v>
      </c>
      <c r="F13" s="165">
        <v>79000</v>
      </c>
      <c r="G13" s="165">
        <v>77000</v>
      </c>
      <c r="H13" s="166" t="s">
        <v>69</v>
      </c>
    </row>
    <row r="15" spans="2:12" ht="16.2" thickBot="1" x14ac:dyDescent="0.35"/>
    <row r="16" spans="2:12" x14ac:dyDescent="0.3">
      <c r="B16" s="159" t="s">
        <v>131</v>
      </c>
      <c r="C16" s="160" t="s">
        <v>119</v>
      </c>
      <c r="D16" s="160" t="s">
        <v>120</v>
      </c>
      <c r="E16" s="160" t="s">
        <v>121</v>
      </c>
      <c r="F16" s="160" t="s">
        <v>122</v>
      </c>
      <c r="G16" s="160" t="s">
        <v>130</v>
      </c>
      <c r="H16" s="161" t="s">
        <v>134</v>
      </c>
    </row>
    <row r="17" spans="2:8" ht="16.95" customHeight="1" x14ac:dyDescent="0.3">
      <c r="B17" s="168" t="s">
        <v>133</v>
      </c>
      <c r="C17" s="130">
        <v>47333.338066666649</v>
      </c>
      <c r="D17" s="130">
        <v>30000.002999999993</v>
      </c>
      <c r="E17" s="130">
        <v>100000.00999999998</v>
      </c>
      <c r="F17" s="130">
        <v>70000.006999999983</v>
      </c>
      <c r="G17" s="130">
        <v>86000.008599999972</v>
      </c>
      <c r="H17" s="162" t="s">
        <v>136</v>
      </c>
    </row>
    <row r="18" spans="2:8" ht="16.95" customHeight="1" x14ac:dyDescent="0.3">
      <c r="B18" s="49" t="s">
        <v>123</v>
      </c>
      <c r="C18" s="11">
        <f>C4*$C$17</f>
        <v>8520000.8519999962</v>
      </c>
      <c r="D18" s="11">
        <f>D4*$D$17</f>
        <v>5400000.5399999991</v>
      </c>
      <c r="E18" s="11">
        <f>E4*$E$17</f>
        <v>18000001.799999997</v>
      </c>
      <c r="F18" s="11">
        <f>F4*$F$17</f>
        <v>12600001.259999998</v>
      </c>
      <c r="G18" s="11">
        <f>G4*$G$17</f>
        <v>15480001.547999995</v>
      </c>
      <c r="H18" s="162" t="s">
        <v>135</v>
      </c>
    </row>
    <row r="19" spans="2:8" ht="16.95" customHeight="1" x14ac:dyDescent="0.3">
      <c r="B19" s="49" t="s">
        <v>114</v>
      </c>
      <c r="C19" s="11">
        <f t="shared" ref="C19:C26" si="1">C5*$C$17</f>
        <v>804666.747133333</v>
      </c>
      <c r="D19" s="11">
        <f t="shared" ref="D19:D27" si="2">D5*$D$17</f>
        <v>570000.05699999991</v>
      </c>
      <c r="E19" s="11">
        <f t="shared" ref="E19:E27" si="3">E5*$E$17</f>
        <v>2400000.2399999993</v>
      </c>
      <c r="F19" s="11">
        <f t="shared" ref="F19:F26" si="4">F5*$F$17</f>
        <v>1260000.1259999997</v>
      </c>
      <c r="G19" s="11">
        <f t="shared" ref="G19:G25" si="5">G5*$G$17</f>
        <v>1032000.1031999997</v>
      </c>
      <c r="H19" s="162" t="s">
        <v>135</v>
      </c>
    </row>
    <row r="20" spans="2:8" ht="16.95" customHeight="1" x14ac:dyDescent="0.3">
      <c r="B20" s="49" t="s">
        <v>124</v>
      </c>
      <c r="C20" s="11">
        <f t="shared" si="1"/>
        <v>473333.38066666649</v>
      </c>
      <c r="D20" s="11">
        <f t="shared" si="2"/>
        <v>240000.02399999995</v>
      </c>
      <c r="E20" s="11">
        <f t="shared" si="3"/>
        <v>600000.05999999982</v>
      </c>
      <c r="F20" s="11">
        <f t="shared" si="4"/>
        <v>210000.02099999995</v>
      </c>
      <c r="G20" s="11">
        <f t="shared" si="5"/>
        <v>258000.02579999992</v>
      </c>
      <c r="H20" s="162" t="s">
        <v>135</v>
      </c>
    </row>
    <row r="21" spans="2:8" ht="16.95" customHeight="1" x14ac:dyDescent="0.3">
      <c r="B21" s="49" t="s">
        <v>125</v>
      </c>
      <c r="C21" s="11">
        <f t="shared" si="1"/>
        <v>189333.3522666666</v>
      </c>
      <c r="D21" s="11">
        <f t="shared" si="2"/>
        <v>150000.01499999996</v>
      </c>
      <c r="E21" s="11">
        <f t="shared" si="3"/>
        <v>0</v>
      </c>
      <c r="F21" s="11">
        <f t="shared" si="4"/>
        <v>210000.02099999995</v>
      </c>
      <c r="G21" s="11">
        <f t="shared" si="5"/>
        <v>258000.02579999992</v>
      </c>
      <c r="H21" s="162" t="s">
        <v>135</v>
      </c>
    </row>
    <row r="22" spans="2:8" ht="30" customHeight="1" x14ac:dyDescent="0.3">
      <c r="B22" s="49" t="s">
        <v>144</v>
      </c>
      <c r="C22" s="11">
        <f t="shared" si="1"/>
        <v>331333.36646666657</v>
      </c>
      <c r="D22" s="11">
        <f t="shared" si="2"/>
        <v>150000.01499999996</v>
      </c>
      <c r="E22" s="11">
        <f t="shared" si="3"/>
        <v>800000.07999999984</v>
      </c>
      <c r="F22" s="11">
        <f t="shared" si="4"/>
        <v>630000.06299999985</v>
      </c>
      <c r="G22" s="11">
        <f t="shared" si="5"/>
        <v>946000.09459999972</v>
      </c>
      <c r="H22" s="162" t="s">
        <v>135</v>
      </c>
    </row>
    <row r="23" spans="2:8" ht="30" customHeight="1" x14ac:dyDescent="0.3">
      <c r="B23" s="163" t="s">
        <v>146</v>
      </c>
      <c r="C23" s="11">
        <f t="shared" si="1"/>
        <v>331333.36646666657</v>
      </c>
      <c r="D23" s="11">
        <f t="shared" si="2"/>
        <v>210000.02099999995</v>
      </c>
      <c r="E23" s="11">
        <f t="shared" si="3"/>
        <v>500000.04999999993</v>
      </c>
      <c r="F23" s="11">
        <f t="shared" si="4"/>
        <v>210000.02099999995</v>
      </c>
      <c r="G23" s="11">
        <f>G9*$G$17</f>
        <v>258000.02579999992</v>
      </c>
      <c r="H23" s="162" t="s">
        <v>135</v>
      </c>
    </row>
    <row r="24" spans="2:8" ht="16.95" customHeight="1" x14ac:dyDescent="0.3">
      <c r="B24" s="49" t="s">
        <v>126</v>
      </c>
      <c r="C24" s="11">
        <f>C10*$C$17</f>
        <v>378666.70453333319</v>
      </c>
      <c r="D24" s="11">
        <f t="shared" si="2"/>
        <v>420000.0419999999</v>
      </c>
      <c r="E24" s="11">
        <f t="shared" si="3"/>
        <v>1100000.1099999999</v>
      </c>
      <c r="F24" s="11">
        <f>F10*$F$17</f>
        <v>560000.05599999987</v>
      </c>
      <c r="G24" s="11">
        <f t="shared" si="5"/>
        <v>774000.07739999972</v>
      </c>
      <c r="H24" s="162" t="s">
        <v>135</v>
      </c>
    </row>
    <row r="25" spans="2:8" ht="16.95" customHeight="1" x14ac:dyDescent="0.3">
      <c r="B25" s="49" t="s">
        <v>127</v>
      </c>
      <c r="C25" s="11">
        <f t="shared" si="1"/>
        <v>426000.04259999981</v>
      </c>
      <c r="D25" s="11">
        <f t="shared" si="2"/>
        <v>270000.02699999994</v>
      </c>
      <c r="E25" s="11">
        <f>E11*$E$17</f>
        <v>400000.03999999992</v>
      </c>
      <c r="F25" s="11">
        <f t="shared" si="4"/>
        <v>420000.0419999999</v>
      </c>
      <c r="G25" s="11">
        <f t="shared" si="5"/>
        <v>602000.06019999983</v>
      </c>
      <c r="H25" s="162" t="s">
        <v>135</v>
      </c>
    </row>
    <row r="26" spans="2:8" ht="16.95" customHeight="1" x14ac:dyDescent="0.3">
      <c r="B26" s="49" t="s">
        <v>128</v>
      </c>
      <c r="C26" s="11">
        <f t="shared" si="1"/>
        <v>378666.70453333319</v>
      </c>
      <c r="D26" s="11">
        <f t="shared" si="2"/>
        <v>240000.02399999995</v>
      </c>
      <c r="E26" s="11">
        <f t="shared" si="3"/>
        <v>1200000.1199999996</v>
      </c>
      <c r="F26" s="11">
        <f t="shared" si="4"/>
        <v>1400000.1399999997</v>
      </c>
      <c r="G26" s="11">
        <f>G12*$G$17</f>
        <v>1892000.1891999994</v>
      </c>
      <c r="H26" s="162" t="s">
        <v>135</v>
      </c>
    </row>
    <row r="27" spans="2:8" ht="16.95" customHeight="1" thickBot="1" x14ac:dyDescent="0.35">
      <c r="B27" s="174" t="s">
        <v>17</v>
      </c>
      <c r="C27" s="165">
        <f>C13*$C$17</f>
        <v>3550000354.9999986</v>
      </c>
      <c r="D27" s="165">
        <f t="shared" si="2"/>
        <v>2220000221.9999995</v>
      </c>
      <c r="E27" s="165">
        <f t="shared" si="3"/>
        <v>7600000759.9999981</v>
      </c>
      <c r="F27" s="165">
        <f>F13*$F$17</f>
        <v>5530000552.999999</v>
      </c>
      <c r="G27" s="165">
        <f>G13*$G$17</f>
        <v>6622000662.1999979</v>
      </c>
      <c r="H27" s="169" t="s">
        <v>69</v>
      </c>
    </row>
    <row r="28" spans="2:8" ht="16.2" thickBot="1" x14ac:dyDescent="0.35"/>
    <row r="29" spans="2:8" ht="16.2" thickBot="1" x14ac:dyDescent="0.35">
      <c r="C29" s="175" t="s">
        <v>115</v>
      </c>
      <c r="D29" s="176" t="s">
        <v>138</v>
      </c>
      <c r="E29" s="176" t="s">
        <v>116</v>
      </c>
      <c r="F29" s="177" t="s">
        <v>117</v>
      </c>
      <c r="G29" s="129"/>
    </row>
    <row r="30" spans="2:8" ht="16.95" customHeight="1" x14ac:dyDescent="0.3">
      <c r="B30" s="170" t="s">
        <v>119</v>
      </c>
      <c r="C30" s="171">
        <f>C17</f>
        <v>47333.338066666649</v>
      </c>
      <c r="D30" s="171">
        <f>C30/10</f>
        <v>4733.3338066666647</v>
      </c>
      <c r="E30" s="171">
        <v>2200</v>
      </c>
      <c r="F30" s="18">
        <v>6000</v>
      </c>
    </row>
    <row r="31" spans="2:8" ht="16.95" customHeight="1" x14ac:dyDescent="0.3">
      <c r="B31" s="172" t="s">
        <v>120</v>
      </c>
      <c r="C31" s="4">
        <f>D17</f>
        <v>30000.002999999993</v>
      </c>
      <c r="D31" s="4">
        <f t="shared" ref="D31:D34" si="6">C31/10</f>
        <v>3000.0002999999992</v>
      </c>
      <c r="E31" s="4">
        <v>3000</v>
      </c>
      <c r="F31" s="20">
        <v>5000</v>
      </c>
    </row>
    <row r="32" spans="2:8" ht="16.95" customHeight="1" x14ac:dyDescent="0.3">
      <c r="B32" s="172" t="s">
        <v>121</v>
      </c>
      <c r="C32" s="4">
        <f>E17</f>
        <v>100000.00999999998</v>
      </c>
      <c r="D32" s="4">
        <f t="shared" si="6"/>
        <v>10000.000999999998</v>
      </c>
      <c r="E32" s="4">
        <v>4000</v>
      </c>
      <c r="F32" s="20">
        <v>10000</v>
      </c>
    </row>
    <row r="33" spans="2:6" ht="16.95" customHeight="1" x14ac:dyDescent="0.3">
      <c r="B33" s="172" t="s">
        <v>122</v>
      </c>
      <c r="C33" s="4">
        <f>F17</f>
        <v>70000.006999999983</v>
      </c>
      <c r="D33" s="4">
        <f t="shared" si="6"/>
        <v>7000.0006999999987</v>
      </c>
      <c r="E33" s="4">
        <v>3000</v>
      </c>
      <c r="F33" s="20">
        <v>7000</v>
      </c>
    </row>
    <row r="34" spans="2:6" ht="16.95" customHeight="1" x14ac:dyDescent="0.3">
      <c r="B34" s="172" t="s">
        <v>130</v>
      </c>
      <c r="C34" s="4">
        <f>G17</f>
        <v>86000.008599999972</v>
      </c>
      <c r="D34" s="4">
        <f t="shared" si="6"/>
        <v>8600.0008599999965</v>
      </c>
      <c r="E34" s="4">
        <v>2600</v>
      </c>
      <c r="F34" s="20">
        <v>8600</v>
      </c>
    </row>
    <row r="35" spans="2:6" ht="16.95" customHeight="1" x14ac:dyDescent="0.3">
      <c r="B35" s="49" t="s">
        <v>123</v>
      </c>
      <c r="C35" s="4">
        <f t="shared" ref="C35:C44" si="7">SUM(C18:G18)</f>
        <v>60000005.999999985</v>
      </c>
      <c r="D35" s="4"/>
      <c r="E35" s="4"/>
      <c r="F35" s="20">
        <f>L4</f>
        <v>60000000</v>
      </c>
    </row>
    <row r="36" spans="2:6" ht="16.95" customHeight="1" x14ac:dyDescent="0.3">
      <c r="B36" s="49" t="s">
        <v>114</v>
      </c>
      <c r="C36" s="4">
        <f t="shared" si="7"/>
        <v>6066667.2733333316</v>
      </c>
      <c r="D36" s="4"/>
      <c r="E36" s="4"/>
      <c r="F36" s="20">
        <f t="shared" ref="F36:F43" si="8">L5</f>
        <v>10000000</v>
      </c>
    </row>
    <row r="37" spans="2:6" ht="16.95" customHeight="1" x14ac:dyDescent="0.3">
      <c r="B37" s="49" t="s">
        <v>124</v>
      </c>
      <c r="C37" s="4">
        <f t="shared" si="7"/>
        <v>1781333.5114666661</v>
      </c>
      <c r="D37" s="4"/>
      <c r="E37" s="4"/>
      <c r="F37" s="20">
        <f t="shared" si="8"/>
        <v>8800000</v>
      </c>
    </row>
    <row r="38" spans="2:6" ht="16.95" customHeight="1" x14ac:dyDescent="0.3">
      <c r="B38" s="49" t="s">
        <v>125</v>
      </c>
      <c r="C38" s="4">
        <f t="shared" si="7"/>
        <v>807333.4140666665</v>
      </c>
      <c r="D38" s="4"/>
      <c r="E38" s="4"/>
      <c r="F38" s="20">
        <f t="shared" si="8"/>
        <v>5500000</v>
      </c>
    </row>
    <row r="39" spans="2:6" ht="30" customHeight="1" x14ac:dyDescent="0.3">
      <c r="B39" s="49" t="s">
        <v>144</v>
      </c>
      <c r="C39" s="4">
        <f t="shared" si="7"/>
        <v>2857333.6190666659</v>
      </c>
      <c r="D39" s="4"/>
      <c r="E39" s="4"/>
      <c r="F39" s="20">
        <f t="shared" si="8"/>
        <v>7000000</v>
      </c>
    </row>
    <row r="40" spans="2:6" ht="30" customHeight="1" x14ac:dyDescent="0.3">
      <c r="B40" s="163" t="s">
        <v>146</v>
      </c>
      <c r="C40" s="4">
        <f t="shared" si="7"/>
        <v>1509333.4842666662</v>
      </c>
      <c r="D40" s="4"/>
      <c r="E40" s="4"/>
      <c r="F40" s="20">
        <f t="shared" si="8"/>
        <v>6500000</v>
      </c>
    </row>
    <row r="41" spans="2:6" ht="16.95" customHeight="1" x14ac:dyDescent="0.3">
      <c r="B41" s="49" t="s">
        <v>126</v>
      </c>
      <c r="C41" s="4">
        <f t="shared" si="7"/>
        <v>3232666.9899333324</v>
      </c>
      <c r="D41" s="4"/>
      <c r="E41" s="4"/>
      <c r="F41" s="20">
        <f t="shared" si="8"/>
        <v>7000000</v>
      </c>
    </row>
    <row r="42" spans="2:6" ht="16.95" customHeight="1" x14ac:dyDescent="0.3">
      <c r="B42" s="49" t="s">
        <v>127</v>
      </c>
      <c r="C42" s="4">
        <f t="shared" si="7"/>
        <v>2118000.2117999992</v>
      </c>
      <c r="D42" s="4"/>
      <c r="E42" s="4"/>
      <c r="F42" s="20">
        <f t="shared" si="8"/>
        <v>8000000</v>
      </c>
    </row>
    <row r="43" spans="2:6" ht="16.95" customHeight="1" thickBot="1" x14ac:dyDescent="0.35">
      <c r="B43" s="126" t="s">
        <v>128</v>
      </c>
      <c r="C43" s="47">
        <f t="shared" si="7"/>
        <v>5110667.1777333319</v>
      </c>
      <c r="D43" s="47"/>
      <c r="E43" s="47"/>
      <c r="F43" s="24">
        <f t="shared" si="8"/>
        <v>7000000</v>
      </c>
    </row>
    <row r="44" spans="2:6" ht="16.8" thickBot="1" x14ac:dyDescent="0.4">
      <c r="B44" s="149" t="s">
        <v>17</v>
      </c>
      <c r="C44" s="173">
        <f t="shared" si="7"/>
        <v>25522002552.199993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Bài 1 - Vấn đề 1</vt:lpstr>
      <vt:lpstr>Bài 1 - Vấn đề 2</vt:lpstr>
      <vt:lpstr>Bài 1 - Vấn đề 3</vt:lpstr>
      <vt:lpstr>Scenario Summary</vt:lpstr>
      <vt:lpstr>Bài 1 - Vấn đề 4</vt:lpstr>
      <vt:lpstr>Bài 2 - 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Thành Nguyễn</cp:lastModifiedBy>
  <dcterms:created xsi:type="dcterms:W3CDTF">2022-02-11T15:20:00Z</dcterms:created>
  <dcterms:modified xsi:type="dcterms:W3CDTF">2022-03-12T14:54:29Z</dcterms:modified>
</cp:coreProperties>
</file>