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rtBOX\rtST 2018 Gambia\Forms\Test\F1_Health_Facility\"/>
    </mc:Choice>
  </mc:AlternateContent>
  <bookViews>
    <workbookView xWindow="0" yWindow="0" windowWidth="19200" windowHeight="6720" activeTab="2"/>
  </bookViews>
  <sheets>
    <sheet name="survey" sheetId="1" r:id="rId1"/>
    <sheet name="choices" sheetId="2" r:id="rId2"/>
    <sheet name="settings" sheetId="3" r:id="rId3"/>
    <sheet name="f1_health_facility" sheetId="6" r:id="rId4"/>
    <sheet name="f1_health_facility_staff" sheetId="7" r:id="rId5"/>
    <sheet name="itemsets" sheetId="5" r:id="rId6"/>
  </sheets>
  <definedNames>
    <definedName name="_xlnm._FilterDatabase" localSheetId="3" hidden="1">f1_health_facility!$A$1:$Q$133</definedName>
    <definedName name="_xlnm._FilterDatabase" localSheetId="4" hidden="1">f1_health_facility_staff!$A$1:$L$430</definedName>
    <definedName name="_xlnm._FilterDatabase" localSheetId="0" hidden="1">survey!$A$954:$J$2136</definedName>
    <definedName name="CODE_Settlements_FH_Full" localSheetId="3">f1_health_facility!$A$1:$Q$133</definedName>
    <definedName name="Staff_List_All_Facilities_Aug03_F1" localSheetId="4">f1_health_facility_staff!$A$1:$L$430</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N121" i="1" l="1"/>
  <c r="L2529" i="1" l="1"/>
  <c r="L2528" i="1"/>
  <c r="L2527" i="1"/>
  <c r="L2524" i="1"/>
  <c r="L2523" i="1"/>
  <c r="L2522" i="1"/>
  <c r="L2516" i="1"/>
  <c r="L2403" i="1"/>
  <c r="L2352" i="1"/>
  <c r="L2349" i="1"/>
  <c r="L2345" i="1"/>
  <c r="L2344" i="1"/>
  <c r="L2341" i="1"/>
  <c r="L2337" i="1"/>
  <c r="L2336" i="1"/>
  <c r="L2333" i="1"/>
  <c r="L2329" i="1"/>
  <c r="L2328" i="1"/>
  <c r="L2325" i="1"/>
  <c r="L2317" i="1"/>
  <c r="L2316" i="1"/>
  <c r="L2313" i="1"/>
  <c r="L2309" i="1"/>
  <c r="L2308" i="1"/>
  <c r="L2300" i="1"/>
  <c r="L2292" i="1"/>
  <c r="L2289" i="1"/>
  <c r="L2282" i="1"/>
  <c r="L2281" i="1"/>
  <c r="L2278" i="1"/>
  <c r="L2273" i="1"/>
  <c r="L2274" i="1"/>
  <c r="L2270" i="1"/>
  <c r="L2263" i="1"/>
  <c r="L2262" i="1"/>
  <c r="L2259" i="1"/>
  <c r="L2255" i="1"/>
  <c r="L2254" i="1"/>
  <c r="L2251" i="1"/>
  <c r="L2246" i="1"/>
  <c r="L2247" i="1"/>
  <c r="L2243" i="1"/>
  <c r="L2239" i="1"/>
  <c r="L2238" i="1"/>
  <c r="L2235" i="1"/>
  <c r="L2230" i="1"/>
  <c r="L2231" i="1"/>
  <c r="L2227" i="1"/>
  <c r="L2223" i="1"/>
  <c r="L2222" i="1"/>
  <c r="L2219" i="1"/>
  <c r="L2211" i="1"/>
  <c r="L2212" i="1"/>
  <c r="L2208" i="1"/>
  <c r="L2204" i="1"/>
  <c r="L2203" i="1"/>
  <c r="L2200" i="1"/>
  <c r="L2196" i="1"/>
  <c r="L2195" i="1"/>
  <c r="L2192" i="1"/>
  <c r="L2188" i="1"/>
  <c r="L2187" i="1"/>
  <c r="L2184" i="1"/>
  <c r="L2180" i="1"/>
  <c r="L2179" i="1"/>
  <c r="L2176" i="1"/>
  <c r="L2171" i="1"/>
  <c r="L2172" i="1"/>
  <c r="L2168" i="1"/>
  <c r="L2164" i="1"/>
  <c r="L2163" i="1"/>
  <c r="L2160" i="1"/>
  <c r="L2155" i="1"/>
  <c r="L2156" i="1"/>
  <c r="L2152" i="1"/>
  <c r="L2148" i="1"/>
  <c r="L2147" i="1"/>
  <c r="L2139" i="1"/>
  <c r="L2144" i="1"/>
  <c r="L2140" i="1"/>
  <c r="L2136" i="1"/>
  <c r="L2115" i="1"/>
  <c r="L1987" i="1"/>
  <c r="L1905" i="1"/>
  <c r="L1832" i="1"/>
  <c r="L1811" i="1"/>
  <c r="L1801" i="1"/>
  <c r="L962" i="1"/>
  <c r="L883" i="1"/>
  <c r="L870" i="1"/>
  <c r="L863" i="1"/>
  <c r="L773" i="1"/>
  <c r="L639" i="1"/>
  <c r="L2020" i="1" l="1"/>
  <c r="L2009" i="1"/>
  <c r="L1996" i="1"/>
  <c r="L651" i="1"/>
  <c r="L625" i="1"/>
  <c r="L616" i="1"/>
  <c r="L340" i="1"/>
  <c r="L317" i="1"/>
  <c r="L291" i="1"/>
  <c r="L123" i="1"/>
  <c r="N114" i="1"/>
  <c r="H123" i="1"/>
  <c r="H115" i="1"/>
  <c r="H116" i="1"/>
  <c r="H117" i="1"/>
  <c r="H118" i="1"/>
  <c r="H119" i="1"/>
  <c r="H120" i="1"/>
  <c r="H121" i="1"/>
  <c r="H114" i="1"/>
  <c r="L110" i="1"/>
  <c r="L108" i="1"/>
  <c r="L106" i="1"/>
  <c r="L107" i="1"/>
  <c r="L109" i="1"/>
  <c r="L105" i="1"/>
  <c r="L114" i="1"/>
  <c r="L95" i="1"/>
  <c r="L96" i="1"/>
  <c r="L97" i="1"/>
  <c r="L98" i="1"/>
  <c r="L99" i="1"/>
  <c r="L100" i="1"/>
  <c r="L101" i="1"/>
  <c r="L94" i="1"/>
  <c r="L63" i="1"/>
  <c r="L61" i="1"/>
  <c r="L60" i="1"/>
  <c r="L59" i="1"/>
  <c r="L58" i="1"/>
  <c r="L57" i="1"/>
  <c r="L56" i="1"/>
  <c r="L54" i="1"/>
  <c r="L51" i="1"/>
  <c r="L50" i="1"/>
  <c r="L48" i="1"/>
  <c r="L44" i="1"/>
  <c r="L43" i="1"/>
  <c r="L41" i="1"/>
  <c r="L40" i="1"/>
  <c r="L38" i="1"/>
  <c r="L37" i="1"/>
  <c r="L36" i="1"/>
  <c r="L34" i="1"/>
  <c r="H596" i="1" l="1"/>
  <c r="H597" i="1"/>
  <c r="H589" i="1"/>
  <c r="H588" i="1"/>
  <c r="H584" i="1"/>
  <c r="H583" i="1"/>
  <c r="H328" i="1"/>
  <c r="H329" i="1"/>
  <c r="H330" i="1"/>
  <c r="H331" i="1"/>
  <c r="H332" i="1"/>
  <c r="H333" i="1"/>
  <c r="H334" i="1"/>
  <c r="H335" i="1"/>
  <c r="H336" i="1"/>
  <c r="H337" i="1"/>
  <c r="H338" i="1"/>
  <c r="H339" i="1"/>
  <c r="H340" i="1"/>
  <c r="H327" i="1"/>
  <c r="H265" i="1"/>
  <c r="H264" i="1"/>
  <c r="H256" i="1"/>
  <c r="H257" i="1"/>
  <c r="H258" i="1"/>
  <c r="H260" i="1"/>
  <c r="H261" i="1"/>
  <c r="H262" i="1"/>
  <c r="H255" i="1"/>
  <c r="H735" i="1"/>
  <c r="H736" i="1"/>
  <c r="H737" i="1"/>
  <c r="H738" i="1"/>
  <c r="H739" i="1"/>
  <c r="H740" i="1"/>
  <c r="H741" i="1"/>
  <c r="H742" i="1"/>
  <c r="H743" i="1"/>
  <c r="H744" i="1"/>
  <c r="H745" i="1"/>
  <c r="H746" i="1"/>
  <c r="H747" i="1"/>
  <c r="H748" i="1"/>
  <c r="H749" i="1"/>
  <c r="H734" i="1"/>
  <c r="H607" i="1"/>
  <c r="H608" i="1"/>
  <c r="H609" i="1"/>
  <c r="H610" i="1"/>
  <c r="H611" i="1"/>
  <c r="H612" i="1"/>
  <c r="H613" i="1"/>
  <c r="H614" i="1"/>
  <c r="H615" i="1"/>
  <c r="H616" i="1"/>
  <c r="H606" i="1"/>
  <c r="H272" i="1"/>
  <c r="H273" i="1"/>
  <c r="H274" i="1"/>
  <c r="H275" i="1"/>
  <c r="H276" i="1"/>
  <c r="H277" i="1"/>
  <c r="H278" i="1"/>
  <c r="H279" i="1"/>
  <c r="H280" i="1"/>
  <c r="H281" i="1"/>
  <c r="H282" i="1"/>
  <c r="H283" i="1"/>
  <c r="H284" i="1"/>
  <c r="H285" i="1"/>
  <c r="H286" i="1"/>
  <c r="H287" i="1"/>
  <c r="H288" i="1"/>
  <c r="H289" i="1"/>
  <c r="H290" i="1"/>
  <c r="H291" i="1"/>
  <c r="H271" i="1"/>
  <c r="I326" i="2"/>
  <c r="I327" i="2"/>
  <c r="I328" i="2"/>
  <c r="I329" i="2"/>
  <c r="I330" i="2"/>
  <c r="I331" i="2"/>
  <c r="I332" i="2"/>
  <c r="I333" i="2"/>
  <c r="I325" i="2"/>
  <c r="I587" i="2"/>
  <c r="I588" i="2"/>
  <c r="I589" i="2"/>
  <c r="I590" i="2"/>
  <c r="I591" i="2"/>
  <c r="I3" i="2"/>
  <c r="I4" i="2"/>
  <c r="I6" i="2"/>
  <c r="I7" i="2"/>
  <c r="I9" i="2"/>
  <c r="I11" i="2"/>
  <c r="I13" i="2"/>
  <c r="I15" i="2"/>
  <c r="I16" i="2"/>
  <c r="I19" i="2"/>
  <c r="I20" i="2"/>
  <c r="I22" i="2"/>
  <c r="I23" i="2"/>
  <c r="I24" i="2"/>
  <c r="I26" i="2"/>
  <c r="I28" i="2"/>
  <c r="I29" i="2"/>
  <c r="I30" i="2"/>
  <c r="I32" i="2"/>
  <c r="I33" i="2"/>
  <c r="I34" i="2"/>
  <c r="I35" i="2"/>
  <c r="I36" i="2"/>
  <c r="I37" i="2"/>
  <c r="I38" i="2"/>
  <c r="I39" i="2"/>
  <c r="I40" i="2"/>
  <c r="I41" i="2"/>
  <c r="I42" i="2"/>
  <c r="I43" i="2"/>
  <c r="I44" i="2"/>
  <c r="I45" i="2"/>
  <c r="I46" i="2"/>
  <c r="I48" i="2"/>
  <c r="I49" i="2"/>
  <c r="I50" i="2"/>
  <c r="I52" i="2"/>
  <c r="I53" i="2"/>
  <c r="I54" i="2"/>
  <c r="I55" i="2"/>
  <c r="I56" i="2"/>
  <c r="I57" i="2"/>
  <c r="I58" i="2"/>
  <c r="I60" i="2"/>
  <c r="I61" i="2"/>
  <c r="I62" i="2"/>
  <c r="I63" i="2"/>
  <c r="I64" i="2"/>
  <c r="I65" i="2"/>
  <c r="I66" i="2"/>
  <c r="I67" i="2"/>
  <c r="I69" i="2"/>
  <c r="I70" i="2"/>
  <c r="I71"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7" i="2"/>
  <c r="I168" i="2"/>
  <c r="I169"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2" i="2"/>
  <c r="H2524" i="1"/>
  <c r="H2516" i="1"/>
  <c r="H2510" i="1"/>
  <c r="H2511" i="1"/>
  <c r="H2512" i="1"/>
  <c r="H2513" i="1"/>
  <c r="H2514" i="1"/>
  <c r="H2515" i="1"/>
  <c r="H2509" i="1"/>
  <c r="I2474"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17" i="1"/>
  <c r="H2522" i="1"/>
  <c r="H2523" i="1"/>
  <c r="H2525" i="1"/>
  <c r="H2526" i="1"/>
  <c r="H2527" i="1"/>
  <c r="H2528" i="1"/>
  <c r="H2529" i="1"/>
  <c r="H2530" i="1"/>
  <c r="H2531" i="1"/>
  <c r="I2447" i="1"/>
  <c r="H2404" i="1"/>
  <c r="H2405" i="1"/>
  <c r="H2406" i="1"/>
  <c r="H2407" i="1"/>
  <c r="H2408" i="1"/>
  <c r="H2409" i="1"/>
  <c r="H2410" i="1"/>
  <c r="H2411" i="1"/>
  <c r="H2412" i="1"/>
  <c r="H2413" i="1"/>
  <c r="H2414" i="1"/>
  <c r="H2415" i="1"/>
  <c r="H2416" i="1"/>
  <c r="H2417" i="1"/>
  <c r="H2418" i="1"/>
  <c r="H2419" i="1"/>
  <c r="H2420" i="1"/>
  <c r="H2392" i="1"/>
  <c r="H2393" i="1"/>
  <c r="H2394" i="1"/>
  <c r="H2395" i="1"/>
  <c r="H2396" i="1"/>
  <c r="H2397" i="1"/>
  <c r="H2398" i="1"/>
  <c r="H2399" i="1"/>
  <c r="H2400" i="1"/>
  <c r="H2401" i="1"/>
  <c r="H2402" i="1"/>
  <c r="H2403" i="1"/>
  <c r="H2377" i="1"/>
  <c r="H2378" i="1"/>
  <c r="H2379" i="1"/>
  <c r="H2380" i="1"/>
  <c r="H2381" i="1"/>
  <c r="H2382" i="1"/>
  <c r="H2383" i="1"/>
  <c r="H2384" i="1"/>
  <c r="H2385" i="1"/>
  <c r="H2386" i="1"/>
  <c r="H2387" i="1"/>
  <c r="H2388" i="1"/>
  <c r="H2389" i="1"/>
  <c r="H2390" i="1"/>
  <c r="H2391" i="1"/>
  <c r="H2365" i="1"/>
  <c r="H2366" i="1"/>
  <c r="H2367" i="1"/>
  <c r="H2368" i="1"/>
  <c r="H2369" i="1"/>
  <c r="H2370" i="1"/>
  <c r="H2371" i="1"/>
  <c r="H2372" i="1"/>
  <c r="H2373" i="1"/>
  <c r="H2374" i="1"/>
  <c r="H2375" i="1"/>
  <c r="H2376" i="1"/>
  <c r="H2358" i="1"/>
  <c r="H2359" i="1"/>
  <c r="H2360" i="1"/>
  <c r="H2361" i="1"/>
  <c r="H2362" i="1"/>
  <c r="H2363" i="1"/>
  <c r="H2364" i="1"/>
  <c r="H2346" i="1"/>
  <c r="H2347" i="1"/>
  <c r="H2348" i="1"/>
  <c r="H2349" i="1"/>
  <c r="H2350" i="1"/>
  <c r="H2351" i="1"/>
  <c r="H2352" i="1"/>
  <c r="H2353" i="1"/>
  <c r="H2354" i="1"/>
  <c r="H2355" i="1"/>
  <c r="H2356" i="1"/>
  <c r="H2357"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I2336"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265" i="1"/>
  <c r="H2266" i="1"/>
  <c r="H2267" i="1"/>
  <c r="H2268" i="1"/>
  <c r="H2269" i="1"/>
  <c r="H2270" i="1"/>
  <c r="H2271" i="1"/>
  <c r="H2272" i="1"/>
  <c r="H2273" i="1"/>
  <c r="H2274" i="1"/>
  <c r="H2251" i="1"/>
  <c r="H2252" i="1"/>
  <c r="H2253" i="1"/>
  <c r="H2254" i="1"/>
  <c r="H2255" i="1"/>
  <c r="H2256" i="1"/>
  <c r="H2257" i="1"/>
  <c r="H2258" i="1"/>
  <c r="H2259" i="1"/>
  <c r="H2260" i="1"/>
  <c r="H2261" i="1"/>
  <c r="H2262" i="1"/>
  <c r="H2263" i="1"/>
  <c r="H2264" i="1"/>
  <c r="I2246" i="1"/>
  <c r="H2232" i="1"/>
  <c r="H2233" i="1"/>
  <c r="H2234" i="1"/>
  <c r="H2235" i="1"/>
  <c r="H2236" i="1"/>
  <c r="H2237" i="1"/>
  <c r="H2238" i="1"/>
  <c r="H2239" i="1"/>
  <c r="H2240" i="1"/>
  <c r="H2241" i="1"/>
  <c r="H2242" i="1"/>
  <c r="H2243" i="1"/>
  <c r="H2244" i="1"/>
  <c r="H2245" i="1"/>
  <c r="H2246" i="1"/>
  <c r="H2247" i="1"/>
  <c r="H2248" i="1"/>
  <c r="H2249" i="1"/>
  <c r="H2250" i="1"/>
  <c r="H2220" i="1"/>
  <c r="H2221" i="1"/>
  <c r="H2222" i="1"/>
  <c r="H2223" i="1"/>
  <c r="H2224" i="1"/>
  <c r="H2225" i="1"/>
  <c r="H2226" i="1"/>
  <c r="H2227" i="1"/>
  <c r="H2228" i="1"/>
  <c r="H2229" i="1"/>
  <c r="H2230" i="1"/>
  <c r="H2231"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164" i="1"/>
  <c r="H2165" i="1"/>
  <c r="H2166" i="1"/>
  <c r="H2167" i="1"/>
  <c r="H2168" i="1"/>
  <c r="H2169" i="1"/>
  <c r="H2170" i="1"/>
  <c r="H2171" i="1"/>
  <c r="H2172" i="1"/>
  <c r="H2173" i="1"/>
  <c r="H2174" i="1"/>
  <c r="H2175" i="1"/>
  <c r="H2176" i="1"/>
  <c r="H2153" i="1"/>
  <c r="H2154" i="1"/>
  <c r="H2155" i="1"/>
  <c r="H2156" i="1"/>
  <c r="H2157" i="1"/>
  <c r="H2158" i="1"/>
  <c r="H2159" i="1"/>
  <c r="H2160" i="1"/>
  <c r="H2161" i="1"/>
  <c r="H2162" i="1"/>
  <c r="H2163" i="1"/>
  <c r="H2140" i="1"/>
  <c r="H2141" i="1"/>
  <c r="H2142" i="1"/>
  <c r="H2143" i="1"/>
  <c r="H2144" i="1"/>
  <c r="H2145" i="1"/>
  <c r="H2146" i="1"/>
  <c r="H2147" i="1"/>
  <c r="H2148" i="1"/>
  <c r="H2149" i="1"/>
  <c r="H2150" i="1"/>
  <c r="H2151" i="1"/>
  <c r="H2152" i="1"/>
  <c r="H2139" i="1"/>
  <c r="H2136" i="1"/>
  <c r="H2125" i="1"/>
  <c r="H2126" i="1"/>
  <c r="H2127" i="1"/>
  <c r="H2128" i="1"/>
  <c r="H2129" i="1"/>
  <c r="H2119" i="1"/>
  <c r="H2120" i="1"/>
  <c r="H2121" i="1"/>
  <c r="H2122" i="1"/>
  <c r="H2118" i="1"/>
  <c r="H2106" i="1"/>
  <c r="H2107" i="1"/>
  <c r="H2108" i="1"/>
  <c r="H2109" i="1"/>
  <c r="H2110" i="1"/>
  <c r="H2111" i="1"/>
  <c r="H2112" i="1"/>
  <c r="H2113" i="1"/>
  <c r="H2114" i="1"/>
  <c r="H2115" i="1"/>
  <c r="H2105" i="1"/>
  <c r="H2026" i="1"/>
  <c r="H2027" i="1"/>
  <c r="H2030" i="1"/>
  <c r="H2031" i="1"/>
  <c r="H2032" i="1"/>
  <c r="H2033" i="1"/>
  <c r="H2034" i="1"/>
  <c r="H2035" i="1"/>
  <c r="H2036" i="1"/>
  <c r="H2037" i="1"/>
  <c r="H2039" i="1"/>
  <c r="H2040" i="1"/>
  <c r="H2041" i="1"/>
  <c r="H2042" i="1"/>
  <c r="H2043" i="1"/>
  <c r="H2044" i="1"/>
  <c r="H2045" i="1"/>
  <c r="H2046" i="1"/>
  <c r="H2047" i="1"/>
  <c r="H2048" i="1"/>
  <c r="H2050" i="1"/>
  <c r="H2051" i="1"/>
  <c r="H2052" i="1"/>
  <c r="H2053" i="1"/>
  <c r="H2054" i="1"/>
  <c r="H2055" i="1"/>
  <c r="H2056" i="1"/>
  <c r="H2057" i="1"/>
  <c r="H2059" i="1"/>
  <c r="H2060" i="1"/>
  <c r="H2061" i="1"/>
  <c r="H2062" i="1"/>
  <c r="H2063" i="1"/>
  <c r="H2064" i="1"/>
  <c r="H2065" i="1"/>
  <c r="H2066" i="1"/>
  <c r="H2067" i="1"/>
  <c r="H2068" i="1"/>
  <c r="H2070" i="1"/>
  <c r="H2071" i="1"/>
  <c r="H2072" i="1"/>
  <c r="H2073" i="1"/>
  <c r="H2074" i="1"/>
  <c r="H2075" i="1"/>
  <c r="H2076" i="1"/>
  <c r="H2077" i="1"/>
  <c r="H2078" i="1"/>
  <c r="H2079" i="1"/>
  <c r="H2081" i="1"/>
  <c r="H2082" i="1"/>
  <c r="H2083" i="1"/>
  <c r="H2084" i="1"/>
  <c r="H2085" i="1"/>
  <c r="H2086" i="1"/>
  <c r="H2087" i="1"/>
  <c r="H2088" i="1"/>
  <c r="H2089" i="1"/>
  <c r="L2068" i="1"/>
  <c r="H2020" i="1"/>
  <c r="H2019" i="1"/>
  <c r="H2009" i="1"/>
  <c r="H2008" i="1"/>
  <c r="H1996" i="1"/>
  <c r="H1995" i="1"/>
  <c r="H1987" i="1"/>
  <c r="H1986" i="1"/>
  <c r="H1950" i="1"/>
  <c r="H1949" i="1"/>
  <c r="H1931" i="1"/>
  <c r="H1932" i="1"/>
  <c r="H1933" i="1"/>
  <c r="H1934" i="1"/>
  <c r="H1935" i="1"/>
  <c r="H1936" i="1"/>
  <c r="H1937" i="1"/>
  <c r="H1930" i="1"/>
  <c r="H1911" i="1"/>
  <c r="H1912" i="1"/>
  <c r="H1913" i="1"/>
  <c r="H1914" i="1"/>
  <c r="H1915" i="1"/>
  <c r="H1917" i="1"/>
  <c r="H1918" i="1"/>
  <c r="H1919" i="1"/>
  <c r="H1920" i="1"/>
  <c r="H1921" i="1"/>
  <c r="H1922" i="1"/>
  <c r="H1923" i="1"/>
  <c r="H1924" i="1"/>
  <c r="H1925" i="1"/>
  <c r="H1926" i="1"/>
  <c r="H1910" i="1"/>
  <c r="H1905" i="1"/>
  <c r="H1886" i="1"/>
  <c r="H1887" i="1"/>
  <c r="H1888" i="1"/>
  <c r="H1889" i="1"/>
  <c r="H1890" i="1"/>
  <c r="H1891" i="1"/>
  <c r="H1892" i="1"/>
  <c r="H1893" i="1"/>
  <c r="H1894" i="1"/>
  <c r="H1895" i="1"/>
  <c r="H1896" i="1"/>
  <c r="H1897" i="1"/>
  <c r="H1898" i="1"/>
  <c r="H1885" i="1"/>
  <c r="H1877" i="1"/>
  <c r="H1878" i="1"/>
  <c r="H1879" i="1"/>
  <c r="H1880" i="1"/>
  <c r="H1881" i="1"/>
  <c r="H1876" i="1"/>
  <c r="H1865" i="1"/>
  <c r="H1866" i="1"/>
  <c r="H1867" i="1"/>
  <c r="H1868" i="1"/>
  <c r="H1869" i="1"/>
  <c r="H1870" i="1"/>
  <c r="H1871" i="1"/>
  <c r="H1872" i="1"/>
  <c r="H1873" i="1"/>
  <c r="H1864" i="1"/>
  <c r="H1859" i="1"/>
  <c r="H1860" i="1"/>
  <c r="H1861" i="1"/>
  <c r="H1858" i="1"/>
  <c r="H1844" i="1"/>
  <c r="H1845" i="1"/>
  <c r="H1846" i="1"/>
  <c r="H1847" i="1"/>
  <c r="H1843" i="1"/>
  <c r="H1837" i="1"/>
  <c r="H1838" i="1"/>
  <c r="H1839" i="1"/>
  <c r="H1836" i="1"/>
  <c r="H1832" i="1"/>
  <c r="H1829" i="1"/>
  <c r="H1828" i="1"/>
  <c r="H1815" i="1"/>
  <c r="H1816" i="1"/>
  <c r="H1817" i="1"/>
  <c r="H1818" i="1"/>
  <c r="H1819" i="1"/>
  <c r="H1820" i="1"/>
  <c r="H1821" i="1"/>
  <c r="H1814" i="1"/>
  <c r="H1811" i="1"/>
  <c r="H1809" i="1"/>
  <c r="H1808" i="1"/>
  <c r="H1777" i="1"/>
  <c r="H1778" i="1"/>
  <c r="H1779" i="1"/>
  <c r="H1780" i="1"/>
  <c r="H1781" i="1"/>
  <c r="H1782" i="1"/>
  <c r="H1783" i="1"/>
  <c r="H1784" i="1"/>
  <c r="H1776" i="1"/>
  <c r="H1792" i="1"/>
  <c r="H1793" i="1"/>
  <c r="H1794" i="1"/>
  <c r="H1795" i="1"/>
  <c r="H1796" i="1"/>
  <c r="H1797" i="1"/>
  <c r="H1798" i="1"/>
  <c r="H1799" i="1"/>
  <c r="H1800" i="1"/>
  <c r="H1801" i="1"/>
  <c r="H1791" i="1"/>
  <c r="H1790" i="1"/>
  <c r="H1772" i="1"/>
  <c r="H1773" i="1"/>
  <c r="H1774" i="1"/>
  <c r="H1771" i="1"/>
  <c r="H1767" i="1"/>
  <c r="H1766" i="1"/>
  <c r="H1765" i="1"/>
  <c r="H1764" i="1"/>
  <c r="H1763" i="1"/>
  <c r="H1762" i="1"/>
  <c r="H1761" i="1"/>
  <c r="H1760" i="1"/>
  <c r="H1759" i="1"/>
  <c r="H1758" i="1"/>
  <c r="H1753" i="1"/>
  <c r="H1752" i="1"/>
  <c r="H1751" i="1"/>
  <c r="H1750" i="1"/>
  <c r="H1749" i="1"/>
  <c r="H1748" i="1"/>
  <c r="H1747" i="1"/>
  <c r="H1746" i="1"/>
  <c r="H1745" i="1"/>
  <c r="H1744" i="1"/>
  <c r="H1743" i="1"/>
  <c r="H1742" i="1"/>
  <c r="H1741" i="1"/>
  <c r="H1736" i="1"/>
  <c r="H1735" i="1"/>
  <c r="H1734" i="1"/>
  <c r="H1733" i="1"/>
  <c r="H1732" i="1"/>
  <c r="H1731" i="1"/>
  <c r="H1730" i="1"/>
  <c r="H1729" i="1"/>
  <c r="H1728" i="1"/>
  <c r="H1727" i="1"/>
  <c r="H1726" i="1"/>
  <c r="H1725" i="1"/>
  <c r="H1719" i="1"/>
  <c r="H1720" i="1"/>
  <c r="H1718" i="1"/>
  <c r="H1717" i="1"/>
  <c r="H1716" i="1"/>
  <c r="H1715" i="1"/>
  <c r="H1714" i="1"/>
  <c r="H1713" i="1"/>
  <c r="H1712" i="1"/>
  <c r="H1711" i="1"/>
  <c r="H1704" i="1"/>
  <c r="H1705" i="1"/>
  <c r="H1703" i="1"/>
  <c r="H1697" i="1"/>
  <c r="H1698" i="1"/>
  <c r="H1699" i="1"/>
  <c r="H1700" i="1"/>
  <c r="H1696" i="1"/>
  <c r="H1686" i="1"/>
  <c r="H1685" i="1"/>
  <c r="H1683" i="1"/>
  <c r="H1682" i="1"/>
  <c r="H1680" i="1"/>
  <c r="H1679" i="1"/>
  <c r="H1674" i="1"/>
  <c r="H1673" i="1"/>
  <c r="H1672" i="1"/>
  <c r="H1671" i="1"/>
  <c r="H1667" i="1"/>
  <c r="H1666" i="1"/>
  <c r="H1664" i="1"/>
  <c r="H1663" i="1"/>
  <c r="H1661" i="1"/>
  <c r="H1660" i="1"/>
  <c r="H1655" i="1"/>
  <c r="H1654" i="1"/>
  <c r="H1653" i="1"/>
  <c r="H1652" i="1"/>
  <c r="H1648" i="1"/>
  <c r="H1647" i="1"/>
  <c r="H1645" i="1"/>
  <c r="H1644" i="1"/>
  <c r="H1642" i="1"/>
  <c r="H1641" i="1"/>
  <c r="H1636" i="1"/>
  <c r="H1635" i="1"/>
  <c r="H1634" i="1"/>
  <c r="H1633" i="1"/>
  <c r="H1628" i="1"/>
  <c r="H1627" i="1"/>
  <c r="H1625" i="1"/>
  <c r="H1624" i="1"/>
  <c r="H1622" i="1"/>
  <c r="H1621" i="1"/>
  <c r="H1616" i="1"/>
  <c r="H1615" i="1"/>
  <c r="H1614" i="1"/>
  <c r="H1613" i="1"/>
  <c r="H1609" i="1"/>
  <c r="H1608" i="1"/>
  <c r="H1606" i="1"/>
  <c r="H1605" i="1"/>
  <c r="H1603" i="1"/>
  <c r="H1602" i="1"/>
  <c r="H1597" i="1"/>
  <c r="H1596" i="1"/>
  <c r="H1595" i="1"/>
  <c r="H1594" i="1"/>
  <c r="H1589" i="1"/>
  <c r="H1588" i="1"/>
  <c r="H1586" i="1"/>
  <c r="H1585" i="1"/>
  <c r="H1583" i="1"/>
  <c r="H1582" i="1"/>
  <c r="H1577" i="1"/>
  <c r="H1576" i="1"/>
  <c r="H1575" i="1"/>
  <c r="H1574" i="1"/>
  <c r="H1570" i="1"/>
  <c r="H1569" i="1"/>
  <c r="H1567" i="1"/>
  <c r="H1566" i="1"/>
  <c r="H1564" i="1"/>
  <c r="H1563" i="1"/>
  <c r="H1558" i="1"/>
  <c r="H1557" i="1"/>
  <c r="H1556" i="1"/>
  <c r="H1555" i="1"/>
  <c r="H1551" i="1"/>
  <c r="H1550" i="1"/>
  <c r="H1548" i="1"/>
  <c r="H1547" i="1"/>
  <c r="H1545" i="1"/>
  <c r="H1544" i="1"/>
  <c r="H1539" i="1"/>
  <c r="H1538" i="1"/>
  <c r="H1537" i="1"/>
  <c r="H1536" i="1"/>
  <c r="H1532" i="1"/>
  <c r="H1531" i="1"/>
  <c r="H1529" i="1"/>
  <c r="H1528" i="1"/>
  <c r="H1526" i="1"/>
  <c r="H1525" i="1"/>
  <c r="H1520" i="1"/>
  <c r="H1519" i="1"/>
  <c r="H1518" i="1"/>
  <c r="H1517" i="1"/>
  <c r="H1513" i="1"/>
  <c r="H1510" i="1"/>
  <c r="H1507" i="1"/>
  <c r="H1509" i="1"/>
  <c r="H1512" i="1"/>
  <c r="H1506" i="1"/>
  <c r="H1501" i="1"/>
  <c r="H1500" i="1"/>
  <c r="H1499" i="1"/>
  <c r="H1498" i="1"/>
  <c r="H1494" i="1"/>
  <c r="H1491" i="1"/>
  <c r="H1488" i="1"/>
  <c r="H1490" i="1"/>
  <c r="H1493" i="1"/>
  <c r="H1487" i="1"/>
  <c r="H1482" i="1"/>
  <c r="H1481" i="1"/>
  <c r="H1480" i="1"/>
  <c r="H1479" i="1"/>
  <c r="H1475" i="1"/>
  <c r="H1472" i="1"/>
  <c r="H1469" i="1"/>
  <c r="H1471" i="1"/>
  <c r="H1474" i="1"/>
  <c r="H1468" i="1"/>
  <c r="H1463" i="1"/>
  <c r="H1462" i="1"/>
  <c r="H1461" i="1"/>
  <c r="H1460" i="1"/>
  <c r="H1455" i="1"/>
  <c r="H1452" i="1"/>
  <c r="H1449" i="1"/>
  <c r="H1451" i="1"/>
  <c r="H1454" i="1"/>
  <c r="H1448" i="1"/>
  <c r="H1443" i="1"/>
  <c r="H1442" i="1"/>
  <c r="H1441" i="1"/>
  <c r="H1440" i="1"/>
  <c r="H1436" i="1"/>
  <c r="H1433" i="1"/>
  <c r="H1430" i="1"/>
  <c r="H1432" i="1"/>
  <c r="H1435" i="1"/>
  <c r="H1429" i="1"/>
  <c r="H1424" i="1"/>
  <c r="H1423" i="1"/>
  <c r="H1422" i="1"/>
  <c r="H1421" i="1"/>
  <c r="H1417" i="1"/>
  <c r="H1414" i="1"/>
  <c r="H1411" i="1"/>
  <c r="H1413" i="1"/>
  <c r="H1416" i="1"/>
  <c r="H1410" i="1"/>
  <c r="H1405" i="1"/>
  <c r="H1404" i="1"/>
  <c r="H1403" i="1"/>
  <c r="H1402" i="1"/>
  <c r="H1398" i="1"/>
  <c r="H1395" i="1"/>
  <c r="H1392" i="1"/>
  <c r="H1394" i="1"/>
  <c r="H1397" i="1"/>
  <c r="H1391" i="1"/>
  <c r="H1386" i="1"/>
  <c r="H1385" i="1"/>
  <c r="H1384" i="1"/>
  <c r="H1383" i="1"/>
  <c r="H1379" i="1"/>
  <c r="H1376" i="1"/>
  <c r="H1373" i="1"/>
  <c r="H1375" i="1"/>
  <c r="H1378" i="1"/>
  <c r="H1372" i="1"/>
  <c r="H1367" i="1"/>
  <c r="H1366" i="1"/>
  <c r="H1365" i="1"/>
  <c r="H1364" i="1"/>
  <c r="H1360" i="1"/>
  <c r="H1357" i="1"/>
  <c r="H1354" i="1"/>
  <c r="H1356" i="1"/>
  <c r="H1359" i="1"/>
  <c r="H1353" i="1"/>
  <c r="H1341" i="1"/>
  <c r="H1340" i="1"/>
  <c r="H1338" i="1"/>
  <c r="H1337" i="1"/>
  <c r="H1335" i="1"/>
  <c r="H1334" i="1"/>
  <c r="H1348" i="1"/>
  <c r="H1347" i="1"/>
  <c r="H1346" i="1"/>
  <c r="H1345" i="1"/>
  <c r="H1327" i="1"/>
  <c r="H1329" i="1"/>
  <c r="H1328" i="1"/>
  <c r="H1326" i="1"/>
  <c r="H1322" i="1"/>
  <c r="H1319" i="1"/>
  <c r="H1316" i="1"/>
  <c r="H1318" i="1"/>
  <c r="H1321" i="1"/>
  <c r="H1315" i="1"/>
  <c r="H1310" i="1"/>
  <c r="H1309" i="1"/>
  <c r="H1308" i="1"/>
  <c r="H1307" i="1"/>
  <c r="H1303" i="1"/>
  <c r="H1300" i="1"/>
  <c r="H1297" i="1"/>
  <c r="H1299" i="1"/>
  <c r="H1302" i="1"/>
  <c r="H1296" i="1"/>
  <c r="H1284" i="1"/>
  <c r="H1283" i="1"/>
  <c r="H1281" i="1"/>
  <c r="H1280" i="1"/>
  <c r="H1278" i="1"/>
  <c r="H1277" i="1"/>
  <c r="H1291" i="1"/>
  <c r="H1290" i="1"/>
  <c r="H1289" i="1"/>
  <c r="H1288" i="1"/>
  <c r="H1272" i="1"/>
  <c r="H1271" i="1"/>
  <c r="H1270" i="1"/>
  <c r="H1269" i="1"/>
  <c r="I617" i="1"/>
  <c r="I263" i="1"/>
  <c r="L137" i="1"/>
  <c r="H1265" i="1" l="1"/>
  <c r="H1262" i="1"/>
  <c r="H1259" i="1"/>
  <c r="H1261" i="1"/>
  <c r="H1264" i="1"/>
  <c r="H1258" i="1"/>
  <c r="H1246" i="1"/>
  <c r="H1245" i="1"/>
  <c r="H1243" i="1"/>
  <c r="H1242" i="1"/>
  <c r="H1240" i="1"/>
  <c r="H1239" i="1"/>
  <c r="H1253" i="1"/>
  <c r="H1252" i="1"/>
  <c r="H1251" i="1"/>
  <c r="H1250" i="1"/>
  <c r="H1234" i="1"/>
  <c r="H1233" i="1"/>
  <c r="H1232" i="1"/>
  <c r="H1231" i="1"/>
  <c r="H1227" i="1"/>
  <c r="H1224" i="1"/>
  <c r="H1221" i="1"/>
  <c r="H1223" i="1"/>
  <c r="H1226" i="1"/>
  <c r="H1220" i="1"/>
  <c r="H1215" i="1"/>
  <c r="H1214" i="1"/>
  <c r="H1213" i="1"/>
  <c r="H1212" i="1"/>
  <c r="H1208" i="1"/>
  <c r="H1205" i="1"/>
  <c r="H1202" i="1"/>
  <c r="H1204" i="1"/>
  <c r="H1207" i="1"/>
  <c r="H1188" i="1"/>
  <c r="H1187" i="1"/>
  <c r="H1185" i="1"/>
  <c r="H1184" i="1"/>
  <c r="H1182" i="1"/>
  <c r="H1181" i="1"/>
  <c r="H1201" i="1"/>
  <c r="H1196" i="1"/>
  <c r="H1195" i="1"/>
  <c r="H1194" i="1"/>
  <c r="H1193" i="1"/>
  <c r="H1176" i="1"/>
  <c r="H1175" i="1"/>
  <c r="H1174" i="1"/>
  <c r="H1173" i="1"/>
  <c r="H1169" i="1"/>
  <c r="H1166" i="1"/>
  <c r="H1163" i="1"/>
  <c r="H1165" i="1"/>
  <c r="H1168" i="1"/>
  <c r="H1162" i="1"/>
  <c r="H1157" i="1"/>
  <c r="H1156" i="1"/>
  <c r="H1155" i="1"/>
  <c r="H1154" i="1"/>
  <c r="H1150" i="1"/>
  <c r="H1147" i="1"/>
  <c r="H1144" i="1"/>
  <c r="H1146" i="1"/>
  <c r="H1149" i="1"/>
  <c r="H1143" i="1"/>
  <c r="H1138" i="1"/>
  <c r="H1137" i="1"/>
  <c r="H1136" i="1"/>
  <c r="H1135" i="1"/>
  <c r="H1131" i="1"/>
  <c r="H1128" i="1"/>
  <c r="H1130" i="1"/>
  <c r="H1127" i="1"/>
  <c r="H1125" i="1"/>
  <c r="H1124" i="1"/>
  <c r="H1119" i="1"/>
  <c r="H1118" i="1"/>
  <c r="H1117" i="1"/>
  <c r="H1116" i="1"/>
  <c r="H1111" i="1"/>
  <c r="H1110" i="1"/>
  <c r="H1108" i="1"/>
  <c r="H1107" i="1"/>
  <c r="H1105" i="1"/>
  <c r="H1104" i="1"/>
  <c r="H1099" i="1"/>
  <c r="H1098" i="1"/>
  <c r="H1097" i="1"/>
  <c r="H1096" i="1"/>
  <c r="H1091" i="1"/>
  <c r="H1090" i="1"/>
  <c r="H1088" i="1"/>
  <c r="H1087" i="1"/>
  <c r="H1085" i="1"/>
  <c r="H1084" i="1"/>
  <c r="H1079" i="1"/>
  <c r="H1078" i="1"/>
  <c r="H1077" i="1"/>
  <c r="H1076" i="1"/>
  <c r="H1072" i="1"/>
  <c r="H1071" i="1"/>
  <c r="H1069" i="1"/>
  <c r="H1068" i="1"/>
  <c r="H1066" i="1"/>
  <c r="H1065" i="1"/>
  <c r="H1060" i="1"/>
  <c r="H1059" i="1"/>
  <c r="H1058" i="1"/>
  <c r="H1057" i="1"/>
  <c r="H1053" i="1"/>
  <c r="H1052" i="1"/>
  <c r="H1050" i="1"/>
  <c r="H1049" i="1"/>
  <c r="H1047" i="1"/>
  <c r="H1046" i="1"/>
  <c r="H1041" i="1"/>
  <c r="H1040" i="1"/>
  <c r="H1039" i="1"/>
  <c r="H1038" i="1"/>
  <c r="H1034" i="1"/>
  <c r="H1033" i="1"/>
  <c r="H1031" i="1"/>
  <c r="H1030" i="1"/>
  <c r="H1028" i="1"/>
  <c r="H1027" i="1"/>
  <c r="H1022" i="1"/>
  <c r="H1021" i="1"/>
  <c r="H1020" i="1"/>
  <c r="H1019" i="1"/>
  <c r="H1015" i="1"/>
  <c r="H1014" i="1"/>
  <c r="H1012" i="1"/>
  <c r="H1011" i="1"/>
  <c r="H1009" i="1"/>
  <c r="H1008" i="1"/>
  <c r="H1003" i="1"/>
  <c r="H1002" i="1"/>
  <c r="H1001" i="1"/>
  <c r="H1000" i="1"/>
  <c r="H996" i="1"/>
  <c r="H995" i="1"/>
  <c r="H993" i="1"/>
  <c r="H992" i="1"/>
  <c r="H990" i="1"/>
  <c r="H989" i="1"/>
  <c r="H984" i="1"/>
  <c r="H983" i="1"/>
  <c r="H982" i="1"/>
  <c r="H981" i="1"/>
  <c r="H977" i="1"/>
  <c r="H976" i="1"/>
  <c r="H974" i="1"/>
  <c r="H973" i="1"/>
  <c r="H971" i="1"/>
  <c r="H970" i="1"/>
  <c r="H965" i="1"/>
  <c r="H964" i="1"/>
  <c r="H963" i="1"/>
  <c r="H962" i="1"/>
  <c r="H947" i="1"/>
  <c r="H948" i="1"/>
  <c r="H949" i="1"/>
  <c r="H950" i="1"/>
  <c r="H946" i="1"/>
  <c r="H936" i="1"/>
  <c r="H937" i="1"/>
  <c r="H938" i="1"/>
  <c r="H935" i="1"/>
  <c r="H924" i="1"/>
  <c r="H925" i="1"/>
  <c r="H926" i="1"/>
  <c r="H923" i="1"/>
  <c r="H917" i="1"/>
  <c r="H916" i="1"/>
  <c r="H908" i="1"/>
  <c r="H909" i="1"/>
  <c r="H910" i="1"/>
  <c r="H907" i="1"/>
  <c r="H896" i="1"/>
  <c r="H897" i="1"/>
  <c r="H898" i="1"/>
  <c r="H899" i="1"/>
  <c r="H900" i="1"/>
  <c r="H895" i="1"/>
  <c r="H893" i="1"/>
  <c r="H882" i="1"/>
  <c r="H883" i="1"/>
  <c r="H881" i="1"/>
  <c r="H876" i="1"/>
  <c r="H877" i="1"/>
  <c r="H875" i="1"/>
  <c r="H869" i="1"/>
  <c r="H870" i="1"/>
  <c r="H871" i="1"/>
  <c r="H868" i="1"/>
  <c r="H861" i="1"/>
  <c r="H862" i="1"/>
  <c r="H863" i="1"/>
  <c r="H864" i="1"/>
  <c r="H865" i="1"/>
  <c r="H860" i="1"/>
  <c r="H853" i="1"/>
  <c r="H854" i="1"/>
  <c r="H855" i="1"/>
  <c r="H856" i="1"/>
  <c r="H852" i="1"/>
  <c r="H845" i="1"/>
  <c r="H846" i="1"/>
  <c r="H847" i="1"/>
  <c r="H848" i="1"/>
  <c r="H844" i="1"/>
  <c r="H838" i="1"/>
  <c r="H839" i="1"/>
  <c r="H840" i="1"/>
  <c r="H841" i="1"/>
  <c r="H837" i="1"/>
  <c r="H833" i="1"/>
  <c r="H834" i="1"/>
  <c r="H832" i="1"/>
  <c r="H829" i="1"/>
  <c r="H828" i="1"/>
  <c r="H827" i="1"/>
  <c r="H826" i="1"/>
  <c r="H822" i="1"/>
  <c r="H821" i="1"/>
  <c r="H815" i="1"/>
  <c r="H816" i="1"/>
  <c r="H817" i="1"/>
  <c r="H818" i="1"/>
  <c r="H814" i="1"/>
  <c r="H807" i="1"/>
  <c r="H808" i="1"/>
  <c r="H809" i="1"/>
  <c r="H810" i="1"/>
  <c r="H805" i="1"/>
  <c r="H804" i="1"/>
  <c r="H806" i="1"/>
  <c r="H803" i="1"/>
  <c r="H802" i="1"/>
  <c r="H795" i="1"/>
  <c r="H796" i="1"/>
  <c r="H797" i="1"/>
  <c r="H798" i="1"/>
  <c r="H794" i="1"/>
  <c r="H783" i="1"/>
  <c r="H779" i="1"/>
  <c r="H776" i="1"/>
  <c r="H777" i="1"/>
  <c r="H778" i="1"/>
  <c r="H775" i="1"/>
  <c r="H773" i="1"/>
  <c r="H772" i="1"/>
  <c r="H754" i="1"/>
  <c r="H755" i="1"/>
  <c r="H756" i="1"/>
  <c r="H757" i="1"/>
  <c r="H758" i="1"/>
  <c r="H759" i="1"/>
  <c r="H760" i="1"/>
  <c r="H761" i="1"/>
  <c r="H762" i="1"/>
  <c r="H763" i="1"/>
  <c r="H764" i="1"/>
  <c r="H765" i="1"/>
  <c r="H766" i="1"/>
  <c r="H767" i="1"/>
  <c r="H768" i="1"/>
  <c r="H753" i="1"/>
  <c r="H724" i="1"/>
  <c r="H725" i="1"/>
  <c r="H726" i="1"/>
  <c r="H727" i="1"/>
  <c r="H728" i="1"/>
  <c r="H729" i="1"/>
  <c r="H723" i="1"/>
  <c r="H711" i="1"/>
  <c r="H712" i="1"/>
  <c r="H713" i="1"/>
  <c r="H714" i="1"/>
  <c r="H715" i="1"/>
  <c r="H716" i="1"/>
  <c r="H717" i="1"/>
  <c r="H718" i="1"/>
  <c r="H710" i="1"/>
  <c r="H704" i="1"/>
  <c r="H703" i="1"/>
  <c r="H702" i="1"/>
  <c r="H699" i="1"/>
  <c r="H696" i="1"/>
  <c r="H695" i="1"/>
  <c r="H694" i="1"/>
  <c r="H691" i="1"/>
  <c r="H687" i="1"/>
  <c r="H688" i="1"/>
  <c r="H686" i="1"/>
  <c r="H683" i="1"/>
  <c r="H679" i="1"/>
  <c r="H680" i="1"/>
  <c r="H678" i="1"/>
  <c r="H675" i="1"/>
  <c r="H671" i="1"/>
  <c r="H672" i="1"/>
  <c r="H670" i="1"/>
  <c r="H667" i="1"/>
  <c r="H664" i="1"/>
  <c r="H662" i="1"/>
  <c r="H661" i="1"/>
  <c r="H652" i="1"/>
  <c r="H651" i="1"/>
  <c r="H650" i="1"/>
  <c r="H643" i="1"/>
  <c r="H644" i="1"/>
  <c r="H645" i="1"/>
  <c r="H646" i="1"/>
  <c r="H647" i="1"/>
  <c r="H642" i="1"/>
  <c r="H636" i="1"/>
  <c r="H637" i="1"/>
  <c r="H638" i="1"/>
  <c r="H639" i="1"/>
  <c r="H635" i="1"/>
  <c r="H632" i="1"/>
  <c r="H625" i="1"/>
  <c r="H600" i="1"/>
  <c r="H599" i="1"/>
  <c r="H594" i="1"/>
  <c r="H580" i="1"/>
  <c r="H581" i="1"/>
  <c r="H582" i="1"/>
  <c r="H586" i="1"/>
  <c r="H587" i="1"/>
  <c r="H579" i="1"/>
  <c r="H568" i="1"/>
  <c r="H570" i="1"/>
  <c r="H571" i="1"/>
  <c r="H572" i="1"/>
  <c r="H573" i="1"/>
  <c r="H574" i="1"/>
  <c r="H575" i="1"/>
  <c r="H567" i="1"/>
  <c r="H560" i="1"/>
  <c r="H561" i="1"/>
  <c r="H562" i="1"/>
  <c r="H563" i="1"/>
  <c r="H564" i="1"/>
  <c r="H559" i="1"/>
  <c r="H551" i="1"/>
  <c r="H552" i="1"/>
  <c r="H553" i="1"/>
  <c r="H554" i="1"/>
  <c r="H555" i="1"/>
  <c r="H550" i="1"/>
  <c r="H542" i="1"/>
  <c r="H543" i="1"/>
  <c r="H544" i="1"/>
  <c r="H545" i="1"/>
  <c r="H546" i="1"/>
  <c r="H541" i="1"/>
  <c r="H533" i="1"/>
  <c r="H534" i="1"/>
  <c r="H535" i="1"/>
  <c r="H536" i="1"/>
  <c r="H537" i="1"/>
  <c r="H532" i="1"/>
  <c r="H524" i="1"/>
  <c r="H525" i="1"/>
  <c r="H526" i="1"/>
  <c r="H527" i="1"/>
  <c r="H528" i="1"/>
  <c r="H523" i="1"/>
  <c r="H515" i="1"/>
  <c r="H516" i="1"/>
  <c r="H517" i="1"/>
  <c r="H518" i="1"/>
  <c r="H519" i="1"/>
  <c r="H514" i="1"/>
  <c r="H506" i="1"/>
  <c r="H507" i="1"/>
  <c r="H508" i="1"/>
  <c r="H509" i="1"/>
  <c r="H510" i="1"/>
  <c r="H505" i="1"/>
  <c r="H497" i="1"/>
  <c r="H498" i="1"/>
  <c r="H499" i="1"/>
  <c r="H500" i="1"/>
  <c r="H501" i="1"/>
  <c r="H496" i="1"/>
  <c r="H488" i="1"/>
  <c r="H489" i="1"/>
  <c r="H490" i="1"/>
  <c r="H491" i="1"/>
  <c r="H492" i="1"/>
  <c r="H487" i="1"/>
  <c r="H479" i="1"/>
  <c r="H480" i="1"/>
  <c r="H481" i="1"/>
  <c r="H482" i="1"/>
  <c r="H483" i="1"/>
  <c r="H478" i="1"/>
  <c r="H470" i="1"/>
  <c r="H471" i="1"/>
  <c r="H472" i="1"/>
  <c r="H473" i="1"/>
  <c r="H474" i="1"/>
  <c r="H469" i="1"/>
  <c r="H461" i="1"/>
  <c r="H462" i="1"/>
  <c r="H463" i="1"/>
  <c r="H464" i="1"/>
  <c r="H465" i="1"/>
  <c r="H460" i="1"/>
  <c r="H452" i="1"/>
  <c r="H453" i="1"/>
  <c r="H454" i="1"/>
  <c r="H455" i="1"/>
  <c r="H456" i="1"/>
  <c r="H451" i="1"/>
  <c r="H443" i="1"/>
  <c r="H444" i="1"/>
  <c r="H445" i="1"/>
  <c r="H446" i="1"/>
  <c r="H447" i="1"/>
  <c r="H442" i="1"/>
  <c r="H434" i="1"/>
  <c r="H435" i="1"/>
  <c r="H436" i="1"/>
  <c r="H437" i="1"/>
  <c r="H438" i="1"/>
  <c r="H433" i="1"/>
  <c r="H425" i="1"/>
  <c r="H426" i="1"/>
  <c r="H427" i="1"/>
  <c r="H428" i="1"/>
  <c r="H429" i="1"/>
  <c r="H424" i="1"/>
  <c r="H416" i="1"/>
  <c r="H417" i="1"/>
  <c r="H418" i="1"/>
  <c r="H419" i="1"/>
  <c r="H420" i="1"/>
  <c r="H415" i="1"/>
  <c r="H407" i="1"/>
  <c r="H408" i="1"/>
  <c r="H409" i="1"/>
  <c r="H410" i="1"/>
  <c r="H411" i="1"/>
  <c r="H406" i="1"/>
  <c r="H398" i="1"/>
  <c r="H399" i="1"/>
  <c r="H400" i="1"/>
  <c r="H401" i="1"/>
  <c r="H402" i="1"/>
  <c r="H397" i="1"/>
  <c r="H389" i="1"/>
  <c r="H390" i="1"/>
  <c r="H391" i="1"/>
  <c r="H392" i="1"/>
  <c r="H393" i="1"/>
  <c r="H388" i="1"/>
  <c r="H358" i="1"/>
  <c r="H361" i="1"/>
  <c r="H362" i="1"/>
  <c r="H365" i="1"/>
  <c r="H366" i="1"/>
  <c r="H369" i="1"/>
  <c r="H371" i="1"/>
  <c r="H372" i="1"/>
  <c r="H373" i="1"/>
  <c r="H374" i="1"/>
  <c r="H375" i="1"/>
  <c r="H376" i="1"/>
  <c r="H377" i="1"/>
  <c r="H357" i="1"/>
  <c r="H352" i="1"/>
  <c r="H353" i="1"/>
  <c r="H354" i="1"/>
  <c r="H351" i="1"/>
  <c r="H345" i="1"/>
  <c r="H346" i="1"/>
  <c r="H347" i="1"/>
  <c r="H348" i="1"/>
  <c r="H344" i="1"/>
  <c r="H318" i="1"/>
  <c r="H317" i="1"/>
  <c r="H299" i="1"/>
  <c r="H297" i="1"/>
  <c r="H254" i="1"/>
  <c r="H252" i="1"/>
  <c r="H249" i="1"/>
  <c r="H238" i="1"/>
  <c r="H239" i="1"/>
  <c r="H240" i="1"/>
  <c r="H237" i="1"/>
  <c r="H232" i="1"/>
  <c r="H233" i="1"/>
  <c r="H234" i="1"/>
  <c r="H231" i="1"/>
  <c r="H228" i="1"/>
  <c r="H227" i="1"/>
  <c r="H226" i="1"/>
  <c r="H225" i="1"/>
  <c r="H224" i="1"/>
  <c r="H223" i="1"/>
  <c r="H222" i="1"/>
  <c r="H221" i="1"/>
  <c r="H220" i="1"/>
  <c r="H213" i="1"/>
  <c r="H214" i="1"/>
  <c r="H215" i="1"/>
  <c r="H212" i="1"/>
  <c r="H206" i="1"/>
  <c r="H207" i="1"/>
  <c r="H205" i="1"/>
  <c r="H202" i="1"/>
  <c r="H200" i="1"/>
  <c r="H199" i="1"/>
  <c r="H198" i="1"/>
  <c r="H197" i="1"/>
  <c r="H196" i="1"/>
  <c r="H195" i="1"/>
  <c r="H194" i="1"/>
  <c r="H193" i="1"/>
  <c r="H192" i="1"/>
  <c r="H191" i="1"/>
  <c r="H187" i="1"/>
  <c r="H185" i="1"/>
  <c r="H184" i="1"/>
  <c r="H183" i="1"/>
  <c r="H182" i="1"/>
  <c r="H181" i="1"/>
  <c r="H180" i="1"/>
  <c r="H179" i="1"/>
  <c r="H178" i="1"/>
  <c r="H177" i="1"/>
  <c r="H176" i="1"/>
  <c r="H175" i="1"/>
  <c r="H157" i="1"/>
  <c r="H158" i="1"/>
  <c r="H159" i="1"/>
  <c r="H160" i="1"/>
  <c r="H156" i="1"/>
  <c r="H150" i="1"/>
  <c r="H151" i="1"/>
  <c r="H152" i="1"/>
  <c r="H153" i="1"/>
  <c r="H149" i="1"/>
  <c r="H146" i="1"/>
  <c r="H145" i="1"/>
  <c r="H144" i="1"/>
  <c r="H143" i="1"/>
  <c r="H142" i="1"/>
  <c r="H141" i="1"/>
  <c r="H140" i="1"/>
  <c r="H137" i="1"/>
  <c r="H136" i="1"/>
  <c r="H135" i="1"/>
  <c r="H134" i="1"/>
  <c r="H132" i="1"/>
  <c r="H129" i="1"/>
  <c r="H128" i="1"/>
  <c r="H127" i="1"/>
  <c r="H126" i="1"/>
  <c r="I127" i="1"/>
  <c r="I128" i="1"/>
  <c r="I129" i="1"/>
  <c r="I132" i="1"/>
  <c r="I133" i="1"/>
  <c r="I134" i="1"/>
  <c r="I135" i="1"/>
  <c r="I136" i="1"/>
  <c r="I137" i="1"/>
  <c r="I140" i="1"/>
  <c r="I141" i="1"/>
  <c r="I142" i="1"/>
  <c r="I143" i="1"/>
  <c r="I144" i="1"/>
  <c r="I145" i="1"/>
  <c r="I146" i="1"/>
  <c r="I149" i="1"/>
  <c r="I150" i="1"/>
  <c r="I151" i="1"/>
  <c r="I152" i="1"/>
  <c r="I153" i="1"/>
  <c r="I156" i="1"/>
  <c r="I157" i="1"/>
  <c r="I158" i="1"/>
  <c r="I159" i="1"/>
  <c r="I160" i="1"/>
  <c r="I163" i="1"/>
  <c r="I164" i="1"/>
  <c r="I165" i="1"/>
  <c r="I166" i="1"/>
  <c r="I167" i="1"/>
  <c r="I168" i="1"/>
  <c r="I169" i="1"/>
  <c r="I170" i="1"/>
  <c r="I171" i="1"/>
  <c r="I172" i="1"/>
  <c r="I173" i="1"/>
  <c r="I174" i="1"/>
  <c r="I175" i="1"/>
  <c r="I176" i="1"/>
  <c r="I177" i="1"/>
  <c r="I178" i="1"/>
  <c r="I179" i="1"/>
  <c r="I180" i="1"/>
  <c r="I181" i="1"/>
  <c r="I182" i="1"/>
  <c r="I183" i="1"/>
  <c r="I184" i="1"/>
  <c r="I187" i="1"/>
  <c r="I189" i="1"/>
  <c r="I190" i="1"/>
  <c r="I191" i="1"/>
  <c r="I192" i="1"/>
  <c r="I193" i="1"/>
  <c r="I194" i="1"/>
  <c r="I195" i="1"/>
  <c r="I196" i="1"/>
  <c r="I197" i="1"/>
  <c r="I198" i="1"/>
  <c r="I199" i="1"/>
  <c r="I200" i="1"/>
  <c r="I202" i="1"/>
  <c r="I203" i="1"/>
  <c r="I205" i="1"/>
  <c r="I206" i="1"/>
  <c r="I207" i="1"/>
  <c r="I210" i="1"/>
  <c r="I211" i="1"/>
  <c r="I212" i="1"/>
  <c r="I213" i="1"/>
  <c r="I214" i="1"/>
  <c r="I215" i="1"/>
  <c r="I218" i="1"/>
  <c r="I219" i="1"/>
  <c r="I220" i="1"/>
  <c r="I221" i="1"/>
  <c r="I222" i="1"/>
  <c r="I223" i="1"/>
  <c r="I224" i="1"/>
  <c r="I225" i="1"/>
  <c r="I226" i="1"/>
  <c r="I227" i="1"/>
  <c r="I228" i="1"/>
  <c r="I231" i="1"/>
  <c r="I232" i="1"/>
  <c r="I233" i="1"/>
  <c r="I234" i="1"/>
  <c r="I237" i="1"/>
  <c r="I238" i="1"/>
  <c r="I239" i="1"/>
  <c r="I240" i="1"/>
  <c r="I246" i="1"/>
  <c r="I247" i="1"/>
  <c r="I249" i="1"/>
  <c r="I252" i="1"/>
  <c r="I253" i="1"/>
  <c r="I255" i="1"/>
  <c r="I256" i="1"/>
  <c r="I258" i="1"/>
  <c r="I259" i="1"/>
  <c r="I260" i="1"/>
  <c r="I261" i="1"/>
  <c r="I262" i="1"/>
  <c r="I264" i="1"/>
  <c r="I265" i="1"/>
  <c r="I268" i="1"/>
  <c r="I269" i="1"/>
  <c r="I270" i="1"/>
  <c r="I271" i="1"/>
  <c r="I272" i="1"/>
  <c r="I273" i="1"/>
  <c r="I274" i="1"/>
  <c r="I275" i="1"/>
  <c r="I276" i="1"/>
  <c r="I277" i="1"/>
  <c r="I278" i="1"/>
  <c r="I279" i="1"/>
  <c r="I280" i="1"/>
  <c r="I281" i="1"/>
  <c r="I282" i="1"/>
  <c r="I283" i="1"/>
  <c r="I284" i="1"/>
  <c r="I285" i="1"/>
  <c r="I286" i="1"/>
  <c r="I287" i="1"/>
  <c r="I288" i="1"/>
  <c r="I289" i="1"/>
  <c r="I290" i="1"/>
  <c r="I291" i="1"/>
  <c r="I297" i="1"/>
  <c r="I299" i="1"/>
  <c r="I303" i="1"/>
  <c r="I304" i="1"/>
  <c r="I305" i="1"/>
  <c r="I306" i="1"/>
  <c r="I307" i="1"/>
  <c r="I308" i="1"/>
  <c r="I309" i="1"/>
  <c r="I310" i="1"/>
  <c r="I311" i="1"/>
  <c r="I312" i="1"/>
  <c r="I313" i="1"/>
  <c r="I314" i="1"/>
  <c r="I315" i="1"/>
  <c r="I316" i="1"/>
  <c r="I317" i="1"/>
  <c r="I318" i="1"/>
  <c r="I320" i="1"/>
  <c r="I325" i="1"/>
  <c r="I326" i="1"/>
  <c r="I327" i="1"/>
  <c r="I328" i="1"/>
  <c r="I329" i="1"/>
  <c r="I330" i="1"/>
  <c r="I331" i="1"/>
  <c r="I332" i="1"/>
  <c r="I333" i="1"/>
  <c r="I334" i="1"/>
  <c r="I335" i="1"/>
  <c r="I336" i="1"/>
  <c r="I337" i="1"/>
  <c r="I338" i="1"/>
  <c r="I339" i="1"/>
  <c r="I340" i="1"/>
  <c r="I344" i="1"/>
  <c r="I345" i="1"/>
  <c r="I346" i="1"/>
  <c r="I347" i="1"/>
  <c r="I348" i="1"/>
  <c r="I351" i="1"/>
  <c r="I352" i="1"/>
  <c r="I353" i="1"/>
  <c r="I354" i="1"/>
  <c r="I357" i="1"/>
  <c r="I358" i="1"/>
  <c r="I361" i="1"/>
  <c r="I362" i="1"/>
  <c r="I365" i="1"/>
  <c r="I366" i="1"/>
  <c r="I369" i="1"/>
  <c r="I371" i="1"/>
  <c r="I372" i="1"/>
  <c r="I373" i="1"/>
  <c r="I374" i="1"/>
  <c r="I375" i="1"/>
  <c r="I376" i="1"/>
  <c r="I377" i="1"/>
  <c r="I383" i="1"/>
  <c r="I384" i="1"/>
  <c r="I387" i="1"/>
  <c r="I388" i="1"/>
  <c r="I389" i="1"/>
  <c r="I390" i="1"/>
  <c r="I391" i="1"/>
  <c r="I392" i="1"/>
  <c r="I393" i="1"/>
  <c r="I396" i="1"/>
  <c r="I397" i="1"/>
  <c r="I398" i="1"/>
  <c r="I399" i="1"/>
  <c r="I400" i="1"/>
  <c r="I401" i="1"/>
  <c r="I402" i="1"/>
  <c r="I405" i="1"/>
  <c r="I406" i="1"/>
  <c r="I407" i="1"/>
  <c r="I408" i="1"/>
  <c r="I409" i="1"/>
  <c r="I410" i="1"/>
  <c r="I411" i="1"/>
  <c r="I414" i="1"/>
  <c r="I415" i="1"/>
  <c r="I416" i="1"/>
  <c r="I417" i="1"/>
  <c r="I418" i="1"/>
  <c r="I419" i="1"/>
  <c r="I420" i="1"/>
  <c r="I423" i="1"/>
  <c r="I424" i="1"/>
  <c r="I425" i="1"/>
  <c r="I426" i="1"/>
  <c r="I427" i="1"/>
  <c r="I428" i="1"/>
  <c r="I429" i="1"/>
  <c r="I432" i="1"/>
  <c r="I433" i="1"/>
  <c r="I434" i="1"/>
  <c r="I435" i="1"/>
  <c r="I436" i="1"/>
  <c r="I437" i="1"/>
  <c r="I438" i="1"/>
  <c r="I441" i="1"/>
  <c r="I442" i="1"/>
  <c r="I443" i="1"/>
  <c r="I444" i="1"/>
  <c r="I445" i="1"/>
  <c r="I446" i="1"/>
  <c r="I447" i="1"/>
  <c r="I450" i="1"/>
  <c r="I451" i="1"/>
  <c r="I452" i="1"/>
  <c r="I453" i="1"/>
  <c r="I454" i="1"/>
  <c r="I455" i="1"/>
  <c r="I456" i="1"/>
  <c r="I459" i="1"/>
  <c r="I460" i="1"/>
  <c r="I461" i="1"/>
  <c r="I462" i="1"/>
  <c r="I463" i="1"/>
  <c r="I464" i="1"/>
  <c r="I465" i="1"/>
  <c r="I468" i="1"/>
  <c r="I469" i="1"/>
  <c r="I470" i="1"/>
  <c r="I471" i="1"/>
  <c r="I472" i="1"/>
  <c r="I473" i="1"/>
  <c r="I474" i="1"/>
  <c r="I477" i="1"/>
  <c r="I478" i="1"/>
  <c r="I479" i="1"/>
  <c r="I480" i="1"/>
  <c r="I481" i="1"/>
  <c r="I482" i="1"/>
  <c r="I483" i="1"/>
  <c r="I486" i="1"/>
  <c r="I487" i="1"/>
  <c r="I488" i="1"/>
  <c r="I489" i="1"/>
  <c r="I490" i="1"/>
  <c r="I491" i="1"/>
  <c r="I492" i="1"/>
  <c r="I495" i="1"/>
  <c r="I496" i="1"/>
  <c r="I497" i="1"/>
  <c r="I498" i="1"/>
  <c r="I499" i="1"/>
  <c r="I500" i="1"/>
  <c r="I501" i="1"/>
  <c r="I504" i="1"/>
  <c r="I505" i="1"/>
  <c r="I506" i="1"/>
  <c r="I507" i="1"/>
  <c r="I508" i="1"/>
  <c r="I509" i="1"/>
  <c r="I510" i="1"/>
  <c r="I513" i="1"/>
  <c r="I514" i="1"/>
  <c r="I515" i="1"/>
  <c r="I516" i="1"/>
  <c r="I517" i="1"/>
  <c r="I518" i="1"/>
  <c r="I519" i="1"/>
  <c r="I522" i="1"/>
  <c r="I523" i="1"/>
  <c r="I524" i="1"/>
  <c r="I525" i="1"/>
  <c r="I526" i="1"/>
  <c r="I527" i="1"/>
  <c r="I528" i="1"/>
  <c r="I531" i="1"/>
  <c r="I532" i="1"/>
  <c r="I533" i="1"/>
  <c r="I534" i="1"/>
  <c r="I535" i="1"/>
  <c r="I536" i="1"/>
  <c r="I537" i="1"/>
  <c r="I539" i="1"/>
  <c r="I540" i="1"/>
  <c r="I541" i="1"/>
  <c r="I542" i="1"/>
  <c r="I543" i="1"/>
  <c r="I544" i="1"/>
  <c r="I545" i="1"/>
  <c r="I546" i="1"/>
  <c r="I549" i="1"/>
  <c r="I550" i="1"/>
  <c r="I551" i="1"/>
  <c r="I552" i="1"/>
  <c r="I553" i="1"/>
  <c r="I554" i="1"/>
  <c r="I555" i="1"/>
  <c r="I558" i="1"/>
  <c r="I559" i="1"/>
  <c r="I560" i="1"/>
  <c r="I561" i="1"/>
  <c r="I562" i="1"/>
  <c r="I563" i="1"/>
  <c r="I564" i="1"/>
  <c r="I567" i="1"/>
  <c r="I568" i="1"/>
  <c r="I569" i="1"/>
  <c r="I570" i="1"/>
  <c r="I571" i="1"/>
  <c r="I572" i="1"/>
  <c r="I573" i="1"/>
  <c r="I574" i="1"/>
  <c r="I575" i="1"/>
  <c r="I578" i="1"/>
  <c r="I579" i="1"/>
  <c r="I580" i="1"/>
  <c r="I581" i="1"/>
  <c r="I582" i="1"/>
  <c r="I583" i="1"/>
  <c r="I584" i="1"/>
  <c r="I586" i="1"/>
  <c r="I587" i="1"/>
  <c r="I588" i="1"/>
  <c r="I589" i="1"/>
  <c r="I591" i="1"/>
  <c r="I592" i="1"/>
  <c r="I594" i="1"/>
  <c r="I595" i="1"/>
  <c r="I596" i="1"/>
  <c r="I597" i="1"/>
  <c r="I599" i="1"/>
  <c r="I600" i="1"/>
  <c r="I602" i="1"/>
  <c r="I604" i="1"/>
  <c r="I605" i="1"/>
  <c r="I606" i="1"/>
  <c r="I607" i="1"/>
  <c r="I608" i="1"/>
  <c r="I609" i="1"/>
  <c r="I610" i="1"/>
  <c r="I611" i="1"/>
  <c r="I612" i="1"/>
  <c r="I613" i="1"/>
  <c r="I614" i="1"/>
  <c r="I615" i="1"/>
  <c r="I616" i="1"/>
  <c r="I623" i="1"/>
  <c r="I624" i="1"/>
  <c r="I625" i="1"/>
  <c r="I631" i="1"/>
  <c r="I635" i="1"/>
  <c r="I636" i="1"/>
  <c r="I637" i="1"/>
  <c r="I638" i="1"/>
  <c r="I639" i="1"/>
  <c r="I642" i="1"/>
  <c r="I644" i="1"/>
  <c r="I645" i="1"/>
  <c r="I646" i="1"/>
  <c r="I647" i="1"/>
  <c r="I650" i="1"/>
  <c r="I651" i="1"/>
  <c r="I652" i="1"/>
  <c r="I659" i="1"/>
  <c r="I660" i="1"/>
  <c r="I664" i="1"/>
  <c r="I666" i="1"/>
  <c r="I667" i="1"/>
  <c r="I670" i="1"/>
  <c r="I671" i="1"/>
  <c r="I675" i="1"/>
  <c r="I678" i="1"/>
  <c r="I679" i="1"/>
  <c r="I683" i="1"/>
  <c r="I686" i="1"/>
  <c r="I687" i="1"/>
  <c r="I691" i="1"/>
  <c r="I694" i="1"/>
  <c r="I695" i="1"/>
  <c r="I699" i="1"/>
  <c r="I702" i="1"/>
  <c r="I703" i="1"/>
  <c r="I707" i="1"/>
  <c r="I708" i="1"/>
  <c r="I709" i="1"/>
  <c r="I710" i="1"/>
  <c r="I711" i="1"/>
  <c r="I712" i="1"/>
  <c r="I713" i="1"/>
  <c r="I714" i="1"/>
  <c r="I715" i="1"/>
  <c r="I716" i="1"/>
  <c r="I717" i="1"/>
  <c r="I718" i="1"/>
  <c r="I721" i="1"/>
  <c r="I722" i="1"/>
  <c r="I723" i="1"/>
  <c r="I724" i="1"/>
  <c r="I725" i="1"/>
  <c r="I726" i="1"/>
  <c r="I727" i="1"/>
  <c r="I728" i="1"/>
  <c r="I729" i="1"/>
  <c r="I731" i="1"/>
  <c r="I732" i="1"/>
  <c r="I733" i="1"/>
  <c r="I734" i="1"/>
  <c r="I735" i="1"/>
  <c r="I736" i="1"/>
  <c r="I737" i="1"/>
  <c r="I738" i="1"/>
  <c r="I739" i="1"/>
  <c r="I740" i="1"/>
  <c r="I741" i="1"/>
  <c r="I742" i="1"/>
  <c r="I743" i="1"/>
  <c r="I744" i="1"/>
  <c r="I745" i="1"/>
  <c r="I746" i="1"/>
  <c r="I747" i="1"/>
  <c r="I748" i="1"/>
  <c r="I749" i="1"/>
  <c r="I752" i="1"/>
  <c r="I753" i="1"/>
  <c r="I754" i="1"/>
  <c r="I755" i="1"/>
  <c r="I756" i="1"/>
  <c r="I757" i="1"/>
  <c r="I758" i="1"/>
  <c r="I759" i="1"/>
  <c r="I760" i="1"/>
  <c r="I761" i="1"/>
  <c r="I762" i="1"/>
  <c r="I763" i="1"/>
  <c r="I764" i="1"/>
  <c r="I765" i="1"/>
  <c r="I766" i="1"/>
  <c r="I767" i="1"/>
  <c r="I768" i="1"/>
  <c r="I771" i="1"/>
  <c r="I772" i="1"/>
  <c r="I773" i="1"/>
  <c r="I775" i="1"/>
  <c r="I776" i="1"/>
  <c r="I777" i="1"/>
  <c r="I778" i="1"/>
  <c r="I779" i="1"/>
  <c r="I781" i="1"/>
  <c r="I783" i="1"/>
  <c r="I789" i="1"/>
  <c r="I791" i="1"/>
  <c r="I794" i="1"/>
  <c r="I795" i="1"/>
  <c r="I796" i="1"/>
  <c r="I797" i="1"/>
  <c r="I798" i="1"/>
  <c r="I801" i="1"/>
  <c r="I803" i="1"/>
  <c r="I804" i="1"/>
  <c r="I805" i="1"/>
  <c r="I806" i="1"/>
  <c r="I807" i="1"/>
  <c r="I808" i="1"/>
  <c r="I809" i="1"/>
  <c r="I810" i="1"/>
  <c r="I813" i="1"/>
  <c r="I814" i="1"/>
  <c r="I815" i="1"/>
  <c r="I816" i="1"/>
  <c r="I817" i="1"/>
  <c r="I818" i="1"/>
  <c r="I821" i="1"/>
  <c r="I822" i="1"/>
  <c r="I825" i="1"/>
  <c r="I826" i="1"/>
  <c r="I827" i="1"/>
  <c r="I828" i="1"/>
  <c r="I829" i="1"/>
  <c r="I832" i="1"/>
  <c r="I833" i="1"/>
  <c r="I834" i="1"/>
  <c r="I837" i="1"/>
  <c r="I838" i="1"/>
  <c r="I839" i="1"/>
  <c r="I840" i="1"/>
  <c r="I841" i="1"/>
  <c r="I844" i="1"/>
  <c r="I845" i="1"/>
  <c r="I846" i="1"/>
  <c r="I847" i="1"/>
  <c r="I848" i="1"/>
  <c r="I851" i="1"/>
  <c r="I852" i="1"/>
  <c r="I853" i="1"/>
  <c r="I854" i="1"/>
  <c r="I855" i="1"/>
  <c r="I856" i="1"/>
  <c r="I859" i="1"/>
  <c r="I860" i="1"/>
  <c r="I861" i="1"/>
  <c r="I862" i="1"/>
  <c r="I863" i="1"/>
  <c r="I864" i="1"/>
  <c r="I865" i="1"/>
  <c r="I868" i="1"/>
  <c r="I869" i="1"/>
  <c r="I870" i="1"/>
  <c r="I871" i="1"/>
  <c r="I874" i="1"/>
  <c r="I875" i="1"/>
  <c r="I876" i="1"/>
  <c r="I877" i="1"/>
  <c r="I880" i="1"/>
  <c r="I881" i="1"/>
  <c r="I882" i="1"/>
  <c r="I883" i="1"/>
  <c r="I889" i="1"/>
  <c r="I890" i="1"/>
  <c r="I893" i="1"/>
  <c r="I894" i="1"/>
  <c r="I895" i="1"/>
  <c r="I896" i="1"/>
  <c r="I897" i="1"/>
  <c r="I898" i="1"/>
  <c r="I899" i="1"/>
  <c r="I900" i="1"/>
  <c r="I903" i="1"/>
  <c r="I905" i="1"/>
  <c r="I906" i="1"/>
  <c r="I907" i="1"/>
  <c r="I908" i="1"/>
  <c r="I909" i="1"/>
  <c r="I910" i="1"/>
  <c r="I916" i="1"/>
  <c r="I917" i="1"/>
  <c r="I922" i="1"/>
  <c r="I923" i="1"/>
  <c r="I924" i="1"/>
  <c r="I925" i="1"/>
  <c r="I926" i="1"/>
  <c r="I933" i="1"/>
  <c r="I934" i="1"/>
  <c r="I935" i="1"/>
  <c r="I936" i="1"/>
  <c r="I937" i="1"/>
  <c r="I938" i="1"/>
  <c r="I946" i="1"/>
  <c r="I948" i="1"/>
  <c r="I949" i="1"/>
  <c r="I950" i="1"/>
  <c r="I956" i="1"/>
  <c r="I957" i="1"/>
  <c r="I960" i="1"/>
  <c r="I962" i="1"/>
  <c r="I963" i="1"/>
  <c r="I964" i="1"/>
  <c r="I965" i="1"/>
  <c r="I968" i="1"/>
  <c r="I969" i="1"/>
  <c r="I970" i="1"/>
  <c r="I971" i="1"/>
  <c r="I972" i="1"/>
  <c r="I973" i="1"/>
  <c r="I974" i="1"/>
  <c r="I975" i="1"/>
  <c r="I976" i="1"/>
  <c r="I977" i="1"/>
  <c r="I980" i="1"/>
  <c r="I981" i="1"/>
  <c r="I982" i="1"/>
  <c r="I983" i="1"/>
  <c r="I984" i="1"/>
  <c r="I985" i="1"/>
  <c r="I986" i="1"/>
  <c r="I987" i="1"/>
  <c r="I988" i="1"/>
  <c r="I989" i="1"/>
  <c r="I990" i="1"/>
  <c r="I991" i="1"/>
  <c r="I992" i="1"/>
  <c r="I993" i="1"/>
  <c r="I994" i="1"/>
  <c r="I995" i="1"/>
  <c r="I996" i="1"/>
  <c r="I999" i="1"/>
  <c r="I1000" i="1"/>
  <c r="I1001" i="1"/>
  <c r="I1002" i="1"/>
  <c r="I1003" i="1"/>
  <c r="I1006" i="1"/>
  <c r="I1007" i="1"/>
  <c r="I1008" i="1"/>
  <c r="I1009" i="1"/>
  <c r="I1010" i="1"/>
  <c r="I1011" i="1"/>
  <c r="I1012" i="1"/>
  <c r="I1013" i="1"/>
  <c r="I1014" i="1"/>
  <c r="I1015" i="1"/>
  <c r="I1018" i="1"/>
  <c r="I1019" i="1"/>
  <c r="I1020" i="1"/>
  <c r="I1021" i="1"/>
  <c r="I1022"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6" i="1"/>
  <c r="I1057" i="1"/>
  <c r="I1058" i="1"/>
  <c r="I1059" i="1"/>
  <c r="I1060" i="1"/>
  <c r="I1063" i="1"/>
  <c r="I1064" i="1"/>
  <c r="I1065" i="1"/>
  <c r="I1066" i="1"/>
  <c r="I1067" i="1"/>
  <c r="I1068" i="1"/>
  <c r="I1069" i="1"/>
  <c r="I1070" i="1"/>
  <c r="I1071" i="1"/>
  <c r="I1072" i="1"/>
  <c r="I1075" i="1"/>
  <c r="I1076" i="1"/>
  <c r="I1077" i="1"/>
  <c r="I1078" i="1"/>
  <c r="I1079" i="1"/>
  <c r="I1082" i="1"/>
  <c r="I1083" i="1"/>
  <c r="I1084" i="1"/>
  <c r="I1085" i="1"/>
  <c r="I1086" i="1"/>
  <c r="I1087" i="1"/>
  <c r="I1088" i="1"/>
  <c r="I1089" i="1"/>
  <c r="I1090" i="1"/>
  <c r="I1091" i="1"/>
  <c r="I1094" i="1"/>
  <c r="I1095" i="1"/>
  <c r="I1096" i="1"/>
  <c r="I1097" i="1"/>
  <c r="I1098" i="1"/>
  <c r="I1099" i="1"/>
  <c r="I1102" i="1"/>
  <c r="I1103" i="1"/>
  <c r="I1104" i="1"/>
  <c r="I1105" i="1"/>
  <c r="I1106" i="1"/>
  <c r="I1107" i="1"/>
  <c r="I1108" i="1"/>
  <c r="I1109" i="1"/>
  <c r="I1110" i="1"/>
  <c r="I1111" i="1"/>
  <c r="I1114" i="1"/>
  <c r="I1115" i="1"/>
  <c r="I1116" i="1"/>
  <c r="I1117" i="1"/>
  <c r="I1118" i="1"/>
  <c r="I1119" i="1"/>
  <c r="I1122" i="1"/>
  <c r="I1123" i="1"/>
  <c r="I1124" i="1"/>
  <c r="I1125" i="1"/>
  <c r="I1126" i="1"/>
  <c r="I1127" i="1"/>
  <c r="I1128" i="1"/>
  <c r="I1129" i="1"/>
  <c r="I1130" i="1"/>
  <c r="I1131" i="1"/>
  <c r="I1132" i="1"/>
  <c r="I1133" i="1"/>
  <c r="I1134" i="1"/>
  <c r="I1135" i="1"/>
  <c r="I1136" i="1"/>
  <c r="I1137" i="1"/>
  <c r="I1138" i="1"/>
  <c r="I1141" i="1"/>
  <c r="I1142" i="1"/>
  <c r="I1143" i="1"/>
  <c r="I1144" i="1"/>
  <c r="I1145" i="1"/>
  <c r="I1146" i="1"/>
  <c r="I1147" i="1"/>
  <c r="I1148" i="1"/>
  <c r="I1149" i="1"/>
  <c r="I1150" i="1"/>
  <c r="I1153" i="1"/>
  <c r="I1154" i="1"/>
  <c r="I1155" i="1"/>
  <c r="I1156" i="1"/>
  <c r="I1157" i="1"/>
  <c r="I1160" i="1"/>
  <c r="I1161" i="1"/>
  <c r="I1162" i="1"/>
  <c r="I1163" i="1"/>
  <c r="I1164" i="1"/>
  <c r="I1165" i="1"/>
  <c r="I1166" i="1"/>
  <c r="I1167" i="1"/>
  <c r="I1168" i="1"/>
  <c r="I1169" i="1"/>
  <c r="I1172" i="1"/>
  <c r="I1173" i="1"/>
  <c r="I1174" i="1"/>
  <c r="I1175" i="1"/>
  <c r="I1176" i="1"/>
  <c r="I1179" i="1"/>
  <c r="I1180" i="1"/>
  <c r="I1181" i="1"/>
  <c r="I1182" i="1"/>
  <c r="I1183" i="1"/>
  <c r="I1184" i="1"/>
  <c r="I1185" i="1"/>
  <c r="I1186" i="1"/>
  <c r="I1187" i="1"/>
  <c r="I1188" i="1"/>
  <c r="I1191" i="1"/>
  <c r="I1192" i="1"/>
  <c r="I1193" i="1"/>
  <c r="I1194" i="1"/>
  <c r="I1195" i="1"/>
  <c r="I1196" i="1"/>
  <c r="I1199" i="1"/>
  <c r="I1200" i="1"/>
  <c r="I1201" i="1"/>
  <c r="I1202" i="1"/>
  <c r="I1203" i="1"/>
  <c r="I1204" i="1"/>
  <c r="I1205" i="1"/>
  <c r="I1206" i="1"/>
  <c r="I1207" i="1"/>
  <c r="I1208" i="1"/>
  <c r="I1211" i="1"/>
  <c r="I1212" i="1"/>
  <c r="I1213" i="1"/>
  <c r="I1214" i="1"/>
  <c r="I1215" i="1"/>
  <c r="I1218" i="1"/>
  <c r="I1219" i="1"/>
  <c r="I1220" i="1"/>
  <c r="I1221" i="1"/>
  <c r="I1222" i="1"/>
  <c r="I1223" i="1"/>
  <c r="I1224" i="1"/>
  <c r="I1225" i="1"/>
  <c r="I1226" i="1"/>
  <c r="I1227" i="1"/>
  <c r="I1230" i="1"/>
  <c r="I1231" i="1"/>
  <c r="I1232" i="1"/>
  <c r="I1233" i="1"/>
  <c r="I1234" i="1"/>
  <c r="I1237" i="1"/>
  <c r="I1238" i="1"/>
  <c r="I1239" i="1"/>
  <c r="I1240" i="1"/>
  <c r="I1241" i="1"/>
  <c r="I1242" i="1"/>
  <c r="I1243" i="1"/>
  <c r="I1244" i="1"/>
  <c r="I1245" i="1"/>
  <c r="I1246" i="1"/>
  <c r="I1249" i="1"/>
  <c r="I1250" i="1"/>
  <c r="I1251" i="1"/>
  <c r="I1252" i="1"/>
  <c r="I1253" i="1"/>
  <c r="I1256" i="1"/>
  <c r="I1257" i="1"/>
  <c r="I1258" i="1"/>
  <c r="I1259" i="1"/>
  <c r="I1260" i="1"/>
  <c r="I1261" i="1"/>
  <c r="I1262" i="1"/>
  <c r="I1263" i="1"/>
  <c r="I1264" i="1"/>
  <c r="I1265"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7" i="1"/>
  <c r="I1678" i="1"/>
  <c r="I1679" i="1"/>
  <c r="I1680" i="1"/>
  <c r="I1681" i="1"/>
  <c r="I1682" i="1"/>
  <c r="I1683" i="1"/>
  <c r="I1684" i="1"/>
  <c r="I1685" i="1"/>
  <c r="I1686" i="1"/>
  <c r="I1692" i="1"/>
  <c r="I1693" i="1"/>
  <c r="I1696" i="1"/>
  <c r="I1697" i="1"/>
  <c r="I1698" i="1"/>
  <c r="I1699" i="1"/>
  <c r="I1700" i="1"/>
  <c r="I1704" i="1"/>
  <c r="I1705" i="1"/>
  <c r="I1709" i="1"/>
  <c r="I1710" i="1"/>
  <c r="I1711" i="1"/>
  <c r="I1712" i="1"/>
  <c r="I1713" i="1"/>
  <c r="I1714" i="1"/>
  <c r="I1715" i="1"/>
  <c r="I1716" i="1"/>
  <c r="I1717" i="1"/>
  <c r="I1718" i="1"/>
  <c r="I1719" i="1"/>
  <c r="I1720" i="1"/>
  <c r="I1723" i="1"/>
  <c r="I1724" i="1"/>
  <c r="I1725" i="1"/>
  <c r="I1726" i="1"/>
  <c r="I1727" i="1"/>
  <c r="I1728" i="1"/>
  <c r="I1729" i="1"/>
  <c r="I1730" i="1"/>
  <c r="I1731" i="1"/>
  <c r="I1732" i="1"/>
  <c r="I1733" i="1"/>
  <c r="I1734" i="1"/>
  <c r="I1735" i="1"/>
  <c r="I1736" i="1"/>
  <c r="I1739" i="1"/>
  <c r="I1740" i="1"/>
  <c r="I1741" i="1"/>
  <c r="I1742" i="1"/>
  <c r="I1743" i="1"/>
  <c r="I1744" i="1"/>
  <c r="I1745" i="1"/>
  <c r="I1746" i="1"/>
  <c r="I1747" i="1"/>
  <c r="I1748" i="1"/>
  <c r="I1749" i="1"/>
  <c r="I1750" i="1"/>
  <c r="I1751" i="1"/>
  <c r="I1752" i="1"/>
  <c r="I1753" i="1"/>
  <c r="I1756" i="1"/>
  <c r="I1757" i="1"/>
  <c r="I1758" i="1"/>
  <c r="I1759" i="1"/>
  <c r="I1760" i="1"/>
  <c r="I1761" i="1"/>
  <c r="I1762" i="1"/>
  <c r="I1763" i="1"/>
  <c r="I1764" i="1"/>
  <c r="I1765" i="1"/>
  <c r="I1766" i="1"/>
  <c r="I1767" i="1"/>
  <c r="I1771" i="1"/>
  <c r="I1772" i="1"/>
  <c r="I1773" i="1"/>
  <c r="I1774" i="1"/>
  <c r="I1775" i="1"/>
  <c r="I1776" i="1"/>
  <c r="I1777" i="1"/>
  <c r="I1778" i="1"/>
  <c r="I1779" i="1"/>
  <c r="I1780" i="1"/>
  <c r="I1781" i="1"/>
  <c r="I1782" i="1"/>
  <c r="I1783" i="1"/>
  <c r="I1784" i="1"/>
  <c r="I1787" i="1"/>
  <c r="I1788" i="1"/>
  <c r="I1789" i="1"/>
  <c r="I1790" i="1"/>
  <c r="I1791" i="1"/>
  <c r="I1792" i="1"/>
  <c r="I1793" i="1"/>
  <c r="I1794" i="1"/>
  <c r="I1795" i="1"/>
  <c r="I1796" i="1"/>
  <c r="I1797" i="1"/>
  <c r="I1798" i="1"/>
  <c r="I1799" i="1"/>
  <c r="I1800" i="1"/>
  <c r="I1801" i="1"/>
  <c r="I1807" i="1"/>
  <c r="I1810" i="1"/>
  <c r="I1811" i="1"/>
  <c r="I1814" i="1"/>
  <c r="I1815" i="1"/>
  <c r="I1816" i="1"/>
  <c r="I1819" i="1"/>
  <c r="I1820" i="1"/>
  <c r="I1821" i="1"/>
  <c r="I1827" i="1"/>
  <c r="I1830" i="1"/>
  <c r="I1831" i="1"/>
  <c r="I1832" i="1"/>
  <c r="I1835" i="1"/>
  <c r="I1836" i="1"/>
  <c r="I1837" i="1"/>
  <c r="I1838" i="1"/>
  <c r="I1839" i="1"/>
  <c r="I1842" i="1"/>
  <c r="I1843" i="1"/>
  <c r="I1844" i="1"/>
  <c r="I1845" i="1"/>
  <c r="I1846" i="1"/>
  <c r="I1847" i="1"/>
  <c r="I1853" i="1"/>
  <c r="I1854" i="1"/>
  <c r="I1857" i="1"/>
  <c r="I1858" i="1"/>
  <c r="I1859" i="1"/>
  <c r="I1860" i="1"/>
  <c r="I1861" i="1"/>
  <c r="I1864" i="1"/>
  <c r="I1865" i="1"/>
  <c r="I1866" i="1"/>
  <c r="I1867" i="1"/>
  <c r="I1868" i="1"/>
  <c r="I1869" i="1"/>
  <c r="I1871" i="1"/>
  <c r="I1872" i="1"/>
  <c r="I1873" i="1"/>
  <c r="I1876" i="1"/>
  <c r="I1877" i="1"/>
  <c r="I1878" i="1"/>
  <c r="I1879" i="1"/>
  <c r="I1880" i="1"/>
  <c r="I1881" i="1"/>
  <c r="I1884" i="1"/>
  <c r="I1885" i="1"/>
  <c r="I1886" i="1"/>
  <c r="I1887" i="1"/>
  <c r="I1888" i="1"/>
  <c r="I1891" i="1"/>
  <c r="I1892" i="1"/>
  <c r="I1893" i="1"/>
  <c r="I1894" i="1"/>
  <c r="I1897" i="1"/>
  <c r="I1898" i="1"/>
  <c r="I1899" i="1"/>
  <c r="I1900" i="1"/>
  <c r="I1901" i="1"/>
  <c r="I1902" i="1"/>
  <c r="I1903" i="1"/>
  <c r="I1904" i="1"/>
  <c r="I1905" i="1"/>
  <c r="I1908" i="1"/>
  <c r="I1909" i="1"/>
  <c r="I1910" i="1"/>
  <c r="I1911" i="1"/>
  <c r="I1912" i="1"/>
  <c r="I1913" i="1"/>
  <c r="I1914" i="1"/>
  <c r="I1915" i="1"/>
  <c r="I1918" i="1"/>
  <c r="I1919" i="1"/>
  <c r="I1920" i="1"/>
  <c r="I1921" i="1"/>
  <c r="I1922" i="1"/>
  <c r="I1923" i="1"/>
  <c r="I1924" i="1"/>
  <c r="I1925" i="1"/>
  <c r="I1926" i="1"/>
  <c r="I1929" i="1"/>
  <c r="I1930" i="1"/>
  <c r="I1931" i="1"/>
  <c r="I1932" i="1"/>
  <c r="I1933" i="1"/>
  <c r="I1934" i="1"/>
  <c r="I1935" i="1"/>
  <c r="I1936" i="1"/>
  <c r="I1937" i="1"/>
  <c r="I1943" i="1"/>
  <c r="I1944" i="1"/>
  <c r="I1948" i="1"/>
  <c r="I1949" i="1"/>
  <c r="I1950" i="1"/>
  <c r="I1951" i="1"/>
  <c r="I1952" i="1"/>
  <c r="I1953" i="1"/>
  <c r="I1954" i="1"/>
  <c r="I1955" i="1"/>
  <c r="I1956" i="1"/>
  <c r="I1957" i="1"/>
  <c r="I1958" i="1"/>
  <c r="I1959" i="1"/>
  <c r="I1962" i="1"/>
  <c r="I1963" i="1"/>
  <c r="I1964" i="1"/>
  <c r="I1965" i="1"/>
  <c r="I1966" i="1"/>
  <c r="I1967" i="1"/>
  <c r="I1968" i="1"/>
  <c r="I1969" i="1"/>
  <c r="I1970" i="1"/>
  <c r="I1973" i="1"/>
  <c r="I1974" i="1"/>
  <c r="I1975" i="1"/>
  <c r="I1976" i="1"/>
  <c r="I1977" i="1"/>
  <c r="I1978" i="1"/>
  <c r="I1979" i="1"/>
  <c r="I1980" i="1"/>
  <c r="I1981" i="1"/>
  <c r="I1985" i="1"/>
  <c r="I1986" i="1"/>
  <c r="I1987" i="1"/>
  <c r="I1988" i="1"/>
  <c r="I1989" i="1"/>
  <c r="I1990" i="1"/>
  <c r="I1991" i="1"/>
  <c r="I1994" i="1"/>
  <c r="I1995" i="1"/>
  <c r="I1996" i="1"/>
  <c r="I1997" i="1"/>
  <c r="I1998" i="1"/>
  <c r="I1999" i="1"/>
  <c r="I2000" i="1"/>
  <c r="I2001" i="1"/>
  <c r="I2002" i="1"/>
  <c r="I2003" i="1"/>
  <c r="I2004" i="1"/>
  <c r="I2007" i="1"/>
  <c r="I2008" i="1"/>
  <c r="I2009" i="1"/>
  <c r="I2010" i="1"/>
  <c r="I2011" i="1"/>
  <c r="I2012" i="1"/>
  <c r="I2013" i="1"/>
  <c r="I2014" i="1"/>
  <c r="I2015" i="1"/>
  <c r="I2018" i="1"/>
  <c r="I2019" i="1"/>
  <c r="I2020" i="1"/>
  <c r="I2021" i="1"/>
  <c r="I2022" i="1"/>
  <c r="I2023" i="1"/>
  <c r="I2024" i="1"/>
  <c r="I2025" i="1"/>
  <c r="I2026" i="1"/>
  <c r="I2030" i="1"/>
  <c r="I2027" i="1"/>
  <c r="I2031" i="1"/>
  <c r="I2032" i="1"/>
  <c r="I2033" i="1"/>
  <c r="I2034" i="1"/>
  <c r="I2035" i="1"/>
  <c r="I2036" i="1"/>
  <c r="I2039" i="1"/>
  <c r="I2040" i="1"/>
  <c r="I2041" i="1"/>
  <c r="I2042" i="1"/>
  <c r="I2043" i="1"/>
  <c r="I2044" i="1"/>
  <c r="I2045" i="1"/>
  <c r="I2046" i="1"/>
  <c r="I2050" i="1"/>
  <c r="I2047" i="1"/>
  <c r="I2051" i="1"/>
  <c r="I2052" i="1"/>
  <c r="I2053" i="1"/>
  <c r="I2054" i="1"/>
  <c r="I2055" i="1"/>
  <c r="I2056" i="1"/>
  <c r="I2059" i="1"/>
  <c r="I2060" i="1"/>
  <c r="I2061" i="1"/>
  <c r="I2062" i="1"/>
  <c r="I2063" i="1"/>
  <c r="I2064" i="1"/>
  <c r="I2065" i="1"/>
  <c r="I2066" i="1"/>
  <c r="I2070" i="1"/>
  <c r="I2067" i="1"/>
  <c r="I2071" i="1"/>
  <c r="I2072" i="1"/>
  <c r="I2073" i="1"/>
  <c r="I2074" i="1"/>
  <c r="I2075" i="1"/>
  <c r="I2076" i="1"/>
  <c r="I2081" i="1"/>
  <c r="I2077" i="1"/>
  <c r="I2078" i="1"/>
  <c r="I2082" i="1"/>
  <c r="I2083" i="1"/>
  <c r="I2084" i="1"/>
  <c r="I2085" i="1"/>
  <c r="I2086" i="1"/>
  <c r="I2087" i="1"/>
  <c r="I2088" i="1"/>
  <c r="I2089" i="1"/>
  <c r="I2095" i="1"/>
  <c r="I2096" i="1"/>
  <c r="I2099" i="1"/>
  <c r="I2100" i="1"/>
  <c r="I2103" i="1"/>
  <c r="I2104" i="1"/>
  <c r="I2105" i="1"/>
  <c r="I2106" i="1"/>
  <c r="I2107" i="1"/>
  <c r="I2108" i="1"/>
  <c r="I2109" i="1"/>
  <c r="I2110" i="1"/>
  <c r="I2111" i="1"/>
  <c r="I2112" i="1"/>
  <c r="I2113" i="1"/>
  <c r="I2114" i="1"/>
  <c r="I2115" i="1"/>
  <c r="I2118" i="1"/>
  <c r="I2119" i="1"/>
  <c r="I2120" i="1"/>
  <c r="I2121" i="1"/>
  <c r="I2122" i="1"/>
  <c r="I2125" i="1"/>
  <c r="I2126" i="1"/>
  <c r="I2127" i="1"/>
  <c r="I2128" i="1"/>
  <c r="I2129" i="1"/>
  <c r="I2133" i="1"/>
  <c r="I2134" i="1"/>
  <c r="I2135" i="1"/>
  <c r="I2136" i="1"/>
  <c r="I2139" i="1"/>
  <c r="I2140" i="1"/>
  <c r="I2143" i="1"/>
  <c r="I2144" i="1"/>
  <c r="I2147" i="1"/>
  <c r="I2148" i="1"/>
  <c r="I2151" i="1"/>
  <c r="I2152" i="1"/>
  <c r="I2155" i="1"/>
  <c r="I2156" i="1"/>
  <c r="I2159" i="1"/>
  <c r="I2160" i="1"/>
  <c r="I2163" i="1"/>
  <c r="I2164" i="1"/>
  <c r="I2167" i="1"/>
  <c r="I2168" i="1"/>
  <c r="I2171" i="1"/>
  <c r="I2172" i="1"/>
  <c r="I2175" i="1"/>
  <c r="I2176" i="1"/>
  <c r="I2179" i="1"/>
  <c r="I2180" i="1"/>
  <c r="I2183" i="1"/>
  <c r="I2184" i="1"/>
  <c r="I2187" i="1"/>
  <c r="I2188" i="1"/>
  <c r="I2191" i="1"/>
  <c r="I2192" i="1"/>
  <c r="I2195" i="1"/>
  <c r="I2196" i="1"/>
  <c r="I2199" i="1"/>
  <c r="I2200" i="1"/>
  <c r="I2203" i="1"/>
  <c r="I2204" i="1"/>
  <c r="I2207" i="1"/>
  <c r="I2208" i="1"/>
  <c r="I2211" i="1"/>
  <c r="I2212" i="1"/>
  <c r="I2217" i="1"/>
  <c r="I2218" i="1"/>
  <c r="I2219" i="1"/>
  <c r="I2222" i="1"/>
  <c r="I2223" i="1"/>
  <c r="I2226" i="1"/>
  <c r="I2227" i="1"/>
  <c r="I2230" i="1"/>
  <c r="I2231" i="1"/>
  <c r="I2234" i="1"/>
  <c r="I2235" i="1"/>
  <c r="I2238" i="1"/>
  <c r="I2239" i="1"/>
  <c r="I2242" i="1"/>
  <c r="I2243" i="1"/>
  <c r="I2247" i="1"/>
  <c r="I2250" i="1"/>
  <c r="I2251" i="1"/>
  <c r="I2254" i="1"/>
  <c r="I2255" i="1"/>
  <c r="I2258" i="1"/>
  <c r="I2259" i="1"/>
  <c r="I2262" i="1"/>
  <c r="I2263" i="1"/>
  <c r="I2268" i="1"/>
  <c r="I2269" i="1"/>
  <c r="I2270" i="1"/>
  <c r="I2273" i="1"/>
  <c r="I2274" i="1"/>
  <c r="I2277" i="1"/>
  <c r="I2278" i="1"/>
  <c r="I2281" i="1"/>
  <c r="I2282" i="1"/>
  <c r="I2287" i="1"/>
  <c r="I2288" i="1"/>
  <c r="I2289" i="1"/>
  <c r="I2292" i="1"/>
  <c r="I2293" i="1"/>
  <c r="I2296" i="1"/>
  <c r="I2297" i="1"/>
  <c r="I2300" i="1"/>
  <c r="I2301" i="1"/>
  <c r="I2304" i="1"/>
  <c r="I2305" i="1"/>
  <c r="I2308" i="1"/>
  <c r="I2309" i="1"/>
  <c r="I2312" i="1"/>
  <c r="I2313" i="1"/>
  <c r="I2316" i="1"/>
  <c r="I2317" i="1"/>
  <c r="I2318" i="1"/>
  <c r="I2323" i="1"/>
  <c r="I2324" i="1"/>
  <c r="I2325" i="1"/>
  <c r="I2328" i="1"/>
  <c r="I2329" i="1"/>
  <c r="I2332" i="1"/>
  <c r="I2333" i="1"/>
  <c r="I2337" i="1"/>
  <c r="I2340" i="1"/>
  <c r="I2341" i="1"/>
  <c r="I2344" i="1"/>
  <c r="I2345" i="1"/>
  <c r="I2348" i="1"/>
  <c r="I2349" i="1"/>
  <c r="I2352" i="1"/>
  <c r="I2353" i="1"/>
  <c r="I2356" i="1"/>
  <c r="I2357" i="1"/>
  <c r="I2360" i="1"/>
  <c r="I2361" i="1"/>
  <c r="I2364" i="1"/>
  <c r="I2365" i="1"/>
  <c r="I2368" i="1"/>
  <c r="I2369" i="1"/>
  <c r="I2372" i="1"/>
  <c r="I2373" i="1"/>
  <c r="I2376" i="1"/>
  <c r="I2377" i="1"/>
  <c r="I2382" i="1"/>
  <c r="I2383" i="1"/>
  <c r="I2384" i="1"/>
  <c r="I2387" i="1"/>
  <c r="I2388" i="1"/>
  <c r="I2391" i="1"/>
  <c r="I2392" i="1"/>
  <c r="I2395" i="1"/>
  <c r="I2396" i="1"/>
  <c r="I2399" i="1"/>
  <c r="I2400" i="1"/>
  <c r="I2403" i="1"/>
  <c r="I2404" i="1"/>
  <c r="I2407" i="1"/>
  <c r="I2408" i="1"/>
  <c r="I2411" i="1"/>
  <c r="I2412" i="1"/>
  <c r="I2415" i="1"/>
  <c r="I2416" i="1"/>
  <c r="I2419" i="1"/>
  <c r="I2420" i="1"/>
  <c r="I2423" i="1"/>
  <c r="I2424" i="1"/>
  <c r="I2427" i="1"/>
  <c r="I2428" i="1"/>
  <c r="I2431" i="1"/>
  <c r="I2432" i="1"/>
  <c r="I2435" i="1"/>
  <c r="I2436" i="1"/>
  <c r="I2439" i="1"/>
  <c r="I2440" i="1"/>
  <c r="I2443" i="1"/>
  <c r="I2444" i="1"/>
  <c r="I2448" i="1"/>
  <c r="I2451" i="1"/>
  <c r="I2452" i="1"/>
  <c r="I2455" i="1"/>
  <c r="I2456" i="1"/>
  <c r="I2459" i="1"/>
  <c r="I2460" i="1"/>
  <c r="I2465" i="1"/>
  <c r="I2466" i="1"/>
  <c r="I2467" i="1"/>
  <c r="I2470" i="1"/>
  <c r="I2471" i="1"/>
  <c r="I2475" i="1"/>
  <c r="I2478" i="1"/>
  <c r="I2479" i="1"/>
  <c r="I2482" i="1"/>
  <c r="I2483" i="1"/>
  <c r="I2486" i="1"/>
  <c r="I2487" i="1"/>
  <c r="I2490" i="1"/>
  <c r="I2491" i="1"/>
  <c r="I2494" i="1"/>
  <c r="I2495" i="1"/>
  <c r="I2498" i="1"/>
  <c r="I2499" i="1"/>
  <c r="I2502" i="1"/>
  <c r="I2503" i="1"/>
  <c r="I2507" i="1"/>
  <c r="I2508" i="1"/>
  <c r="I2509" i="1"/>
  <c r="I2510" i="1"/>
  <c r="I2511" i="1"/>
  <c r="I2512" i="1"/>
  <c r="I2513" i="1"/>
  <c r="I2514" i="1"/>
  <c r="I2515" i="1"/>
  <c r="I2516" i="1"/>
  <c r="I2523" i="1"/>
  <c r="I2524" i="1"/>
  <c r="I2527" i="1"/>
  <c r="I2528" i="1"/>
  <c r="I126" i="1"/>
  <c r="I114" i="1"/>
  <c r="I115" i="1"/>
  <c r="I116" i="1"/>
  <c r="I117" i="1"/>
  <c r="I118" i="1"/>
  <c r="I119" i="1"/>
  <c r="I120" i="1"/>
  <c r="I121" i="1"/>
  <c r="I123" i="1"/>
  <c r="I113" i="1"/>
  <c r="H110" i="1"/>
  <c r="H108" i="1"/>
  <c r="H106" i="1"/>
  <c r="H105" i="1"/>
  <c r="H109" i="1"/>
  <c r="H107" i="1"/>
  <c r="I105" i="1"/>
  <c r="I106" i="1"/>
  <c r="I107" i="1"/>
  <c r="I108" i="1"/>
  <c r="I109" i="1"/>
  <c r="I110" i="1"/>
  <c r="I104" i="1"/>
  <c r="H101" i="1"/>
  <c r="H100" i="1"/>
  <c r="H99" i="1"/>
  <c r="H98" i="1"/>
  <c r="H97" i="1"/>
  <c r="H96" i="1"/>
  <c r="H95" i="1"/>
  <c r="H94" i="1"/>
  <c r="I94" i="1"/>
  <c r="I95" i="1"/>
  <c r="I96" i="1"/>
  <c r="I97" i="1"/>
  <c r="I98" i="1"/>
  <c r="I99" i="1"/>
  <c r="I100" i="1"/>
  <c r="I101" i="1"/>
  <c r="I88" i="1"/>
  <c r="I89" i="1"/>
  <c r="I90" i="1"/>
  <c r="I91" i="1"/>
  <c r="I92" i="1"/>
  <c r="I93" i="1"/>
  <c r="I87" i="1"/>
  <c r="H81" i="1"/>
  <c r="H84" i="1"/>
  <c r="H80" i="1"/>
  <c r="I81" i="1"/>
  <c r="I82" i="1"/>
  <c r="I83" i="1"/>
  <c r="I84" i="1"/>
  <c r="I80" i="1"/>
  <c r="H74" i="1"/>
  <c r="H75" i="1"/>
  <c r="H77" i="1"/>
  <c r="H73" i="1"/>
  <c r="I74" i="1"/>
  <c r="I75" i="1"/>
  <c r="I76" i="1"/>
  <c r="I77" i="1"/>
  <c r="I73" i="1"/>
  <c r="I70" i="1"/>
  <c r="I69" i="1"/>
  <c r="I68" i="1"/>
  <c r="H63" i="1"/>
  <c r="I63" i="1"/>
  <c r="H61" i="1"/>
  <c r="H56" i="1"/>
  <c r="H54" i="1"/>
  <c r="I54" i="1"/>
  <c r="H51" i="1"/>
  <c r="H50" i="1"/>
  <c r="H49" i="1"/>
  <c r="H43" i="1"/>
  <c r="H44" i="1"/>
  <c r="H42" i="1"/>
  <c r="H39" i="1"/>
  <c r="H36" i="1"/>
  <c r="H35" i="1"/>
  <c r="H34" i="1"/>
  <c r="H3" i="1"/>
  <c r="H12" i="1"/>
  <c r="H14" i="1"/>
  <c r="H15" i="1"/>
  <c r="H16" i="1"/>
  <c r="H2" i="1"/>
  <c r="L915" i="1" l="1"/>
  <c r="L914" i="1"/>
  <c r="L911" i="1"/>
  <c r="L867" i="1" l="1"/>
  <c r="L866" i="1"/>
  <c r="N115" i="1" l="1"/>
  <c r="N116" i="1"/>
  <c r="N117" i="1"/>
  <c r="N118" i="1"/>
  <c r="N119" i="1"/>
  <c r="N120" i="1"/>
  <c r="L236" i="1"/>
  <c r="L235" i="1"/>
  <c r="L831" i="1"/>
  <c r="L830" i="1"/>
  <c r="L819" i="1"/>
  <c r="L820" i="1"/>
  <c r="B2" i="3"/>
  <c r="L202" i="1"/>
  <c r="L1950" i="1"/>
  <c r="L1949" i="1"/>
  <c r="L1784" i="1"/>
  <c r="L1767" i="1"/>
  <c r="L1753" i="1"/>
  <c r="L1736" i="1"/>
  <c r="L817" i="1"/>
  <c r="L201" i="1"/>
  <c r="L200" i="1"/>
  <c r="N200" i="1"/>
  <c r="L130" i="1"/>
  <c r="L131" i="1"/>
  <c r="L102" i="1"/>
  <c r="L93" i="1"/>
  <c r="L92" i="1"/>
  <c r="L91" i="1"/>
  <c r="L90" i="1"/>
  <c r="L88" i="1"/>
  <c r="L1870" i="1"/>
  <c r="C2" i="3"/>
  <c r="A2" i="3" s="1"/>
  <c r="L1272" i="1"/>
  <c r="L1271" i="1"/>
  <c r="L1270" i="1"/>
  <c r="L1269" i="1"/>
  <c r="L1285" i="1"/>
  <c r="L1284" i="1"/>
  <c r="L1283" i="1"/>
  <c r="L1282" i="1"/>
  <c r="L1281" i="1"/>
  <c r="L1280" i="1"/>
  <c r="L1279" i="1"/>
  <c r="L1278" i="1"/>
  <c r="L1277" i="1"/>
  <c r="L1276" i="1"/>
  <c r="L1275" i="1"/>
  <c r="L1274" i="1"/>
  <c r="L82" i="1"/>
  <c r="F9" i="1"/>
  <c r="C2077" i="1"/>
  <c r="E2077" i="1" s="1"/>
  <c r="N2077" i="1" s="1"/>
  <c r="C2078" i="1"/>
  <c r="E2078" i="1" s="1"/>
  <c r="N2078" i="1" s="1"/>
  <c r="C2082" i="1"/>
  <c r="E2082" i="1" s="1"/>
  <c r="N2082" i="1" s="1"/>
  <c r="C2083" i="1"/>
  <c r="E2083" i="1" s="1"/>
  <c r="N2083" i="1" s="1"/>
  <c r="C2084" i="1"/>
  <c r="E2084" i="1" s="1"/>
  <c r="N2084" i="1" s="1"/>
  <c r="C2085" i="1"/>
  <c r="E2085" i="1" s="1"/>
  <c r="N2085" i="1" s="1"/>
  <c r="C2086" i="1"/>
  <c r="E2086" i="1" s="1"/>
  <c r="N2086" i="1" s="1"/>
  <c r="C2087" i="1"/>
  <c r="E2087" i="1" s="1"/>
  <c r="N2087" i="1" s="1"/>
  <c r="C2088" i="1"/>
  <c r="E2088" i="1" s="1"/>
  <c r="N2088" i="1" s="1"/>
  <c r="C2089" i="1"/>
  <c r="E2089" i="1" s="1"/>
  <c r="N2089" i="1" s="1"/>
  <c r="C2071" i="1"/>
  <c r="E2071" i="1" s="1"/>
  <c r="N2071" i="1" s="1"/>
  <c r="C2072" i="1"/>
  <c r="E2072" i="1" s="1"/>
  <c r="N2072" i="1" s="1"/>
  <c r="C2073" i="1"/>
  <c r="E2073" i="1" s="1"/>
  <c r="N2073" i="1" s="1"/>
  <c r="C2074" i="1"/>
  <c r="E2074" i="1" s="1"/>
  <c r="N2074" i="1" s="1"/>
  <c r="C2075" i="1"/>
  <c r="E2075" i="1" s="1"/>
  <c r="N2075" i="1" s="1"/>
  <c r="C2076" i="1"/>
  <c r="E2076" i="1" s="1"/>
  <c r="N2076" i="1" s="1"/>
  <c r="C2067" i="1"/>
  <c r="E2067" i="1" s="1"/>
  <c r="N2067" i="1" s="1"/>
  <c r="C2061" i="1"/>
  <c r="E2061" i="1" s="1"/>
  <c r="N2061" i="1" s="1"/>
  <c r="C2062" i="1"/>
  <c r="E2062" i="1" s="1"/>
  <c r="N2062" i="1" s="1"/>
  <c r="C2063" i="1"/>
  <c r="C2064" i="1"/>
  <c r="E2064" i="1" s="1"/>
  <c r="N2064" i="1" s="1"/>
  <c r="C2065" i="1"/>
  <c r="E2065" i="1" s="1"/>
  <c r="N2065" i="1" s="1"/>
  <c r="C2066" i="1"/>
  <c r="E2066" i="1" s="1"/>
  <c r="N2066" i="1" s="1"/>
  <c r="C2060" i="1"/>
  <c r="C2051" i="1"/>
  <c r="E2051" i="1" s="1"/>
  <c r="N2051" i="1" s="1"/>
  <c r="C2052" i="1"/>
  <c r="E2052" i="1" s="1"/>
  <c r="N2052" i="1" s="1"/>
  <c r="C2053" i="1"/>
  <c r="E2053" i="1" s="1"/>
  <c r="N2053" i="1" s="1"/>
  <c r="C2054" i="1"/>
  <c r="E2054" i="1" s="1"/>
  <c r="N2054" i="1" s="1"/>
  <c r="C2055" i="1"/>
  <c r="E2055" i="1" s="1"/>
  <c r="N2055" i="1" s="1"/>
  <c r="C2056" i="1"/>
  <c r="E2056" i="1" s="1"/>
  <c r="N2056" i="1" s="1"/>
  <c r="C2047" i="1"/>
  <c r="E2047" i="1" s="1"/>
  <c r="N2047" i="1" s="1"/>
  <c r="C2041" i="1"/>
  <c r="C2042" i="1"/>
  <c r="E2042" i="1" s="1"/>
  <c r="N2042" i="1" s="1"/>
  <c r="C2043" i="1"/>
  <c r="E2043" i="1" s="1"/>
  <c r="N2043" i="1" s="1"/>
  <c r="C2044" i="1"/>
  <c r="E2044" i="1" s="1"/>
  <c r="N2044" i="1" s="1"/>
  <c r="C2045" i="1"/>
  <c r="E2045" i="1" s="1"/>
  <c r="N2045" i="1" s="1"/>
  <c r="C2046" i="1"/>
  <c r="E2046" i="1" s="1"/>
  <c r="N2046" i="1" s="1"/>
  <c r="C2040" i="1"/>
  <c r="E2040" i="1" s="1"/>
  <c r="N2040" i="1" s="1"/>
  <c r="C2031" i="1"/>
  <c r="E2031" i="1" s="1"/>
  <c r="N2031" i="1" s="1"/>
  <c r="C2032" i="1"/>
  <c r="E2032" i="1" s="1"/>
  <c r="N2032" i="1" s="1"/>
  <c r="C2033" i="1"/>
  <c r="E2033" i="1" s="1"/>
  <c r="N2033" i="1" s="1"/>
  <c r="C2034" i="1"/>
  <c r="E2034" i="1" s="1"/>
  <c r="N2034" i="1" s="1"/>
  <c r="C2035" i="1"/>
  <c r="E2035" i="1" s="1"/>
  <c r="N2035" i="1" s="1"/>
  <c r="C2036" i="1"/>
  <c r="E2036" i="1" s="1"/>
  <c r="N2036" i="1" s="1"/>
  <c r="C2027" i="1"/>
  <c r="E2027" i="1" s="1"/>
  <c r="N2027" i="1" s="1"/>
  <c r="C2023" i="1"/>
  <c r="E2023" i="1" s="1"/>
  <c r="C2024" i="1"/>
  <c r="E2024" i="1" s="1"/>
  <c r="C2025" i="1"/>
  <c r="C2026" i="1"/>
  <c r="E2026" i="1" s="1"/>
  <c r="C2022" i="1"/>
  <c r="L2022" i="1" s="1"/>
  <c r="C2012" i="1"/>
  <c r="E2012" i="1" s="1"/>
  <c r="C2013" i="1"/>
  <c r="E2013" i="1" s="1"/>
  <c r="C2014" i="1"/>
  <c r="E2014" i="1" s="1"/>
  <c r="C2015" i="1"/>
  <c r="E2015" i="1" s="1"/>
  <c r="C2011" i="1"/>
  <c r="E2011" i="1" s="1"/>
  <c r="C2000" i="1"/>
  <c r="E2000" i="1" s="1"/>
  <c r="C1999" i="1"/>
  <c r="E1999" i="1" s="1"/>
  <c r="C2001" i="1"/>
  <c r="E2001" i="1" s="1"/>
  <c r="C2002" i="1"/>
  <c r="C2003" i="1"/>
  <c r="E2003" i="1" s="1"/>
  <c r="C2004" i="1"/>
  <c r="E2004" i="1" s="1"/>
  <c r="C1998" i="1"/>
  <c r="E1998" i="1" s="1"/>
  <c r="C1990" i="1"/>
  <c r="C1991" i="1"/>
  <c r="E1991" i="1" s="1"/>
  <c r="C1989" i="1"/>
  <c r="E1989" i="1" s="1"/>
  <c r="C1975" i="1"/>
  <c r="E1975" i="1" s="1"/>
  <c r="C1976" i="1"/>
  <c r="E1976" i="1" s="1"/>
  <c r="C1977" i="1"/>
  <c r="E1977" i="1" s="1"/>
  <c r="C1978" i="1"/>
  <c r="E1978" i="1" s="1"/>
  <c r="C1979" i="1"/>
  <c r="E1979" i="1" s="1"/>
  <c r="C1980" i="1"/>
  <c r="E1980" i="1" s="1"/>
  <c r="C1981" i="1"/>
  <c r="E1981" i="1" s="1"/>
  <c r="C1974" i="1"/>
  <c r="E1974" i="1" s="1"/>
  <c r="C1964" i="1"/>
  <c r="E1964" i="1" s="1"/>
  <c r="C1965" i="1"/>
  <c r="E1965" i="1" s="1"/>
  <c r="C1966" i="1"/>
  <c r="E1966" i="1" s="1"/>
  <c r="C1967" i="1"/>
  <c r="E1967" i="1" s="1"/>
  <c r="C1968" i="1"/>
  <c r="E1968" i="1" s="1"/>
  <c r="C1969" i="1"/>
  <c r="E1969" i="1" s="1"/>
  <c r="C1970" i="1"/>
  <c r="E1970" i="1" s="1"/>
  <c r="C1963" i="1"/>
  <c r="E1963" i="1" s="1"/>
  <c r="C1953" i="1"/>
  <c r="L1953" i="1" s="1"/>
  <c r="C1954" i="1"/>
  <c r="E1954" i="1" s="1"/>
  <c r="C1955" i="1"/>
  <c r="E1955" i="1" s="1"/>
  <c r="C1956" i="1"/>
  <c r="E1956" i="1" s="1"/>
  <c r="C1957" i="1"/>
  <c r="E1957" i="1" s="1"/>
  <c r="C1958" i="1"/>
  <c r="E1958" i="1" s="1"/>
  <c r="C1959" i="1"/>
  <c r="E1959" i="1" s="1"/>
  <c r="C1952" i="1"/>
  <c r="E1952" i="1" s="1"/>
  <c r="N1398" i="1"/>
  <c r="N1397" i="1"/>
  <c r="N1395" i="1"/>
  <c r="N1394" i="1"/>
  <c r="N1392" i="1"/>
  <c r="N1391" i="1"/>
  <c r="N1674" i="1"/>
  <c r="N1673" i="1"/>
  <c r="N1655" i="1"/>
  <c r="N1654" i="1"/>
  <c r="N1636" i="1"/>
  <c r="N1635" i="1"/>
  <c r="N1616" i="1"/>
  <c r="N1615" i="1"/>
  <c r="N1597" i="1"/>
  <c r="N1596" i="1"/>
  <c r="N1577" i="1"/>
  <c r="N1576" i="1"/>
  <c r="N1558" i="1"/>
  <c r="N1557" i="1"/>
  <c r="N1539" i="1"/>
  <c r="N1538" i="1"/>
  <c r="N1520" i="1"/>
  <c r="N1519" i="1"/>
  <c r="N1501" i="1"/>
  <c r="N1500" i="1"/>
  <c r="N1482" i="1"/>
  <c r="N1481" i="1"/>
  <c r="N1463" i="1"/>
  <c r="N1462" i="1"/>
  <c r="N1443" i="1"/>
  <c r="N1442" i="1"/>
  <c r="N1424" i="1"/>
  <c r="N1423" i="1"/>
  <c r="N1405" i="1"/>
  <c r="N1404" i="1"/>
  <c r="N1386" i="1"/>
  <c r="N1385" i="1"/>
  <c r="N965" i="1"/>
  <c r="N936" i="1"/>
  <c r="N937" i="1"/>
  <c r="N938" i="1"/>
  <c r="N935" i="1"/>
  <c r="N924" i="1"/>
  <c r="N925" i="1"/>
  <c r="N926" i="1"/>
  <c r="N923" i="1"/>
  <c r="N908" i="1"/>
  <c r="N909" i="1"/>
  <c r="N910" i="1"/>
  <c r="N916" i="1"/>
  <c r="N917" i="1"/>
  <c r="N907" i="1"/>
  <c r="N881" i="1"/>
  <c r="N876" i="1"/>
  <c r="N877" i="1"/>
  <c r="N875" i="1"/>
  <c r="N856" i="1"/>
  <c r="N845" i="1"/>
  <c r="N846" i="1"/>
  <c r="N847" i="1"/>
  <c r="N848" i="1"/>
  <c r="N844" i="1"/>
  <c r="N839" i="1"/>
  <c r="N840" i="1"/>
  <c r="N841" i="1"/>
  <c r="N838" i="1"/>
  <c r="N776" i="1"/>
  <c r="N777" i="1"/>
  <c r="N778" i="1"/>
  <c r="N775" i="1"/>
  <c r="N743" i="1"/>
  <c r="N744" i="1"/>
  <c r="N745" i="1"/>
  <c r="N746" i="1"/>
  <c r="N747" i="1"/>
  <c r="N748" i="1"/>
  <c r="N749" i="1"/>
  <c r="N742" i="1"/>
  <c r="N735" i="1"/>
  <c r="N736" i="1"/>
  <c r="N737" i="1"/>
  <c r="N738" i="1"/>
  <c r="N739" i="1"/>
  <c r="N740" i="1"/>
  <c r="N741" i="1"/>
  <c r="N734" i="1"/>
  <c r="N571" i="1"/>
  <c r="N560" i="1"/>
  <c r="N551" i="1"/>
  <c r="N542" i="1"/>
  <c r="N533" i="1"/>
  <c r="N524" i="1"/>
  <c r="N515" i="1"/>
  <c r="N506" i="1"/>
  <c r="N497" i="1"/>
  <c r="N488" i="1"/>
  <c r="N479" i="1"/>
  <c r="N470" i="1"/>
  <c r="N461" i="1"/>
  <c r="N452" i="1"/>
  <c r="N443" i="1"/>
  <c r="N434" i="1"/>
  <c r="N425" i="1"/>
  <c r="N416" i="1"/>
  <c r="N407" i="1"/>
  <c r="N398" i="1"/>
  <c r="N389" i="1"/>
  <c r="N192" i="1"/>
  <c r="N193" i="1"/>
  <c r="N194" i="1"/>
  <c r="N195" i="1"/>
  <c r="N196" i="1"/>
  <c r="N197" i="1"/>
  <c r="N198" i="1"/>
  <c r="N199" i="1"/>
  <c r="N191" i="1"/>
  <c r="L661" i="1"/>
  <c r="L589" i="1"/>
  <c r="L588" i="1"/>
  <c r="L829" i="1"/>
  <c r="L121" i="1"/>
  <c r="L1595" i="1"/>
  <c r="L1594" i="1"/>
  <c r="L1194" i="1"/>
  <c r="L1193" i="1"/>
  <c r="C328" i="1"/>
  <c r="E328" i="1" s="1"/>
  <c r="C329" i="1"/>
  <c r="E329" i="1" s="1"/>
  <c r="C330" i="1"/>
  <c r="E330" i="1" s="1"/>
  <c r="C331" i="1"/>
  <c r="E331" i="1" s="1"/>
  <c r="C332" i="1"/>
  <c r="E332" i="1" s="1"/>
  <c r="C333" i="1"/>
  <c r="E333" i="1" s="1"/>
  <c r="C334" i="1"/>
  <c r="E334" i="1" s="1"/>
  <c r="C335" i="1"/>
  <c r="E335" i="1" s="1"/>
  <c r="C336" i="1"/>
  <c r="E336" i="1" s="1"/>
  <c r="C337" i="1"/>
  <c r="E337" i="1" s="1"/>
  <c r="C338" i="1"/>
  <c r="E338" i="1" s="1"/>
  <c r="C339" i="1"/>
  <c r="E339" i="1" s="1"/>
  <c r="C327" i="1"/>
  <c r="E327" i="1" s="1"/>
  <c r="L1687" i="1"/>
  <c r="L1686" i="1"/>
  <c r="L1685" i="1"/>
  <c r="L1684" i="1"/>
  <c r="L1683" i="1"/>
  <c r="L1682" i="1"/>
  <c r="L1681" i="1"/>
  <c r="L1680" i="1"/>
  <c r="L1679" i="1"/>
  <c r="L1678" i="1"/>
  <c r="L1677" i="1"/>
  <c r="L1676" i="1"/>
  <c r="L1675" i="1"/>
  <c r="L1674" i="1"/>
  <c r="L1673" i="1"/>
  <c r="L1672" i="1"/>
  <c r="L1671" i="1"/>
  <c r="L1670" i="1"/>
  <c r="L1668" i="1"/>
  <c r="L1667" i="1"/>
  <c r="L1666" i="1"/>
  <c r="L1665" i="1"/>
  <c r="L1664" i="1"/>
  <c r="L1663" i="1"/>
  <c r="L1662" i="1"/>
  <c r="L1661" i="1"/>
  <c r="L1660" i="1"/>
  <c r="L1659" i="1"/>
  <c r="L1658" i="1"/>
  <c r="L1657" i="1"/>
  <c r="L1656" i="1"/>
  <c r="L1655" i="1"/>
  <c r="L1654" i="1"/>
  <c r="L1653" i="1"/>
  <c r="L1652" i="1"/>
  <c r="L1651" i="1"/>
  <c r="L1648" i="1"/>
  <c r="L1647" i="1"/>
  <c r="L1646" i="1"/>
  <c r="L1645" i="1"/>
  <c r="L1644" i="1"/>
  <c r="L1643" i="1"/>
  <c r="L1642" i="1"/>
  <c r="L1641" i="1"/>
  <c r="L1636" i="1"/>
  <c r="L1635" i="1"/>
  <c r="L1634" i="1"/>
  <c r="L1633" i="1"/>
  <c r="L1630" i="1"/>
  <c r="L1631" i="1"/>
  <c r="L1632" i="1"/>
  <c r="L1637" i="1"/>
  <c r="L1638" i="1"/>
  <c r="L1639" i="1"/>
  <c r="L1640" i="1"/>
  <c r="L1629" i="1"/>
  <c r="L1628" i="1"/>
  <c r="L1627" i="1"/>
  <c r="L1626" i="1"/>
  <c r="L1625" i="1"/>
  <c r="L1624" i="1"/>
  <c r="L1623" i="1"/>
  <c r="L1622" i="1"/>
  <c r="L1621" i="1"/>
  <c r="L1620" i="1"/>
  <c r="L1619" i="1"/>
  <c r="L1618" i="1"/>
  <c r="L1616" i="1"/>
  <c r="L1615" i="1"/>
  <c r="L1614" i="1"/>
  <c r="L1613" i="1"/>
  <c r="L1609" i="1"/>
  <c r="L1608" i="1"/>
  <c r="L1607" i="1"/>
  <c r="L1606" i="1"/>
  <c r="L1605" i="1"/>
  <c r="L1604" i="1"/>
  <c r="L1603" i="1"/>
  <c r="L1602" i="1"/>
  <c r="L1601" i="1"/>
  <c r="L1600" i="1"/>
  <c r="L1599" i="1"/>
  <c r="L1598" i="1"/>
  <c r="L1596" i="1"/>
  <c r="L1593" i="1"/>
  <c r="L1590" i="1"/>
  <c r="L1589" i="1"/>
  <c r="L1588" i="1"/>
  <c r="L1587" i="1"/>
  <c r="L1586" i="1"/>
  <c r="L1585" i="1"/>
  <c r="L1584" i="1"/>
  <c r="L1583" i="1"/>
  <c r="L1582" i="1"/>
  <c r="L1581" i="1"/>
  <c r="L1580" i="1"/>
  <c r="L1579" i="1"/>
  <c r="L1577" i="1"/>
  <c r="L1576" i="1"/>
  <c r="L1575" i="1"/>
  <c r="L1574" i="1"/>
  <c r="L1571" i="1"/>
  <c r="L1570" i="1"/>
  <c r="L1569" i="1"/>
  <c r="L1568" i="1"/>
  <c r="L1567" i="1"/>
  <c r="L1566" i="1"/>
  <c r="L1565" i="1"/>
  <c r="L1564" i="1"/>
  <c r="L1563" i="1"/>
  <c r="L1562" i="1"/>
  <c r="L1561" i="1"/>
  <c r="L1560" i="1"/>
  <c r="L1558" i="1"/>
  <c r="L1557" i="1"/>
  <c r="L1556" i="1"/>
  <c r="L1555" i="1"/>
  <c r="L1552" i="1"/>
  <c r="L1551" i="1"/>
  <c r="L1550" i="1"/>
  <c r="L1549" i="1"/>
  <c r="L1548" i="1"/>
  <c r="L1547" i="1"/>
  <c r="L1546" i="1"/>
  <c r="L1545" i="1"/>
  <c r="L1544" i="1"/>
  <c r="L1543" i="1"/>
  <c r="L1542" i="1"/>
  <c r="L1541" i="1"/>
  <c r="L1539" i="1"/>
  <c r="L1538" i="1"/>
  <c r="L1537" i="1"/>
  <c r="L1536" i="1"/>
  <c r="L1533" i="1"/>
  <c r="L1532" i="1"/>
  <c r="L1531" i="1"/>
  <c r="L1530" i="1"/>
  <c r="L1529" i="1"/>
  <c r="L1528" i="1"/>
  <c r="L1527" i="1"/>
  <c r="L1526" i="1"/>
  <c r="L1525" i="1"/>
  <c r="L1524" i="1"/>
  <c r="L1523" i="1"/>
  <c r="L1522" i="1"/>
  <c r="L1520" i="1"/>
  <c r="L1519" i="1"/>
  <c r="L1518" i="1"/>
  <c r="L1517" i="1"/>
  <c r="L1514" i="1"/>
  <c r="L1513" i="1"/>
  <c r="L1512" i="1"/>
  <c r="L1511" i="1"/>
  <c r="L1510" i="1"/>
  <c r="L1509" i="1"/>
  <c r="L1508" i="1"/>
  <c r="L1507" i="1"/>
  <c r="L1506" i="1"/>
  <c r="L1505" i="1"/>
  <c r="L1504" i="1"/>
  <c r="L1503" i="1"/>
  <c r="L1501" i="1"/>
  <c r="L1500" i="1"/>
  <c r="L1499" i="1"/>
  <c r="L1498" i="1"/>
  <c r="L1482" i="1"/>
  <c r="L1481" i="1"/>
  <c r="L1480" i="1"/>
  <c r="L1479" i="1"/>
  <c r="L1495" i="1"/>
  <c r="L1494" i="1"/>
  <c r="L1493" i="1"/>
  <c r="L1492" i="1"/>
  <c r="L1491" i="1"/>
  <c r="L1490" i="1"/>
  <c r="L1489" i="1"/>
  <c r="L1488" i="1"/>
  <c r="L1487" i="1"/>
  <c r="L1486" i="1"/>
  <c r="L1485" i="1"/>
  <c r="L1484" i="1"/>
  <c r="L1476" i="1"/>
  <c r="L1475" i="1"/>
  <c r="L1474" i="1"/>
  <c r="L1473" i="1"/>
  <c r="L1472" i="1"/>
  <c r="L1471" i="1"/>
  <c r="L1470" i="1"/>
  <c r="L1469" i="1"/>
  <c r="L1468" i="1"/>
  <c r="L1467" i="1"/>
  <c r="L1466" i="1"/>
  <c r="L1465" i="1"/>
  <c r="L1463" i="1"/>
  <c r="L1462" i="1"/>
  <c r="L1461" i="1"/>
  <c r="L1460" i="1"/>
  <c r="L1456" i="1"/>
  <c r="L1455" i="1"/>
  <c r="L1454" i="1"/>
  <c r="L1453" i="1"/>
  <c r="L1452" i="1"/>
  <c r="L1451" i="1"/>
  <c r="L1450" i="1"/>
  <c r="L1449" i="1"/>
  <c r="L1448" i="1"/>
  <c r="L1447" i="1"/>
  <c r="L1446" i="1"/>
  <c r="L1445" i="1"/>
  <c r="L1443" i="1"/>
  <c r="L1442" i="1"/>
  <c r="L1441" i="1"/>
  <c r="L1440" i="1"/>
  <c r="L1437" i="1"/>
  <c r="L1436" i="1"/>
  <c r="L1435" i="1"/>
  <c r="L1434" i="1"/>
  <c r="L1433" i="1"/>
  <c r="L1432" i="1"/>
  <c r="L1431" i="1"/>
  <c r="L1430" i="1"/>
  <c r="L1429" i="1"/>
  <c r="L1428" i="1"/>
  <c r="L1427" i="1"/>
  <c r="L1426" i="1"/>
  <c r="L1424" i="1"/>
  <c r="L1423" i="1"/>
  <c r="L1422" i="1"/>
  <c r="L1421" i="1"/>
  <c r="L1418" i="1"/>
  <c r="L1417" i="1"/>
  <c r="L1416" i="1"/>
  <c r="L1415" i="1"/>
  <c r="L1414" i="1"/>
  <c r="L1413" i="1"/>
  <c r="L1412" i="1"/>
  <c r="L1411" i="1"/>
  <c r="L1410" i="1"/>
  <c r="L1409" i="1"/>
  <c r="L1408" i="1"/>
  <c r="L1407" i="1"/>
  <c r="L1405" i="1"/>
  <c r="L1404" i="1"/>
  <c r="L1403" i="1"/>
  <c r="L1402" i="1"/>
  <c r="L1399" i="1"/>
  <c r="L1398" i="1"/>
  <c r="L1397" i="1"/>
  <c r="L1396" i="1"/>
  <c r="L1395" i="1"/>
  <c r="L1394" i="1"/>
  <c r="L1393" i="1"/>
  <c r="L1392" i="1"/>
  <c r="L1391" i="1"/>
  <c r="L1390" i="1"/>
  <c r="L1389" i="1"/>
  <c r="L1388" i="1"/>
  <c r="L1386" i="1"/>
  <c r="L1385" i="1"/>
  <c r="L1384" i="1"/>
  <c r="L1383" i="1"/>
  <c r="L1380" i="1"/>
  <c r="L1379" i="1"/>
  <c r="L1378" i="1"/>
  <c r="L1377" i="1"/>
  <c r="L1376" i="1"/>
  <c r="L1375" i="1"/>
  <c r="L1374" i="1"/>
  <c r="L1373" i="1"/>
  <c r="L1372" i="1"/>
  <c r="L1371" i="1"/>
  <c r="L1370" i="1"/>
  <c r="L1369" i="1"/>
  <c r="L1367" i="1"/>
  <c r="L1366" i="1"/>
  <c r="L1365" i="1"/>
  <c r="L1364" i="1"/>
  <c r="L1361" i="1"/>
  <c r="L1360" i="1"/>
  <c r="L1359" i="1"/>
  <c r="L1358" i="1"/>
  <c r="L1357" i="1"/>
  <c r="L1356" i="1"/>
  <c r="L1355" i="1"/>
  <c r="L1354" i="1"/>
  <c r="L1353" i="1"/>
  <c r="L1352" i="1"/>
  <c r="L1351" i="1"/>
  <c r="L1350" i="1"/>
  <c r="L1348" i="1"/>
  <c r="L1347" i="1"/>
  <c r="L1346" i="1"/>
  <c r="L1345" i="1"/>
  <c r="L1342" i="1"/>
  <c r="L1341" i="1"/>
  <c r="L1340" i="1"/>
  <c r="L1339" i="1"/>
  <c r="L1338" i="1"/>
  <c r="L1337" i="1"/>
  <c r="L1336" i="1"/>
  <c r="L1335" i="1"/>
  <c r="L1334" i="1"/>
  <c r="L1333" i="1"/>
  <c r="L1332" i="1"/>
  <c r="L1331" i="1"/>
  <c r="L1329" i="1"/>
  <c r="L1328" i="1"/>
  <c r="L1327" i="1"/>
  <c r="L1326" i="1"/>
  <c r="L1323" i="1"/>
  <c r="L1322" i="1"/>
  <c r="L1321" i="1"/>
  <c r="L1320" i="1"/>
  <c r="L1319" i="1"/>
  <c r="L1318" i="1"/>
  <c r="L1317" i="1"/>
  <c r="L1316" i="1"/>
  <c r="L1315" i="1"/>
  <c r="L1314" i="1"/>
  <c r="L1313" i="1"/>
  <c r="L1312" i="1"/>
  <c r="L1310" i="1"/>
  <c r="L1309" i="1"/>
  <c r="L1308" i="1"/>
  <c r="L1307" i="1"/>
  <c r="L1304" i="1"/>
  <c r="L1303" i="1"/>
  <c r="L1302" i="1"/>
  <c r="L1301" i="1"/>
  <c r="L1300" i="1"/>
  <c r="L1299" i="1"/>
  <c r="L1298" i="1"/>
  <c r="L1297" i="1"/>
  <c r="L1296" i="1"/>
  <c r="L1295" i="1"/>
  <c r="L1294" i="1"/>
  <c r="L1293" i="1"/>
  <c r="L1291" i="1"/>
  <c r="L1290" i="1"/>
  <c r="L1289" i="1"/>
  <c r="L1288" i="1"/>
  <c r="L1266" i="1"/>
  <c r="L1265" i="1"/>
  <c r="L1264" i="1"/>
  <c r="L1263" i="1"/>
  <c r="L1262" i="1"/>
  <c r="L1261" i="1"/>
  <c r="L1260" i="1"/>
  <c r="L1259" i="1"/>
  <c r="L1258" i="1"/>
  <c r="L1257" i="1"/>
  <c r="L1256" i="1"/>
  <c r="L1255" i="1"/>
  <c r="L1253" i="1"/>
  <c r="L1252" i="1"/>
  <c r="L1251" i="1"/>
  <c r="L1250" i="1"/>
  <c r="L1231" i="1"/>
  <c r="L1232" i="1"/>
  <c r="L1233" i="1"/>
  <c r="L1234" i="1"/>
  <c r="L1236" i="1"/>
  <c r="L1237" i="1"/>
  <c r="L1238" i="1"/>
  <c r="L1239" i="1"/>
  <c r="L1240" i="1"/>
  <c r="L1241" i="1"/>
  <c r="L1242" i="1"/>
  <c r="L1243" i="1"/>
  <c r="L1244" i="1"/>
  <c r="L1245" i="1"/>
  <c r="L1246" i="1"/>
  <c r="L1247" i="1"/>
  <c r="L1228" i="1"/>
  <c r="L1227" i="1"/>
  <c r="L1226" i="1"/>
  <c r="L1225" i="1"/>
  <c r="L1224" i="1"/>
  <c r="L1223" i="1"/>
  <c r="L1222" i="1"/>
  <c r="L1221" i="1"/>
  <c r="L1220" i="1"/>
  <c r="L1219" i="1"/>
  <c r="L1218" i="1"/>
  <c r="L1217" i="1"/>
  <c r="L1215" i="1"/>
  <c r="L1214" i="1"/>
  <c r="L1213" i="1"/>
  <c r="L1212" i="1"/>
  <c r="L1209" i="1"/>
  <c r="L1208" i="1"/>
  <c r="L1207" i="1"/>
  <c r="L1206" i="1"/>
  <c r="L1205" i="1"/>
  <c r="L1204" i="1"/>
  <c r="L1203" i="1"/>
  <c r="L1202" i="1"/>
  <c r="L1201" i="1"/>
  <c r="L1200" i="1"/>
  <c r="L1199" i="1"/>
  <c r="L1198" i="1"/>
  <c r="L1197" i="1"/>
  <c r="L1195" i="1"/>
  <c r="L1192" i="1"/>
  <c r="L1189" i="1"/>
  <c r="L1188" i="1"/>
  <c r="L1187" i="1"/>
  <c r="L1186" i="1"/>
  <c r="L1185" i="1"/>
  <c r="L1184" i="1"/>
  <c r="L1183" i="1"/>
  <c r="L1182" i="1"/>
  <c r="L1181" i="1"/>
  <c r="L1180" i="1"/>
  <c r="L1179" i="1"/>
  <c r="L1178" i="1"/>
  <c r="L1176" i="1"/>
  <c r="L1175" i="1"/>
  <c r="L1174" i="1"/>
  <c r="L1173" i="1"/>
  <c r="L1170" i="1"/>
  <c r="L1169" i="1"/>
  <c r="L1168" i="1"/>
  <c r="L1167" i="1"/>
  <c r="L1166" i="1"/>
  <c r="L1165" i="1"/>
  <c r="L1164" i="1"/>
  <c r="L1163" i="1"/>
  <c r="L1162" i="1"/>
  <c r="L1161" i="1"/>
  <c r="L1160" i="1"/>
  <c r="L1159" i="1"/>
  <c r="L1157" i="1"/>
  <c r="L1156" i="1"/>
  <c r="L1155" i="1"/>
  <c r="L1154" i="1"/>
  <c r="L1151" i="1"/>
  <c r="L1150" i="1"/>
  <c r="L1149" i="1"/>
  <c r="L1148" i="1"/>
  <c r="L1147" i="1"/>
  <c r="L1146" i="1"/>
  <c r="L1145" i="1"/>
  <c r="L1144" i="1"/>
  <c r="L1143" i="1"/>
  <c r="L1142" i="1"/>
  <c r="L1141" i="1"/>
  <c r="L1140" i="1"/>
  <c r="L1138" i="1"/>
  <c r="L1137" i="1"/>
  <c r="L1136" i="1"/>
  <c r="L1135" i="1"/>
  <c r="L1132" i="1"/>
  <c r="L1131" i="1"/>
  <c r="L1130" i="1"/>
  <c r="L1129" i="1"/>
  <c r="L1128" i="1"/>
  <c r="L1127" i="1"/>
  <c r="L1126" i="1"/>
  <c r="L1125" i="1"/>
  <c r="L1124" i="1"/>
  <c r="L1123" i="1"/>
  <c r="L1122" i="1"/>
  <c r="L1121" i="1"/>
  <c r="L1119" i="1"/>
  <c r="L1118" i="1"/>
  <c r="L1117" i="1"/>
  <c r="L1116" i="1"/>
  <c r="L1112" i="1"/>
  <c r="L1111" i="1"/>
  <c r="L1110" i="1"/>
  <c r="L1109" i="1"/>
  <c r="L1108" i="1"/>
  <c r="L1107" i="1"/>
  <c r="L1106" i="1"/>
  <c r="L1105" i="1"/>
  <c r="L1104" i="1"/>
  <c r="L1103" i="1"/>
  <c r="L1102" i="1"/>
  <c r="L1101" i="1"/>
  <c r="L1097" i="1"/>
  <c r="L1077" i="1"/>
  <c r="L1058" i="1"/>
  <c r="L1039" i="1"/>
  <c r="L1020" i="1"/>
  <c r="L1001" i="1"/>
  <c r="L982" i="1"/>
  <c r="L981" i="1"/>
  <c r="L1099" i="1"/>
  <c r="L1098" i="1"/>
  <c r="L1096" i="1"/>
  <c r="L1092" i="1"/>
  <c r="L1091" i="1"/>
  <c r="L1090" i="1"/>
  <c r="L1089" i="1"/>
  <c r="L1088" i="1"/>
  <c r="L1087" i="1"/>
  <c r="L1086" i="1"/>
  <c r="L1085" i="1"/>
  <c r="L1084" i="1"/>
  <c r="L1083" i="1"/>
  <c r="L1082" i="1"/>
  <c r="L1081" i="1"/>
  <c r="L1079" i="1"/>
  <c r="L1078" i="1"/>
  <c r="L1076" i="1"/>
  <c r="L1074" i="1"/>
  <c r="L1073" i="1"/>
  <c r="L1072" i="1"/>
  <c r="L1071" i="1"/>
  <c r="L1070" i="1"/>
  <c r="L1069" i="1"/>
  <c r="L1068" i="1"/>
  <c r="L1067" i="1"/>
  <c r="L1066" i="1"/>
  <c r="L1065" i="1"/>
  <c r="L1064" i="1"/>
  <c r="L1063" i="1"/>
  <c r="L1062" i="1"/>
  <c r="L1060" i="1"/>
  <c r="L1059" i="1"/>
  <c r="L1057" i="1"/>
  <c r="L1055" i="1"/>
  <c r="L1054" i="1"/>
  <c r="L1053" i="1"/>
  <c r="L1052" i="1"/>
  <c r="L1051" i="1"/>
  <c r="L1050" i="1"/>
  <c r="L1049" i="1"/>
  <c r="L1048" i="1"/>
  <c r="L1047" i="1"/>
  <c r="L1046" i="1"/>
  <c r="L1045" i="1"/>
  <c r="L1044" i="1"/>
  <c r="L1043" i="1"/>
  <c r="L1041" i="1"/>
  <c r="L1040" i="1"/>
  <c r="L1038" i="1"/>
  <c r="L1036" i="1"/>
  <c r="L1035" i="1"/>
  <c r="L1034" i="1"/>
  <c r="L1033" i="1"/>
  <c r="L1032" i="1"/>
  <c r="L1031" i="1"/>
  <c r="L1030" i="1"/>
  <c r="L1029" i="1"/>
  <c r="L1028" i="1"/>
  <c r="L1027" i="1"/>
  <c r="L1026" i="1"/>
  <c r="L1025" i="1"/>
  <c r="L1024" i="1"/>
  <c r="L1022" i="1"/>
  <c r="L1021" i="1"/>
  <c r="L1019" i="1"/>
  <c r="L1017" i="1"/>
  <c r="L1016" i="1"/>
  <c r="L1015" i="1"/>
  <c r="L1014" i="1"/>
  <c r="L1013" i="1"/>
  <c r="L1012" i="1"/>
  <c r="L1011" i="1"/>
  <c r="L1010" i="1"/>
  <c r="L1009" i="1"/>
  <c r="L1008" i="1"/>
  <c r="L1007" i="1"/>
  <c r="L1006" i="1"/>
  <c r="L1005" i="1"/>
  <c r="L1003" i="1"/>
  <c r="L1002" i="1"/>
  <c r="L1000" i="1"/>
  <c r="L998" i="1"/>
  <c r="L997" i="1"/>
  <c r="L996" i="1"/>
  <c r="L995" i="1"/>
  <c r="L994" i="1"/>
  <c r="L993" i="1"/>
  <c r="L992" i="1"/>
  <c r="L991" i="1"/>
  <c r="L990" i="1"/>
  <c r="L989" i="1"/>
  <c r="L988" i="1"/>
  <c r="L987" i="1"/>
  <c r="L986" i="1"/>
  <c r="L984" i="1"/>
  <c r="L983" i="1"/>
  <c r="L979" i="1"/>
  <c r="L963" i="1"/>
  <c r="L977" i="1"/>
  <c r="L976" i="1"/>
  <c r="L974" i="1"/>
  <c r="L973" i="1"/>
  <c r="L971" i="1"/>
  <c r="L972" i="1"/>
  <c r="L975" i="1"/>
  <c r="L970" i="1"/>
  <c r="L968" i="1"/>
  <c r="L969" i="1"/>
  <c r="L978" i="1"/>
  <c r="L965" i="1"/>
  <c r="L964" i="1"/>
  <c r="L954" i="1"/>
  <c r="L955" i="1"/>
  <c r="L956" i="1"/>
  <c r="L957" i="1"/>
  <c r="L958" i="1"/>
  <c r="L959" i="1"/>
  <c r="L960" i="1"/>
  <c r="L961" i="1"/>
  <c r="L966" i="1"/>
  <c r="L967" i="1"/>
  <c r="L947" i="1"/>
  <c r="L948" i="1"/>
  <c r="L949" i="1"/>
  <c r="L950" i="1"/>
  <c r="L951" i="1"/>
  <c r="L952" i="1"/>
  <c r="L953" i="1"/>
  <c r="L946" i="1"/>
  <c r="L940" i="1"/>
  <c r="L941" i="1"/>
  <c r="L944" i="1"/>
  <c r="L945" i="1"/>
  <c r="L910" i="1"/>
  <c r="L916" i="1"/>
  <c r="L917" i="1"/>
  <c r="L918" i="1"/>
  <c r="L920" i="1"/>
  <c r="L921" i="1"/>
  <c r="L922" i="1"/>
  <c r="L923" i="1"/>
  <c r="L924" i="1"/>
  <c r="L925" i="1"/>
  <c r="L926" i="1"/>
  <c r="L927" i="1"/>
  <c r="L932" i="1"/>
  <c r="L933" i="1"/>
  <c r="L934" i="1"/>
  <c r="L935" i="1"/>
  <c r="L936" i="1"/>
  <c r="L937" i="1"/>
  <c r="L938" i="1"/>
  <c r="L939" i="1"/>
  <c r="L908" i="1"/>
  <c r="L909" i="1"/>
  <c r="L907" i="1"/>
  <c r="L905" i="1"/>
  <c r="L906" i="1"/>
  <c r="L904" i="1"/>
  <c r="L896" i="1"/>
  <c r="L897" i="1"/>
  <c r="L898" i="1"/>
  <c r="L899" i="1"/>
  <c r="L900" i="1"/>
  <c r="L901" i="1"/>
  <c r="L895" i="1"/>
  <c r="L892" i="1"/>
  <c r="L893" i="1"/>
  <c r="L894" i="1"/>
  <c r="L835" i="1"/>
  <c r="L836" i="1"/>
  <c r="L837" i="1"/>
  <c r="L838" i="1"/>
  <c r="L839" i="1"/>
  <c r="L840" i="1"/>
  <c r="L841" i="1"/>
  <c r="L842" i="1"/>
  <c r="L843" i="1"/>
  <c r="L844" i="1"/>
  <c r="L845" i="1"/>
  <c r="L846" i="1"/>
  <c r="L847" i="1"/>
  <c r="L848" i="1"/>
  <c r="L849" i="1"/>
  <c r="L850" i="1"/>
  <c r="L851" i="1"/>
  <c r="L852" i="1"/>
  <c r="L853" i="1"/>
  <c r="L854" i="1"/>
  <c r="L855" i="1"/>
  <c r="L856" i="1"/>
  <c r="L857" i="1"/>
  <c r="L858" i="1"/>
  <c r="L860" i="1"/>
  <c r="L861" i="1"/>
  <c r="L862" i="1"/>
  <c r="L864" i="1"/>
  <c r="L865" i="1"/>
  <c r="L868" i="1"/>
  <c r="L869" i="1"/>
  <c r="L871" i="1"/>
  <c r="L872" i="1"/>
  <c r="L873" i="1"/>
  <c r="L874" i="1"/>
  <c r="L875" i="1"/>
  <c r="L876" i="1"/>
  <c r="L877" i="1"/>
  <c r="L878" i="1"/>
  <c r="L879" i="1"/>
  <c r="L880" i="1"/>
  <c r="L881" i="1"/>
  <c r="L882" i="1"/>
  <c r="L884" i="1"/>
  <c r="L885" i="1"/>
  <c r="L886" i="1"/>
  <c r="L887" i="1"/>
  <c r="L888" i="1"/>
  <c r="L889" i="1"/>
  <c r="L890" i="1"/>
  <c r="L891" i="1"/>
  <c r="L827" i="1"/>
  <c r="L825" i="1"/>
  <c r="L826" i="1"/>
  <c r="L828" i="1"/>
  <c r="L832" i="1"/>
  <c r="L833" i="1"/>
  <c r="L834" i="1"/>
  <c r="L811" i="1"/>
  <c r="L812" i="1"/>
  <c r="L813" i="1"/>
  <c r="L814" i="1"/>
  <c r="L815" i="1"/>
  <c r="L816" i="1"/>
  <c r="L818" i="1"/>
  <c r="L821" i="1"/>
  <c r="L822" i="1"/>
  <c r="L823" i="1"/>
  <c r="L824" i="1"/>
  <c r="L804" i="1"/>
  <c r="L805" i="1"/>
  <c r="L803" i="1"/>
  <c r="L808" i="1"/>
  <c r="L800" i="1"/>
  <c r="L801" i="1"/>
  <c r="L802" i="1"/>
  <c r="L806" i="1"/>
  <c r="L807" i="1"/>
  <c r="L809" i="1"/>
  <c r="L810" i="1"/>
  <c r="L793" i="1"/>
  <c r="L794" i="1"/>
  <c r="L795" i="1"/>
  <c r="L796" i="1"/>
  <c r="L797" i="1"/>
  <c r="L798" i="1"/>
  <c r="L799" i="1"/>
  <c r="L780" i="1"/>
  <c r="L781" i="1"/>
  <c r="L783" i="1"/>
  <c r="L784" i="1"/>
  <c r="L785" i="1"/>
  <c r="L786" i="1"/>
  <c r="L787" i="1"/>
  <c r="L788" i="1"/>
  <c r="L789" i="1"/>
  <c r="L790" i="1"/>
  <c r="L791" i="1"/>
  <c r="L792" i="1"/>
  <c r="L779" i="1"/>
  <c r="L776" i="1"/>
  <c r="L777" i="1"/>
  <c r="L778" i="1"/>
  <c r="L775" i="1"/>
  <c r="L774" i="1"/>
  <c r="L754" i="1"/>
  <c r="L755" i="1"/>
  <c r="L756" i="1"/>
  <c r="L757" i="1"/>
  <c r="L758" i="1"/>
  <c r="L759" i="1"/>
  <c r="L760" i="1"/>
  <c r="L761" i="1"/>
  <c r="L762" i="1"/>
  <c r="L763" i="1"/>
  <c r="L764" i="1"/>
  <c r="L765" i="1"/>
  <c r="L766" i="1"/>
  <c r="L767" i="1"/>
  <c r="L768" i="1"/>
  <c r="L769" i="1"/>
  <c r="L770" i="1"/>
  <c r="L771" i="1"/>
  <c r="L753" i="1"/>
  <c r="L734" i="1"/>
  <c r="L735" i="1"/>
  <c r="L736" i="1"/>
  <c r="L737" i="1"/>
  <c r="L738" i="1"/>
  <c r="L739" i="1"/>
  <c r="L740" i="1"/>
  <c r="L741" i="1"/>
  <c r="L742" i="1"/>
  <c r="L743" i="1"/>
  <c r="L744" i="1"/>
  <c r="L745" i="1"/>
  <c r="L746" i="1"/>
  <c r="L747" i="1"/>
  <c r="L748" i="1"/>
  <c r="L749" i="1"/>
  <c r="L750" i="1"/>
  <c r="L751" i="1"/>
  <c r="L752" i="1"/>
  <c r="L733" i="1"/>
  <c r="L711" i="1"/>
  <c r="L712" i="1"/>
  <c r="L713" i="1"/>
  <c r="L714" i="1"/>
  <c r="L715" i="1"/>
  <c r="L716" i="1"/>
  <c r="L717" i="1"/>
  <c r="L718" i="1"/>
  <c r="L719" i="1"/>
  <c r="L720" i="1"/>
  <c r="L721" i="1"/>
  <c r="L722" i="1"/>
  <c r="L723" i="1"/>
  <c r="L724" i="1"/>
  <c r="L725" i="1"/>
  <c r="L726" i="1"/>
  <c r="L727" i="1"/>
  <c r="L728" i="1"/>
  <c r="L729" i="1"/>
  <c r="L730" i="1"/>
  <c r="L731" i="1"/>
  <c r="L732" i="1"/>
  <c r="L710" i="1"/>
  <c r="L703"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4" i="1"/>
  <c r="L705" i="1"/>
  <c r="L706" i="1"/>
  <c r="L707" i="1"/>
  <c r="L708" i="1"/>
  <c r="L709" i="1"/>
  <c r="L667" i="1"/>
  <c r="L658" i="1"/>
  <c r="L659" i="1"/>
  <c r="L660" i="1"/>
  <c r="L663" i="1"/>
  <c r="L664" i="1"/>
  <c r="L665" i="1"/>
  <c r="L666" i="1"/>
  <c r="L640" i="1"/>
  <c r="L641" i="1"/>
  <c r="L642" i="1"/>
  <c r="L643" i="1"/>
  <c r="L644" i="1"/>
  <c r="L645" i="1"/>
  <c r="L646" i="1"/>
  <c r="L647" i="1"/>
  <c r="L648" i="1"/>
  <c r="L649" i="1"/>
  <c r="L650" i="1"/>
  <c r="L652" i="1"/>
  <c r="L653" i="1"/>
  <c r="L654" i="1"/>
  <c r="L655" i="1"/>
  <c r="L657" i="1"/>
  <c r="L630" i="1"/>
  <c r="L632" i="1"/>
  <c r="L633" i="1"/>
  <c r="L634" i="1"/>
  <c r="L635" i="1"/>
  <c r="L636" i="1"/>
  <c r="L637" i="1"/>
  <c r="L638" i="1"/>
  <c r="L621" i="1"/>
  <c r="L622" i="1"/>
  <c r="L623" i="1"/>
  <c r="L624" i="1"/>
  <c r="L626" i="1"/>
  <c r="L627" i="1"/>
  <c r="L628" i="1"/>
  <c r="L607" i="1"/>
  <c r="L608" i="1"/>
  <c r="L609" i="1"/>
  <c r="L610" i="1"/>
  <c r="L611" i="1"/>
  <c r="L612" i="1"/>
  <c r="L613" i="1"/>
  <c r="L614" i="1"/>
  <c r="L615" i="1"/>
  <c r="L606" i="1"/>
  <c r="L601" i="1"/>
  <c r="L603" i="1"/>
  <c r="L604" i="1"/>
  <c r="L605" i="1"/>
  <c r="L618" i="1"/>
  <c r="L619" i="1"/>
  <c r="L620" i="1"/>
  <c r="L597" i="1"/>
  <c r="L596" i="1"/>
  <c r="L594" i="1"/>
  <c r="L584" i="1"/>
  <c r="L583" i="1"/>
  <c r="L585" i="1"/>
  <c r="L586" i="1"/>
  <c r="L590" i="1"/>
  <c r="L565" i="1"/>
  <c r="L566" i="1"/>
  <c r="L569" i="1"/>
  <c r="L568" i="1"/>
  <c r="L570" i="1"/>
  <c r="L571" i="1"/>
  <c r="L593" i="1"/>
  <c r="L587" i="1"/>
  <c r="L595" i="1"/>
  <c r="L598" i="1"/>
  <c r="L599" i="1"/>
  <c r="L600"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72" i="1"/>
  <c r="L573" i="1"/>
  <c r="L574" i="1"/>
  <c r="L575" i="1"/>
  <c r="L576" i="1"/>
  <c r="L577" i="1"/>
  <c r="L578" i="1"/>
  <c r="L579" i="1"/>
  <c r="L580" i="1"/>
  <c r="L581" i="1"/>
  <c r="L582" i="1"/>
  <c r="L388" i="1"/>
  <c r="L381" i="1"/>
  <c r="L382" i="1"/>
  <c r="L383" i="1"/>
  <c r="L384" i="1"/>
  <c r="L385" i="1"/>
  <c r="L386" i="1"/>
  <c r="L387" i="1"/>
  <c r="L356" i="1"/>
  <c r="L357" i="1"/>
  <c r="L358" i="1"/>
  <c r="L359" i="1"/>
  <c r="L360" i="1"/>
  <c r="L361" i="1"/>
  <c r="L362" i="1"/>
  <c r="L363" i="1"/>
  <c r="L364" i="1"/>
  <c r="L365" i="1"/>
  <c r="L366" i="1"/>
  <c r="L367" i="1"/>
  <c r="L368" i="1"/>
  <c r="L369" i="1"/>
  <c r="L371" i="1"/>
  <c r="L372" i="1"/>
  <c r="L373" i="1"/>
  <c r="L374" i="1"/>
  <c r="L375" i="1"/>
  <c r="L376" i="1"/>
  <c r="L377" i="1"/>
  <c r="L378" i="1"/>
  <c r="L379" i="1"/>
  <c r="L380" i="1"/>
  <c r="L353" i="1"/>
  <c r="L344" i="1"/>
  <c r="L345" i="1"/>
  <c r="L346" i="1"/>
  <c r="L347" i="1"/>
  <c r="L348" i="1"/>
  <c r="L349" i="1"/>
  <c r="L350" i="1"/>
  <c r="L351" i="1"/>
  <c r="L352" i="1"/>
  <c r="L354" i="1"/>
  <c r="L355" i="1"/>
  <c r="L343" i="1"/>
  <c r="L341" i="1"/>
  <c r="L342" i="1"/>
  <c r="L318" i="1"/>
  <c r="L319" i="1"/>
  <c r="L321" i="1"/>
  <c r="L324" i="1"/>
  <c r="L325" i="1"/>
  <c r="L326" i="1"/>
  <c r="C306" i="1"/>
  <c r="E306" i="1" s="1"/>
  <c r="C307" i="1"/>
  <c r="E307" i="1" s="1"/>
  <c r="C308" i="1"/>
  <c r="E308" i="1" s="1"/>
  <c r="C309" i="1"/>
  <c r="E309" i="1" s="1"/>
  <c r="C310" i="1"/>
  <c r="E310" i="1" s="1"/>
  <c r="C311" i="1"/>
  <c r="E311" i="1" s="1"/>
  <c r="C312" i="1"/>
  <c r="E312" i="1" s="1"/>
  <c r="C313" i="1"/>
  <c r="E313" i="1" s="1"/>
  <c r="C314" i="1"/>
  <c r="E314" i="1" s="1"/>
  <c r="C315" i="1"/>
  <c r="E315" i="1" s="1"/>
  <c r="C316" i="1"/>
  <c r="E316" i="1" s="1"/>
  <c r="C305" i="1"/>
  <c r="E305" i="1" s="1"/>
  <c r="L297" i="1"/>
  <c r="L299" i="1"/>
  <c r="L300" i="1"/>
  <c r="L301" i="1"/>
  <c r="L302" i="1"/>
  <c r="L303" i="1"/>
  <c r="L304" i="1"/>
  <c r="L295" i="1"/>
  <c r="C280" i="1"/>
  <c r="E280" i="1" s="1"/>
  <c r="C281" i="1"/>
  <c r="E281" i="1" s="1"/>
  <c r="C282" i="1"/>
  <c r="E282" i="1" s="1"/>
  <c r="C283" i="1"/>
  <c r="E283" i="1" s="1"/>
  <c r="C284" i="1"/>
  <c r="E284" i="1" s="1"/>
  <c r="C285" i="1"/>
  <c r="E285" i="1" s="1"/>
  <c r="C286" i="1"/>
  <c r="E286" i="1" s="1"/>
  <c r="C287" i="1"/>
  <c r="E287" i="1" s="1"/>
  <c r="C288" i="1"/>
  <c r="E288" i="1" s="1"/>
  <c r="C289" i="1"/>
  <c r="E289" i="1" s="1"/>
  <c r="C290" i="1"/>
  <c r="E290" i="1" s="1"/>
  <c r="L292" i="1"/>
  <c r="L293" i="1"/>
  <c r="C271" i="1"/>
  <c r="E271" i="1" s="1"/>
  <c r="C272" i="1"/>
  <c r="E272" i="1" s="1"/>
  <c r="C273" i="1"/>
  <c r="E273" i="1" s="1"/>
  <c r="C274" i="1"/>
  <c r="E274" i="1" s="1"/>
  <c r="C275" i="1"/>
  <c r="E275" i="1" s="1"/>
  <c r="C276" i="1"/>
  <c r="E276" i="1" s="1"/>
  <c r="C277" i="1"/>
  <c r="E277" i="1" s="1"/>
  <c r="C278" i="1"/>
  <c r="E278" i="1" s="1"/>
  <c r="C279" i="1"/>
  <c r="E279" i="1" s="1"/>
  <c r="C270" i="1"/>
  <c r="E270" i="1" s="1"/>
  <c r="L266" i="1"/>
  <c r="L267" i="1"/>
  <c r="L268" i="1"/>
  <c r="L269" i="1"/>
  <c r="C256" i="1"/>
  <c r="E256" i="1" s="1"/>
  <c r="C257" i="1"/>
  <c r="E257" i="1" s="1"/>
  <c r="L257" i="1" s="1"/>
  <c r="C258" i="1"/>
  <c r="E258" i="1" s="1"/>
  <c r="C259" i="1"/>
  <c r="E259" i="1" s="1"/>
  <c r="H259" i="1" s="1"/>
  <c r="C260" i="1"/>
  <c r="E260" i="1" s="1"/>
  <c r="C261" i="1"/>
  <c r="E261" i="1" s="1"/>
  <c r="C255" i="1"/>
  <c r="E255" i="1" s="1"/>
  <c r="L253" i="1"/>
  <c r="L254" i="1"/>
  <c r="L262" i="1"/>
  <c r="L264" i="1"/>
  <c r="L265" i="1"/>
  <c r="L230" i="1"/>
  <c r="L231" i="1"/>
  <c r="L232" i="1"/>
  <c r="L233" i="1"/>
  <c r="L234" i="1"/>
  <c r="L237" i="1"/>
  <c r="L238" i="1"/>
  <c r="L239" i="1"/>
  <c r="L240" i="1"/>
  <c r="L241" i="1"/>
  <c r="L242" i="1"/>
  <c r="L243" i="1"/>
  <c r="L244" i="1"/>
  <c r="L245" i="1"/>
  <c r="L246" i="1"/>
  <c r="L247" i="1"/>
  <c r="L248" i="1"/>
  <c r="L249" i="1"/>
  <c r="L250" i="1"/>
  <c r="L251" i="1"/>
  <c r="L252" i="1"/>
  <c r="L221" i="1"/>
  <c r="L222" i="1"/>
  <c r="L223" i="1"/>
  <c r="L224" i="1"/>
  <c r="L220" i="1"/>
  <c r="L209" i="1"/>
  <c r="L210" i="1"/>
  <c r="L211" i="1"/>
  <c r="L212" i="1"/>
  <c r="L213" i="1"/>
  <c r="L214" i="1"/>
  <c r="L215" i="1"/>
  <c r="L216" i="1"/>
  <c r="L217" i="1"/>
  <c r="L218" i="1"/>
  <c r="L219" i="1"/>
  <c r="L225" i="1"/>
  <c r="L226" i="1"/>
  <c r="L227" i="1"/>
  <c r="L228" i="1"/>
  <c r="L229" i="1"/>
  <c r="L192" i="1"/>
  <c r="L193" i="1"/>
  <c r="L194" i="1"/>
  <c r="L195" i="1"/>
  <c r="L196" i="1"/>
  <c r="L197" i="1"/>
  <c r="L198" i="1"/>
  <c r="L199" i="1"/>
  <c r="L191" i="1"/>
  <c r="L186" i="1"/>
  <c r="L187" i="1"/>
  <c r="L188" i="1"/>
  <c r="L189" i="1"/>
  <c r="L190" i="1"/>
  <c r="L204" i="1"/>
  <c r="L205" i="1"/>
  <c r="L206" i="1"/>
  <c r="L207" i="1"/>
  <c r="L208" i="1"/>
  <c r="L167" i="1"/>
  <c r="L168" i="1"/>
  <c r="L169" i="1"/>
  <c r="L170" i="1"/>
  <c r="L171" i="1"/>
  <c r="L172" i="1"/>
  <c r="L173" i="1"/>
  <c r="L174" i="1"/>
  <c r="L166" i="1"/>
  <c r="E167" i="1"/>
  <c r="H167" i="1" s="1"/>
  <c r="E168" i="1"/>
  <c r="H168" i="1" s="1"/>
  <c r="E169" i="1"/>
  <c r="H169" i="1" s="1"/>
  <c r="E170" i="1"/>
  <c r="H170" i="1" s="1"/>
  <c r="E171" i="1"/>
  <c r="H171" i="1" s="1"/>
  <c r="E172" i="1"/>
  <c r="H172" i="1" s="1"/>
  <c r="E173" i="1"/>
  <c r="H173" i="1" s="1"/>
  <c r="E174" i="1"/>
  <c r="H174" i="1" s="1"/>
  <c r="E166" i="1"/>
  <c r="H166" i="1" s="1"/>
  <c r="L151" i="1"/>
  <c r="L152" i="1"/>
  <c r="L153" i="1"/>
  <c r="L154" i="1"/>
  <c r="L155" i="1"/>
  <c r="L156" i="1"/>
  <c r="L157" i="1"/>
  <c r="L158" i="1"/>
  <c r="L159" i="1"/>
  <c r="L160" i="1"/>
  <c r="L161" i="1"/>
  <c r="L162" i="1"/>
  <c r="L163" i="1"/>
  <c r="L164" i="1"/>
  <c r="L165" i="1"/>
  <c r="L175" i="1"/>
  <c r="L176" i="1"/>
  <c r="L177" i="1"/>
  <c r="L178" i="1"/>
  <c r="L179" i="1"/>
  <c r="L180" i="1"/>
  <c r="L181" i="1"/>
  <c r="L182" i="1"/>
  <c r="L184" i="1"/>
  <c r="L183" i="1"/>
  <c r="L185" i="1"/>
  <c r="L103" i="1"/>
  <c r="L104" i="1"/>
  <c r="L111" i="1"/>
  <c r="L112" i="1"/>
  <c r="L113" i="1"/>
  <c r="L122" i="1"/>
  <c r="L124" i="1"/>
  <c r="L125" i="1"/>
  <c r="L126" i="1"/>
  <c r="L127" i="1"/>
  <c r="L128" i="1"/>
  <c r="L129" i="1"/>
  <c r="L132" i="1"/>
  <c r="L134" i="1"/>
  <c r="L135" i="1"/>
  <c r="L136" i="1"/>
  <c r="L138" i="1"/>
  <c r="L139" i="1"/>
  <c r="L140" i="1"/>
  <c r="L141" i="1"/>
  <c r="L142" i="1"/>
  <c r="L143" i="1"/>
  <c r="L144" i="1"/>
  <c r="L145" i="1"/>
  <c r="L146" i="1"/>
  <c r="L147" i="1"/>
  <c r="L148" i="1"/>
  <c r="L149" i="1"/>
  <c r="L150" i="1"/>
  <c r="L87" i="1"/>
  <c r="L74" i="1"/>
  <c r="L75" i="1"/>
  <c r="L76" i="1"/>
  <c r="L77" i="1"/>
  <c r="L78" i="1"/>
  <c r="L79" i="1"/>
  <c r="L80" i="1"/>
  <c r="L81" i="1"/>
  <c r="L83" i="1"/>
  <c r="L84" i="1"/>
  <c r="L85" i="1"/>
  <c r="L86" i="1"/>
  <c r="L73" i="1"/>
  <c r="L1610" i="1"/>
  <c r="L1650" i="1"/>
  <c r="L1649" i="1"/>
  <c r="L1669" i="1"/>
  <c r="L1688" i="1"/>
  <c r="L1689" i="1"/>
  <c r="L1690" i="1"/>
  <c r="L1691" i="1"/>
  <c r="L1692" i="1"/>
  <c r="L1693" i="1"/>
  <c r="L1694" i="1"/>
  <c r="L1695" i="1"/>
  <c r="L1696" i="1"/>
  <c r="L1697" i="1"/>
  <c r="L1698" i="1"/>
  <c r="L1699" i="1"/>
  <c r="L1700" i="1"/>
  <c r="L1701" i="1"/>
  <c r="L1702" i="1"/>
  <c r="L1703" i="1"/>
  <c r="L1704" i="1"/>
  <c r="L1705" i="1"/>
  <c r="L1712" i="1"/>
  <c r="L1713" i="1"/>
  <c r="L1714" i="1"/>
  <c r="L1715" i="1"/>
  <c r="L1716" i="1"/>
  <c r="L1717" i="1"/>
  <c r="L1718" i="1"/>
  <c r="L1719" i="1"/>
  <c r="L1711" i="1"/>
  <c r="L1720" i="1"/>
  <c r="L1721" i="1"/>
  <c r="L1722" i="1"/>
  <c r="L1723" i="1"/>
  <c r="L1735" i="1"/>
  <c r="L1734" i="1"/>
  <c r="L1733" i="1"/>
  <c r="L1732" i="1"/>
  <c r="L1731" i="1"/>
  <c r="L1730" i="1"/>
  <c r="L1729" i="1"/>
  <c r="L1728" i="1"/>
  <c r="L1727" i="1"/>
  <c r="L1726" i="1"/>
  <c r="L1725" i="1"/>
  <c r="L1752" i="1"/>
  <c r="L1751" i="1"/>
  <c r="L1750" i="1"/>
  <c r="L1749" i="1"/>
  <c r="L1748" i="1"/>
  <c r="L1747" i="1"/>
  <c r="L1746" i="1"/>
  <c r="L1745" i="1"/>
  <c r="L1744" i="1"/>
  <c r="L1743" i="1"/>
  <c r="L1742" i="1"/>
  <c r="L1741" i="1"/>
  <c r="L1766" i="1"/>
  <c r="L1765" i="1"/>
  <c r="L1764" i="1"/>
  <c r="L1763" i="1"/>
  <c r="L1762" i="1"/>
  <c r="L1761" i="1"/>
  <c r="L1760" i="1"/>
  <c r="L1759" i="1"/>
  <c r="L1758" i="1"/>
  <c r="L1782" i="1"/>
  <c r="L1781" i="1"/>
  <c r="L1780" i="1"/>
  <c r="L1779" i="1"/>
  <c r="L1778" i="1"/>
  <c r="L1777" i="1"/>
  <c r="L1776" i="1"/>
  <c r="L1783" i="1"/>
  <c r="L1791" i="1"/>
  <c r="L1792" i="1"/>
  <c r="L1793" i="1"/>
  <c r="L1794" i="1"/>
  <c r="L1795" i="1"/>
  <c r="L1796" i="1"/>
  <c r="L1797" i="1"/>
  <c r="L1798" i="1"/>
  <c r="L1799" i="1"/>
  <c r="L1800" i="1"/>
  <c r="L1790" i="1"/>
  <c r="L1828" i="1"/>
  <c r="L1830" i="1"/>
  <c r="L1831"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69" i="1"/>
  <c r="L1868" i="1"/>
  <c r="L1867" i="1"/>
  <c r="L1866" i="1"/>
  <c r="L1865" i="1"/>
  <c r="L1864" i="1"/>
  <c r="L1863" i="1"/>
  <c r="L1862" i="1"/>
  <c r="L1861" i="1"/>
  <c r="L1860" i="1"/>
  <c r="L1859" i="1"/>
  <c r="L1858" i="1"/>
  <c r="L1856" i="1"/>
  <c r="L1855" i="1"/>
  <c r="L1857" i="1"/>
  <c r="L1854" i="1"/>
  <c r="L1853" i="1"/>
  <c r="L1852" i="1"/>
  <c r="L1851" i="1"/>
  <c r="L1850" i="1"/>
  <c r="L1849" i="1"/>
  <c r="L1848" i="1"/>
  <c r="L1847" i="1"/>
  <c r="L1846" i="1"/>
  <c r="L1845" i="1"/>
  <c r="L1844" i="1"/>
  <c r="L1843" i="1"/>
  <c r="L1842" i="1"/>
  <c r="L1841" i="1"/>
  <c r="L1840" i="1"/>
  <c r="L1839" i="1"/>
  <c r="L1838" i="1"/>
  <c r="L1837" i="1"/>
  <c r="L1836" i="1"/>
  <c r="L1835" i="1"/>
  <c r="L1834" i="1"/>
  <c r="L1833" i="1"/>
  <c r="L1827" i="1"/>
  <c r="L1826" i="1"/>
  <c r="L1825" i="1"/>
  <c r="L1824" i="1"/>
  <c r="L1823" i="1"/>
  <c r="L1822" i="1"/>
  <c r="L1821" i="1"/>
  <c r="L1820" i="1"/>
  <c r="L1819" i="1"/>
  <c r="L1818" i="1"/>
  <c r="L1817" i="1"/>
  <c r="L1816" i="1"/>
  <c r="L1815" i="1"/>
  <c r="L1814" i="1"/>
  <c r="L1813" i="1"/>
  <c r="L1812" i="1"/>
  <c r="L1810" i="1"/>
  <c r="L1808" i="1"/>
  <c r="L1807" i="1"/>
  <c r="L1806" i="1"/>
  <c r="L1805" i="1"/>
  <c r="L1804" i="1"/>
  <c r="L1803" i="1"/>
  <c r="L1802" i="1"/>
  <c r="C1900" i="1"/>
  <c r="L1900" i="1" s="1"/>
  <c r="C1901" i="1"/>
  <c r="L1901" i="1" s="1"/>
  <c r="C1902" i="1"/>
  <c r="L1902" i="1" s="1"/>
  <c r="C1903" i="1"/>
  <c r="C1904" i="1"/>
  <c r="L1904" i="1" s="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C1899" i="1"/>
  <c r="L1899" i="1" s="1"/>
  <c r="L1960" i="1"/>
  <c r="L1961" i="1"/>
  <c r="L1962" i="1"/>
  <c r="L1971" i="1"/>
  <c r="L1972" i="1"/>
  <c r="L1973" i="1"/>
  <c r="E1960" i="1"/>
  <c r="E1962" i="1"/>
  <c r="C1971" i="1"/>
  <c r="E1971" i="1" s="1"/>
  <c r="E1973" i="1"/>
  <c r="L1986" i="1"/>
  <c r="L1995" i="1"/>
  <c r="L2008" i="1"/>
  <c r="L2019" i="1"/>
  <c r="L2028" i="1"/>
  <c r="L2029" i="1"/>
  <c r="L2030" i="1"/>
  <c r="L2037" i="1"/>
  <c r="L2038" i="1"/>
  <c r="L2039" i="1"/>
  <c r="L2048" i="1"/>
  <c r="L2049" i="1"/>
  <c r="L2050" i="1"/>
  <c r="L2057" i="1"/>
  <c r="L2058" i="1"/>
  <c r="L2059" i="1"/>
  <c r="L2069" i="1"/>
  <c r="L2070" i="1"/>
  <c r="L2079" i="1"/>
  <c r="L2080" i="1"/>
  <c r="L2081" i="1"/>
  <c r="E2059" i="1"/>
  <c r="E2057" i="1"/>
  <c r="E2050" i="1"/>
  <c r="E2048" i="1"/>
  <c r="E2039" i="1"/>
  <c r="E2037" i="1"/>
  <c r="E2030" i="1"/>
  <c r="E2028" i="1"/>
  <c r="E2021" i="1"/>
  <c r="C2106" i="1"/>
  <c r="L2106" i="1" s="1"/>
  <c r="C2107" i="1"/>
  <c r="L2107" i="1" s="1"/>
  <c r="C2108" i="1"/>
  <c r="L2108" i="1" s="1"/>
  <c r="C2109" i="1"/>
  <c r="L2109" i="1" s="1"/>
  <c r="C2110" i="1"/>
  <c r="L2110" i="1" s="1"/>
  <c r="C2111" i="1"/>
  <c r="L2111" i="1" s="1"/>
  <c r="C2112" i="1"/>
  <c r="L2112" i="1" s="1"/>
  <c r="C2113" i="1"/>
  <c r="L2113" i="1" s="1"/>
  <c r="C2114" i="1"/>
  <c r="L2114" i="1" s="1"/>
  <c r="C2105" i="1"/>
  <c r="E2105" i="1" s="1"/>
  <c r="L2126" i="1"/>
  <c r="L2116" i="1"/>
  <c r="L2117" i="1"/>
  <c r="L2118" i="1"/>
  <c r="L2119" i="1"/>
  <c r="L2120" i="1"/>
  <c r="L2121" i="1"/>
  <c r="L2122" i="1"/>
  <c r="L2123" i="1"/>
  <c r="L2124" i="1"/>
  <c r="L2125" i="1"/>
  <c r="L2127" i="1"/>
  <c r="L2128" i="1"/>
  <c r="L2129" i="1"/>
  <c r="L2137" i="1"/>
  <c r="L2138" i="1"/>
  <c r="L2141" i="1"/>
  <c r="L2142" i="1"/>
  <c r="L2143" i="1"/>
  <c r="L2145" i="1"/>
  <c r="L2146" i="1"/>
  <c r="L2149" i="1"/>
  <c r="L2150" i="1"/>
  <c r="L2151" i="1"/>
  <c r="L2153" i="1"/>
  <c r="L2154" i="1"/>
  <c r="L2157" i="1"/>
  <c r="L2158" i="1"/>
  <c r="L2159" i="1"/>
  <c r="L2161" i="1"/>
  <c r="L2162" i="1"/>
  <c r="L2165" i="1"/>
  <c r="L2166" i="1"/>
  <c r="L2167" i="1"/>
  <c r="L2169" i="1"/>
  <c r="L2170" i="1"/>
  <c r="L2173" i="1"/>
  <c r="L2174" i="1"/>
  <c r="L2175" i="1"/>
  <c r="L2177" i="1"/>
  <c r="L2178" i="1"/>
  <c r="L2181" i="1"/>
  <c r="L2182" i="1"/>
  <c r="L2183" i="1"/>
  <c r="L2185" i="1"/>
  <c r="L2186" i="1"/>
  <c r="L2189" i="1"/>
  <c r="L2190" i="1"/>
  <c r="L2191" i="1"/>
  <c r="L2193" i="1"/>
  <c r="L2194" i="1"/>
  <c r="L2197" i="1"/>
  <c r="L2198" i="1"/>
  <c r="L2199" i="1"/>
  <c r="L2201" i="1"/>
  <c r="L2202" i="1"/>
  <c r="L2205" i="1"/>
  <c r="L2206" i="1"/>
  <c r="L2207" i="1"/>
  <c r="L2209" i="1"/>
  <c r="L2210" i="1"/>
  <c r="L2213" i="1"/>
  <c r="L2214" i="1"/>
  <c r="L2215" i="1"/>
  <c r="L2216" i="1"/>
  <c r="L2217" i="1"/>
  <c r="L2218" i="1"/>
  <c r="L2220" i="1"/>
  <c r="L2221" i="1"/>
  <c r="L2224" i="1"/>
  <c r="L2225" i="1"/>
  <c r="L2226" i="1"/>
  <c r="L2228" i="1"/>
  <c r="L2229" i="1"/>
  <c r="L2232" i="1"/>
  <c r="L2233" i="1"/>
  <c r="L2234" i="1"/>
  <c r="L2236" i="1"/>
  <c r="L2237" i="1"/>
  <c r="L2240" i="1"/>
  <c r="L2241" i="1"/>
  <c r="L2242" i="1"/>
  <c r="L2244" i="1"/>
  <c r="L2245" i="1"/>
  <c r="L2248" i="1"/>
  <c r="L2249" i="1"/>
  <c r="L2250" i="1"/>
  <c r="L2252" i="1"/>
  <c r="L2253" i="1"/>
  <c r="L2256" i="1"/>
  <c r="L2257" i="1"/>
  <c r="L2258" i="1"/>
  <c r="L2260" i="1"/>
  <c r="L2261" i="1"/>
  <c r="L2264" i="1"/>
  <c r="L2265" i="1"/>
  <c r="L2266" i="1"/>
  <c r="L2267" i="1"/>
  <c r="L2268" i="1"/>
  <c r="L2269" i="1"/>
  <c r="L2271" i="1"/>
  <c r="L2272" i="1"/>
  <c r="L2275" i="1"/>
  <c r="L2276" i="1"/>
  <c r="L2277" i="1"/>
  <c r="L2279" i="1"/>
  <c r="L2280" i="1"/>
  <c r="L2283" i="1"/>
  <c r="L2284" i="1"/>
  <c r="L2285" i="1"/>
  <c r="L2286" i="1"/>
  <c r="L2287" i="1"/>
  <c r="L2288" i="1"/>
  <c r="L2290" i="1"/>
  <c r="L2291" i="1"/>
  <c r="L2293" i="1"/>
  <c r="L2294" i="1"/>
  <c r="L2295" i="1"/>
  <c r="L2296" i="1"/>
  <c r="L2297" i="1"/>
  <c r="L2298" i="1"/>
  <c r="L2299" i="1"/>
  <c r="L2301" i="1"/>
  <c r="L2302" i="1"/>
  <c r="L2303" i="1"/>
  <c r="L2305" i="1"/>
  <c r="L2306" i="1"/>
  <c r="L2307" i="1"/>
  <c r="L2310" i="1"/>
  <c r="L2311" i="1"/>
  <c r="L2312" i="1"/>
  <c r="L2314" i="1"/>
  <c r="L2315" i="1"/>
  <c r="L2318" i="1"/>
  <c r="L2319" i="1"/>
  <c r="L2320" i="1"/>
  <c r="L2321" i="1"/>
  <c r="L2322" i="1"/>
  <c r="L2323" i="1"/>
  <c r="L2324" i="1"/>
  <c r="L2326" i="1"/>
  <c r="L2327" i="1"/>
  <c r="L2330" i="1"/>
  <c r="L2331" i="1"/>
  <c r="L2332" i="1"/>
  <c r="L2334" i="1"/>
  <c r="L2335" i="1"/>
  <c r="L2338" i="1"/>
  <c r="L2339" i="1"/>
  <c r="L2340" i="1"/>
  <c r="L2353" i="1"/>
  <c r="L2357" i="1"/>
  <c r="L2361" i="1"/>
  <c r="L2360" i="1"/>
  <c r="L2365" i="1"/>
  <c r="L2369" i="1"/>
  <c r="L2368" i="1"/>
  <c r="L2373" i="1"/>
  <c r="L2377" i="1"/>
  <c r="L2376" i="1"/>
  <c r="L2388" i="1"/>
  <c r="L2387" i="1"/>
  <c r="L2384" i="1"/>
  <c r="L2396" i="1"/>
  <c r="L2395" i="1"/>
  <c r="L2392" i="1"/>
  <c r="L2404" i="1"/>
  <c r="L2400" i="1"/>
  <c r="L2408" i="1"/>
  <c r="L2416" i="1"/>
  <c r="L2412" i="1"/>
  <c r="L2411" i="1"/>
  <c r="L2424" i="1"/>
  <c r="L2420" i="1"/>
  <c r="L2419" i="1"/>
  <c r="L2428" i="1"/>
  <c r="L2427" i="1"/>
  <c r="L2432" i="1"/>
  <c r="L2436" i="1"/>
  <c r="L2435" i="1"/>
  <c r="L2440" i="1"/>
  <c r="L2444" i="1"/>
  <c r="L2443" i="1"/>
  <c r="L2448" i="1"/>
  <c r="L2452" i="1"/>
  <c r="L2451" i="1"/>
  <c r="L2456" i="1"/>
  <c r="L2459" i="1"/>
  <c r="L2460" i="1"/>
  <c r="L2467" i="1"/>
  <c r="L2470" i="1"/>
  <c r="L2471" i="1"/>
  <c r="L2475" i="1"/>
  <c r="L2479" i="1"/>
  <c r="L2478" i="1"/>
  <c r="L2483" i="1"/>
  <c r="L2486" i="1"/>
  <c r="L2487" i="1"/>
  <c r="L2491" i="1"/>
  <c r="L2495" i="1"/>
  <c r="L2494" i="1"/>
  <c r="L2499" i="1"/>
  <c r="L2503" i="1"/>
  <c r="L2502" i="1"/>
  <c r="C2515" i="1"/>
  <c r="E2515" i="1" s="1"/>
  <c r="C2514" i="1"/>
  <c r="L2514" i="1" s="1"/>
  <c r="C2513" i="1"/>
  <c r="L2513" i="1" s="1"/>
  <c r="C2512" i="1"/>
  <c r="L2512" i="1" s="1"/>
  <c r="C2511" i="1"/>
  <c r="E2511" i="1" s="1"/>
  <c r="C2510" i="1"/>
  <c r="L2510" i="1" s="1"/>
  <c r="C2509" i="1"/>
  <c r="L2509" i="1" s="1"/>
  <c r="L772" i="1"/>
  <c r="L1771" i="1"/>
  <c r="L1772" i="1"/>
  <c r="L1773" i="1"/>
  <c r="L2485" i="1"/>
  <c r="F8" i="1"/>
  <c r="L2083" i="1"/>
  <c r="L119" i="1"/>
  <c r="L116" i="1"/>
  <c r="L2054" i="1"/>
  <c r="L120" i="1"/>
  <c r="L115" i="1"/>
  <c r="L2013" i="1"/>
  <c r="L118" i="1"/>
  <c r="L117" i="1"/>
  <c r="L2074" i="1"/>
  <c r="L2089" i="1"/>
  <c r="L1955" i="1"/>
  <c r="L2072" i="1"/>
  <c r="L2087" i="1"/>
  <c r="L2076" i="1"/>
  <c r="L1970" i="1"/>
  <c r="L1981" i="1"/>
  <c r="L1959" i="1"/>
  <c r="L2045" i="1"/>
  <c r="L2003" i="1"/>
  <c r="P17" i="1" l="1"/>
  <c r="P13" i="1"/>
  <c r="L2084" i="1"/>
  <c r="L1999" i="1"/>
  <c r="N1952" i="1"/>
  <c r="H1952" i="1"/>
  <c r="N1956" i="1"/>
  <c r="H1956" i="1"/>
  <c r="N1963" i="1"/>
  <c r="H1963" i="1"/>
  <c r="N1967" i="1"/>
  <c r="H1967" i="1"/>
  <c r="N1974" i="1"/>
  <c r="H1974" i="1"/>
  <c r="N1978" i="1"/>
  <c r="H1978" i="1"/>
  <c r="N1989" i="1"/>
  <c r="H1989" i="1"/>
  <c r="N2004" i="1"/>
  <c r="H2004" i="1"/>
  <c r="N1999" i="1"/>
  <c r="H1999" i="1"/>
  <c r="N2014" i="1"/>
  <c r="H2014" i="1"/>
  <c r="N2026" i="1"/>
  <c r="N1959" i="1"/>
  <c r="H1959" i="1"/>
  <c r="N1955" i="1"/>
  <c r="H1955" i="1"/>
  <c r="N1970" i="1"/>
  <c r="H1970" i="1"/>
  <c r="N1966" i="1"/>
  <c r="H1966" i="1"/>
  <c r="N1981" i="1"/>
  <c r="H1981" i="1"/>
  <c r="N1977" i="1"/>
  <c r="H1977" i="1"/>
  <c r="N1991" i="1"/>
  <c r="H1991" i="1"/>
  <c r="N2003" i="1"/>
  <c r="H2003" i="1"/>
  <c r="N2000" i="1"/>
  <c r="H2000" i="1"/>
  <c r="N2013" i="1"/>
  <c r="H2013" i="1"/>
  <c r="N1958" i="1"/>
  <c r="H1958" i="1"/>
  <c r="N1954" i="1"/>
  <c r="H1954" i="1"/>
  <c r="N1969" i="1"/>
  <c r="H1969" i="1"/>
  <c r="N1965" i="1"/>
  <c r="H1965" i="1"/>
  <c r="N1980" i="1"/>
  <c r="H1980" i="1"/>
  <c r="N1976" i="1"/>
  <c r="H1976" i="1"/>
  <c r="N2011" i="1"/>
  <c r="H2011" i="1"/>
  <c r="N2012" i="1"/>
  <c r="H2012" i="1"/>
  <c r="N2024" i="1"/>
  <c r="H2024" i="1"/>
  <c r="N1957" i="1"/>
  <c r="H1957" i="1"/>
  <c r="N1968" i="1"/>
  <c r="H1968" i="1"/>
  <c r="N1964" i="1"/>
  <c r="H1964" i="1"/>
  <c r="N1979" i="1"/>
  <c r="H1979" i="1"/>
  <c r="N1975" i="1"/>
  <c r="H1975" i="1"/>
  <c r="N1998" i="1"/>
  <c r="H1998" i="1"/>
  <c r="N2001" i="1"/>
  <c r="H2001" i="1"/>
  <c r="N2015" i="1"/>
  <c r="H2015" i="1"/>
  <c r="N2023" i="1"/>
  <c r="H2023" i="1"/>
  <c r="L259" i="1"/>
  <c r="L270" i="1"/>
  <c r="H270" i="1"/>
  <c r="L276" i="1"/>
  <c r="L272" i="1"/>
  <c r="L287" i="1"/>
  <c r="L283" i="1"/>
  <c r="L305" i="1"/>
  <c r="H305" i="1"/>
  <c r="L313" i="1"/>
  <c r="H313" i="1"/>
  <c r="L309" i="1"/>
  <c r="H309" i="1"/>
  <c r="L337" i="1"/>
  <c r="L333" i="1"/>
  <c r="L329" i="1"/>
  <c r="L255" i="1"/>
  <c r="L258" i="1"/>
  <c r="L279" i="1"/>
  <c r="L275" i="1"/>
  <c r="L271" i="1"/>
  <c r="L290" i="1"/>
  <c r="L286" i="1"/>
  <c r="L282" i="1"/>
  <c r="L316" i="1"/>
  <c r="H316" i="1"/>
  <c r="L312" i="1"/>
  <c r="H312" i="1"/>
  <c r="L308" i="1"/>
  <c r="H308" i="1"/>
  <c r="L327" i="1"/>
  <c r="L336" i="1"/>
  <c r="L332" i="1"/>
  <c r="L328" i="1"/>
  <c r="L261" i="1"/>
  <c r="L278" i="1"/>
  <c r="L274" i="1"/>
  <c r="L289" i="1"/>
  <c r="L285" i="1"/>
  <c r="L281" i="1"/>
  <c r="L315" i="1"/>
  <c r="H315" i="1"/>
  <c r="L311" i="1"/>
  <c r="H311" i="1"/>
  <c r="L307" i="1"/>
  <c r="H307" i="1"/>
  <c r="L339" i="1"/>
  <c r="L335" i="1"/>
  <c r="L331" i="1"/>
  <c r="L260" i="1"/>
  <c r="L256" i="1"/>
  <c r="L277" i="1"/>
  <c r="L273" i="1"/>
  <c r="L288" i="1"/>
  <c r="L284" i="1"/>
  <c r="L280" i="1"/>
  <c r="L314" i="1"/>
  <c r="H314" i="1"/>
  <c r="L310" i="1"/>
  <c r="H310" i="1"/>
  <c r="L306" i="1"/>
  <c r="H306" i="1"/>
  <c r="L338" i="1"/>
  <c r="L334" i="1"/>
  <c r="L330" i="1"/>
  <c r="L2077" i="1"/>
  <c r="L2086" i="1"/>
  <c r="L2082" i="1"/>
  <c r="L2012" i="1"/>
  <c r="L2011" i="1"/>
  <c r="L2031" i="1"/>
  <c r="L2044" i="1"/>
  <c r="L1958" i="1"/>
  <c r="L2066" i="1"/>
  <c r="L2047" i="1"/>
  <c r="L2024" i="1"/>
  <c r="L2035" i="1"/>
  <c r="E2110" i="1"/>
  <c r="E2106" i="1"/>
  <c r="E1953" i="1"/>
  <c r="L1979" i="1"/>
  <c r="L2001" i="1"/>
  <c r="E2022" i="1"/>
  <c r="L2023" i="1"/>
  <c r="L2078" i="1"/>
  <c r="L2034" i="1"/>
  <c r="L2052" i="1"/>
  <c r="L2065" i="1"/>
  <c r="L1968" i="1"/>
  <c r="L2004" i="1"/>
  <c r="L2027" i="1"/>
  <c r="L1989" i="1"/>
  <c r="L1967" i="1"/>
  <c r="L1963" i="1"/>
  <c r="L2067" i="1"/>
  <c r="L2042" i="1"/>
  <c r="E2109" i="1"/>
  <c r="L2051" i="1"/>
  <c r="E2514" i="1"/>
  <c r="L2073" i="1"/>
  <c r="E2113" i="1"/>
  <c r="L1966" i="1"/>
  <c r="L1977" i="1"/>
  <c r="L2064" i="1"/>
  <c r="L2055" i="1"/>
  <c r="L2000" i="1"/>
  <c r="L2040" i="1"/>
  <c r="L1976" i="1"/>
  <c r="L2062" i="1"/>
  <c r="L2014" i="1"/>
  <c r="L1980" i="1"/>
  <c r="L2075" i="1"/>
  <c r="L2053" i="1"/>
  <c r="L2043" i="1"/>
  <c r="L2033" i="1"/>
  <c r="L1954" i="1"/>
  <c r="E1902" i="1"/>
  <c r="H1902" i="1" s="1"/>
  <c r="L1964" i="1"/>
  <c r="L1998" i="1"/>
  <c r="L1969" i="1"/>
  <c r="E2108" i="1"/>
  <c r="L1978" i="1"/>
  <c r="E2510" i="1"/>
  <c r="L1952" i="1"/>
  <c r="L2071" i="1"/>
  <c r="E2111" i="1"/>
  <c r="L2105" i="1"/>
  <c r="E2107" i="1"/>
  <c r="E2509" i="1"/>
  <c r="E2114" i="1"/>
  <c r="L2056" i="1"/>
  <c r="L1974" i="1"/>
  <c r="L1975" i="1"/>
  <c r="L2085" i="1"/>
  <c r="L2036" i="1"/>
  <c r="L2026" i="1"/>
  <c r="L2046" i="1"/>
  <c r="L1991" i="1"/>
  <c r="E2112" i="1"/>
  <c r="L2515" i="1"/>
  <c r="E1900" i="1"/>
  <c r="H1900" i="1" s="1"/>
  <c r="L2015" i="1"/>
  <c r="L1956" i="1"/>
  <c r="L2061" i="1"/>
  <c r="E1899" i="1"/>
  <c r="H1899" i="1" s="1"/>
  <c r="L2088" i="1"/>
  <c r="E2512" i="1"/>
  <c r="E1990" i="1"/>
  <c r="L1990" i="1"/>
  <c r="L1957" i="1"/>
  <c r="E1904" i="1"/>
  <c r="H1904" i="1" s="1"/>
  <c r="E2513" i="1"/>
  <c r="L2032" i="1"/>
  <c r="L1903" i="1"/>
  <c r="E1903" i="1"/>
  <c r="H1903" i="1" s="1"/>
  <c r="E2025" i="1"/>
  <c r="L2025" i="1"/>
  <c r="E2041" i="1"/>
  <c r="N2041" i="1" s="1"/>
  <c r="L2041" i="1"/>
  <c r="E2002" i="1"/>
  <c r="L2002" i="1"/>
  <c r="E2060" i="1"/>
  <c r="N2060" i="1" s="1"/>
  <c r="L2060" i="1"/>
  <c r="E1901" i="1"/>
  <c r="H1901" i="1" s="1"/>
  <c r="L2511" i="1"/>
  <c r="L1965" i="1"/>
  <c r="E2063" i="1"/>
  <c r="N2063" i="1" s="1"/>
  <c r="L2063" i="1"/>
  <c r="N2002" i="1" l="1"/>
  <c r="H2002" i="1"/>
  <c r="N1953" i="1"/>
  <c r="H1953" i="1"/>
  <c r="N2025" i="1"/>
  <c r="H2025" i="1"/>
  <c r="N1990" i="1"/>
  <c r="H1990" i="1"/>
  <c r="N2022" i="1"/>
  <c r="H2022" i="1"/>
</calcChain>
</file>

<file path=xl/connections.xml><?xml version="1.0" encoding="utf-8"?>
<connections xmlns="http://schemas.openxmlformats.org/spreadsheetml/2006/main">
  <connection id="1" name="CODE_Settlements_FH_Full" type="6" refreshedVersion="5" background="1" saveData="1">
    <textPr codePage="65001" sourceFile="D:\rtBOX\rtST 2018 Gambia\Forms\Household Survey\CODE_Settlements_FH_Full.csv" decimal="," thousands="." comma="1">
      <textFields count="17">
        <textField/>
        <textField/>
        <textField/>
        <textField/>
        <textField/>
        <textField/>
        <textField/>
        <textField/>
        <textField/>
        <textField/>
        <textField/>
        <textField/>
        <textField/>
        <textField/>
        <textField/>
        <textField/>
        <textField/>
      </textFields>
    </textPr>
  </connection>
  <connection id="2" name="Staff_List_All_Facilities_Aug03_F1" type="6" refreshedVersion="5" background="1" saveData="1">
    <textPr codePage="65001" sourceFile="D:\rtBOX\rtST 2018 Gambia\Gambia 2014-2016\3. Midline\2. Forms\Official\20160803\F1_Health_Facility\Staff_List_All_Facilities_Aug03_F1.csv" decimal="," thousands="."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<sst xmlns="http://schemas.openxmlformats.org/spreadsheetml/2006/main" count="17422" uniqueCount="6851">
  <si>
    <t>name</t>
  </si>
  <si>
    <t>label</t>
  </si>
  <si>
    <t>relevant</t>
  </si>
  <si>
    <t>appearance</t>
  </si>
  <si>
    <t>constraint</t>
  </si>
  <si>
    <t>calculation</t>
  </si>
  <si>
    <t>repeat_count</t>
  </si>
  <si>
    <t>choice_filter</t>
  </si>
  <si>
    <t>default</t>
  </si>
  <si>
    <t>start</t>
  </si>
  <si>
    <t>end</t>
  </si>
  <si>
    <t>deviceid</t>
  </si>
  <si>
    <t>begin group</t>
  </si>
  <si>
    <t>field-list</t>
  </si>
  <si>
    <t>integer</t>
  </si>
  <si>
    <t>end group</t>
  </si>
  <si>
    <t>text</t>
  </si>
  <si>
    <t>note</t>
  </si>
  <si>
    <t>OTHER, SPECIFY</t>
  </si>
  <si>
    <t>begin group</t>
  </si>
  <si>
    <t>begin group</t>
  </si>
  <si>
    <t>note</t>
  </si>
  <si>
    <t>note</t>
  </si>
  <si>
    <t>select_one yesno</t>
  </si>
  <si>
    <t>f1_01_01</t>
  </si>
  <si>
    <t>(1.01) Are you in charge of this facility today?</t>
  </si>
  <si>
    <t>select_one yesno</t>
  </si>
  <si>
    <t>f1_01_02</t>
  </si>
  <si>
    <t>(1.02) Are you authorized to represent this facility?</t>
  </si>
  <si>
    <t>end group</t>
  </si>
  <si>
    <t>select_one job</t>
  </si>
  <si>
    <t>f1_01_03</t>
  </si>
  <si>
    <t>(1.03) What is your job title at this facility?</t>
  </si>
  <si>
    <t>text</t>
  </si>
  <si>
    <t>f1_01_03_other</t>
  </si>
  <si>
    <t>Other, specify:</t>
  </si>
  <si>
    <t>${f1_01_03}=96</t>
  </si>
  <si>
    <t>select_one hos</t>
  </si>
  <si>
    <t>f1_01_04</t>
  </si>
  <si>
    <t>begin group</t>
  </si>
  <si>
    <t>integer</t>
  </si>
  <si>
    <t>integer</t>
  </si>
  <si>
    <t>begin group</t>
  </si>
  <si>
    <t>field-list</t>
  </si>
  <si>
    <t>f1_01_13</t>
  </si>
  <si>
    <t>end group</t>
  </si>
  <si>
    <t>OTHER, SPECIFY:</t>
  </si>
  <si>
    <t>text</t>
  </si>
  <si>
    <t>select_one obtain</t>
  </si>
  <si>
    <t>text</t>
  </si>
  <si>
    <t>select_one yesno</t>
  </si>
  <si>
    <t>integer</t>
  </si>
  <si>
    <t>text</t>
  </si>
  <si>
    <t>text</t>
  </si>
  <si>
    <t>select_one yesno</t>
  </si>
  <si>
    <t>integer</t>
  </si>
  <si>
    <t>text</t>
  </si>
  <si>
    <t>select_one sou</t>
  </si>
  <si>
    <t>select_one yesno</t>
  </si>
  <si>
    <t>integer</t>
  </si>
  <si>
    <t>integer</t>
  </si>
  <si>
    <t>select_one yesno2</t>
  </si>
  <si>
    <t>select_one yesno</t>
  </si>
  <si>
    <t>integer</t>
  </si>
  <si>
    <t>select_one yesno</t>
  </si>
  <si>
    <t>integer</t>
  </si>
  <si>
    <t>select_one yesno</t>
  </si>
  <si>
    <t>select_one yesno</t>
  </si>
  <si>
    <t>begin group</t>
  </si>
  <si>
    <t>field-list</t>
  </si>
  <si>
    <t>select_one faci</t>
  </si>
  <si>
    <t>select_one faci</t>
  </si>
  <si>
    <t>Lab tests</t>
  </si>
  <si>
    <t>select_one faci</t>
  </si>
  <si>
    <t>Radiology</t>
  </si>
  <si>
    <t>select_one faci</t>
  </si>
  <si>
    <t>In-patient</t>
  </si>
  <si>
    <t>select_one faci</t>
  </si>
  <si>
    <t>Specialized care</t>
  </si>
  <si>
    <t>select_one faci</t>
  </si>
  <si>
    <t>Surgery</t>
  </si>
  <si>
    <t>select_one faci</t>
  </si>
  <si>
    <t>Uncomplicated delivery</t>
  </si>
  <si>
    <t>select_one faci</t>
  </si>
  <si>
    <t>Complicated delivery</t>
  </si>
  <si>
    <t>end group</t>
  </si>
  <si>
    <t>select_one yesno</t>
  </si>
  <si>
    <t>begin group</t>
  </si>
  <si>
    <t>note</t>
  </si>
  <si>
    <t>integer</t>
  </si>
  <si>
    <t>a. Ambulance owned by facility</t>
  </si>
  <si>
    <t>integer</t>
  </si>
  <si>
    <t>integer</t>
  </si>
  <si>
    <t>integer</t>
  </si>
  <si>
    <t>integer</t>
  </si>
  <si>
    <t>integer</t>
  </si>
  <si>
    <t>integer</t>
  </si>
  <si>
    <t>integer</t>
  </si>
  <si>
    <t>integer</t>
  </si>
  <si>
    <t>integer</t>
  </si>
  <si>
    <t>text</t>
  </si>
  <si>
    <t>k. Other, specify:</t>
  </si>
  <si>
    <t>select_one yesno</t>
  </si>
  <si>
    <t>integer</t>
  </si>
  <si>
    <t>select_one yesno</t>
  </si>
  <si>
    <t>f1_01_43</t>
  </si>
  <si>
    <t>end group</t>
  </si>
  <si>
    <t>begin group</t>
  </si>
  <si>
    <t>note</t>
  </si>
  <si>
    <t>note</t>
  </si>
  <si>
    <t>select_one yesno3</t>
  </si>
  <si>
    <t>f1_01_44</t>
  </si>
  <si>
    <t>end group</t>
  </si>
  <si>
    <t>text</t>
  </si>
  <si>
    <t>select_one yesno</t>
  </si>
  <si>
    <t>integer</t>
  </si>
  <si>
    <t>select_one yesno3</t>
  </si>
  <si>
    <t>select_one dec</t>
  </si>
  <si>
    <t>text</t>
  </si>
  <si>
    <t>text</t>
  </si>
  <si>
    <t>select_one dis</t>
  </si>
  <si>
    <t>select_one yesno</t>
  </si>
  <si>
    <t>select_one bio</t>
  </si>
  <si>
    <t>text</t>
  </si>
  <si>
    <t>end group</t>
  </si>
  <si>
    <t>begin group</t>
  </si>
  <si>
    <t>begin group</t>
  </si>
  <si>
    <t>note</t>
  </si>
  <si>
    <t>note</t>
  </si>
  <si>
    <t>end group</t>
  </si>
  <si>
    <t>select_one yesno</t>
  </si>
  <si>
    <t>f1_02_01</t>
  </si>
  <si>
    <t>begin group</t>
  </si>
  <si>
    <t>${f1_02_01}=1</t>
  </si>
  <si>
    <t>integer</t>
  </si>
  <si>
    <t>f1_02_02</t>
  </si>
  <si>
    <t>(2.02) How many members are on this Committee?</t>
  </si>
  <si>
    <t>(2.03) Is there a representation of any of the following on this Committee?</t>
  </si>
  <si>
    <t>text</t>
  </si>
  <si>
    <t>integer</t>
  </si>
  <si>
    <t>f1_02_04</t>
  </si>
  <si>
    <t>select_one yesno3</t>
  </si>
  <si>
    <t>f1_02_05</t>
  </si>
  <si>
    <t>(2.05) Does the facility have written records of the Hospital/Health Center Executive Committee meetings (minutes, decisions, etc.)?</t>
  </si>
  <si>
    <t>end group</t>
  </si>
  <si>
    <t>text</t>
  </si>
  <si>
    <t>begin group</t>
  </si>
  <si>
    <t>field-list</t>
  </si>
  <si>
    <t>select_one yesno3</t>
  </si>
  <si>
    <t>f1_02_07</t>
  </si>
  <si>
    <t>end group</t>
  </si>
  <si>
    <t>f1_02_08</t>
  </si>
  <si>
    <t>(2.08) Has a facility workplan been developed for the current financial year?</t>
  </si>
  <si>
    <t>end group</t>
  </si>
  <si>
    <t>begin group</t>
  </si>
  <si>
    <t>(2.09) Who was involved in setting this workplan?</t>
  </si>
  <si>
    <t>text</t>
  </si>
  <si>
    <t>select_one yesno</t>
  </si>
  <si>
    <t>f1_02_10</t>
  </si>
  <si>
    <t>(2.10) Are priority health-related activities identified in this workplan for the current financial year?</t>
  </si>
  <si>
    <t>(2.11) Now I will read you a list of services. For each service, please tell me whether this service is a priority or not a priority for this fiscal year.</t>
  </si>
  <si>
    <t>text</t>
  </si>
  <si>
    <t>integer</t>
  </si>
  <si>
    <t>f1_02_12</t>
  </si>
  <si>
    <t>f1_02_13</t>
  </si>
  <si>
    <t>(2.13) Do all facility staff have written job descriptions?</t>
  </si>
  <si>
    <t>integer</t>
  </si>
  <si>
    <t>f1_02_14</t>
  </si>
  <si>
    <t>integer</t>
  </si>
  <si>
    <t>f1_02_15</t>
  </si>
  <si>
    <t>end group</t>
  </si>
  <si>
    <t>integer</t>
  </si>
  <si>
    <t>f1_02_17</t>
  </si>
  <si>
    <t>begin group</t>
  </si>
  <si>
    <t>integer</t>
  </si>
  <si>
    <t>f1_02_18</t>
  </si>
  <si>
    <t>integer</t>
  </si>
  <si>
    <t>f1_02_19</t>
  </si>
  <si>
    <t>end group</t>
  </si>
  <si>
    <t>note</t>
  </si>
  <si>
    <t>integer</t>
  </si>
  <si>
    <t>f1_02_20</t>
  </si>
  <si>
    <t>select_one yesno</t>
  </si>
  <si>
    <t>f1_02_21</t>
  </si>
  <si>
    <t>(2.21) Is the result of this internal staff performance assessment linked to staff salary or incentive payment?</t>
  </si>
  <si>
    <t>${f1_02_20}&gt;0</t>
  </si>
  <si>
    <t>integer</t>
  </si>
  <si>
    <t>f1_02_22</t>
  </si>
  <si>
    <t>select_one yesno</t>
  </si>
  <si>
    <t>f1_02_23</t>
  </si>
  <si>
    <t>(2.23) Is the result of the staff performance assessment linked to staff salary or incentive payment?</t>
  </si>
  <si>
    <t>${f1_02_22}&gt;0</t>
  </si>
  <si>
    <t>integer</t>
  </si>
  <si>
    <t>f1_02_24</t>
  </si>
  <si>
    <t>select_one yesno</t>
  </si>
  <si>
    <t>f1_02_25</t>
  </si>
  <si>
    <t>(2.25) Is the result of the external performance assessment of the facility linked to facility financing?</t>
  </si>
  <si>
    <t>${f1_02_24}&gt;0</t>
  </si>
  <si>
    <t>f1_02_26</t>
  </si>
  <si>
    <t>(2.26) Does the facility obtain information on patient opinion through client surveys, a complaint/suggestion box or another method?</t>
  </si>
  <si>
    <t>begin group</t>
  </si>
  <si>
    <t>field-list</t>
  </si>
  <si>
    <t>select_one yesno</t>
  </si>
  <si>
    <t>f1_02_27</t>
  </si>
  <si>
    <t>(2.27) Is there a formal mechanism to inform the staff about patient opinion ?</t>
  </si>
  <si>
    <t>select_one yesno</t>
  </si>
  <si>
    <t>f1_02_28</t>
  </si>
  <si>
    <t>begin group</t>
  </si>
  <si>
    <t>begin group</t>
  </si>
  <si>
    <t>note</t>
  </si>
  <si>
    <t>note</t>
  </si>
  <si>
    <t>note</t>
  </si>
  <si>
    <t>begin group</t>
  </si>
  <si>
    <t>integer</t>
  </si>
  <si>
    <t>integer</t>
  </si>
  <si>
    <t>f1_03_08</t>
  </si>
  <si>
    <t>select_one yesno</t>
  </si>
  <si>
    <t>f1_03_09</t>
  </si>
  <si>
    <t>(3.09) Does the health facility catchment area have active Community Health Workers (CHWs)?</t>
  </si>
  <si>
    <t>${f1_03_09}=1</t>
  </si>
  <si>
    <t>note</t>
  </si>
  <si>
    <t>f1_03_10n</t>
  </si>
  <si>
    <t>(3.10) How many Community Health Workers are currently active in this catchment area?</t>
  </si>
  <si>
    <t>integer</t>
  </si>
  <si>
    <t>a. FEMALE</t>
  </si>
  <si>
    <t>integer</t>
  </si>
  <si>
    <t>b. MALE</t>
  </si>
  <si>
    <t>select_one yesno</t>
  </si>
  <si>
    <t>f1_03_11</t>
  </si>
  <si>
    <t>end group</t>
  </si>
  <si>
    <t>select_one yesno</t>
  </si>
  <si>
    <t>begin group</t>
  </si>
  <si>
    <t>note</t>
  </si>
  <si>
    <t>f1_03_12</t>
  </si>
  <si>
    <t>integer</t>
  </si>
  <si>
    <t>a. FEMALE</t>
  </si>
  <si>
    <t>integer</t>
  </si>
  <si>
    <t>b. MALE</t>
  </si>
  <si>
    <t>end group</t>
  </si>
  <si>
    <t>select_one yesno</t>
  </si>
  <si>
    <t>f1_03_13</t>
  </si>
  <si>
    <t>(3.13) Does the health facility have a specially designated Community Health Nurse (CHN)?</t>
  </si>
  <si>
    <t>integer</t>
  </si>
  <si>
    <t>f1_03_14</t>
  </si>
  <si>
    <t>begin group</t>
  </si>
  <si>
    <t>field-list</t>
  </si>
  <si>
    <t>select_one yesno</t>
  </si>
  <si>
    <t>select_one yesno</t>
  </si>
  <si>
    <t>select_one yesno</t>
  </si>
  <si>
    <t>select_one yesno</t>
  </si>
  <si>
    <t>select_one yesno</t>
  </si>
  <si>
    <t>select_one yesno</t>
  </si>
  <si>
    <t>select_one yesno</t>
  </si>
  <si>
    <t>select_one yesno</t>
  </si>
  <si>
    <t>select_one yesno</t>
  </si>
  <si>
    <t>select_one yesno</t>
  </si>
  <si>
    <t>j. Other, specify:</t>
  </si>
  <si>
    <t>end group</t>
  </si>
  <si>
    <t>end group</t>
  </si>
  <si>
    <t>begin group</t>
  </si>
  <si>
    <t>begin group</t>
  </si>
  <si>
    <t>note</t>
  </si>
  <si>
    <t>end group</t>
  </si>
  <si>
    <t>integer</t>
  </si>
  <si>
    <t>begin repeat</t>
  </si>
  <si>
    <t>begin group</t>
  </si>
  <si>
    <t>f1_04_02</t>
  </si>
  <si>
    <t>select_one yesno</t>
  </si>
  <si>
    <t>f1_04_03</t>
  </si>
  <si>
    <t>integer</t>
  </si>
  <si>
    <t>f1_04_04</t>
  </si>
  <si>
    <t>select_one pos</t>
  </si>
  <si>
    <t>begin group</t>
  </si>
  <si>
    <t>field-list</t>
  </si>
  <si>
    <t>integer</t>
  </si>
  <si>
    <t>integer</t>
  </si>
  <si>
    <t>select_one yesno</t>
  </si>
  <si>
    <t>select_one yesno</t>
  </si>
  <si>
    <t>end group</t>
  </si>
  <si>
    <t>select_one why</t>
  </si>
  <si>
    <t>text</t>
  </si>
  <si>
    <t>end repeat</t>
  </si>
  <si>
    <t>end group</t>
  </si>
  <si>
    <t>begin group</t>
  </si>
  <si>
    <t>begin group</t>
  </si>
  <si>
    <t>note</t>
  </si>
  <si>
    <t>f1_05_n</t>
  </si>
  <si>
    <t>note</t>
  </si>
  <si>
    <t>f1_05_n1</t>
  </si>
  <si>
    <t>ID CODE OF THE RESPONDENT FROM THE STAFF ROSTER</t>
  </si>
  <si>
    <t>select_one yesno</t>
  </si>
  <si>
    <t>f1_05_01</t>
  </si>
  <si>
    <t>(5.01) Does the facility provide laboratory services?</t>
  </si>
  <si>
    <t>${f1_05_01}=1</t>
  </si>
  <si>
    <t>begin group</t>
  </si>
  <si>
    <t>(5.02) For the following tests, please tell me if you are able to perform them today, if you were able to perform them 3 months ago but not today, or if you simply cannot do this test (today or 3 months ago).</t>
  </si>
  <si>
    <t>select_one able</t>
  </si>
  <si>
    <t>a. White cell and red cell counts</t>
  </si>
  <si>
    <t>select_one able</t>
  </si>
  <si>
    <t>b. Hemoglobin estimation (Hematocrit)</t>
  </si>
  <si>
    <t>select_one able</t>
  </si>
  <si>
    <t>c. Blood type and cross match</t>
  </si>
  <si>
    <t>select_one able</t>
  </si>
  <si>
    <t>d. Malaria smears (thick and thin)/ Rapid diagnostic test</t>
  </si>
  <si>
    <t>select_one able</t>
  </si>
  <si>
    <t>e. Tuberculosis smears</t>
  </si>
  <si>
    <t>select_one able</t>
  </si>
  <si>
    <t>f. Gram stains</t>
  </si>
  <si>
    <t>select_one able</t>
  </si>
  <si>
    <t>g. HIV testing</t>
  </si>
  <si>
    <t>select_one able</t>
  </si>
  <si>
    <t>h. Hepatitis B testing</t>
  </si>
  <si>
    <t>select_one able</t>
  </si>
  <si>
    <t>i. Hepatitis C testing</t>
  </si>
  <si>
    <t>select_one able</t>
  </si>
  <si>
    <t>j. Syphilis testing (RPR or VDRL Test)</t>
  </si>
  <si>
    <t>select_one able</t>
  </si>
  <si>
    <t>k. Urine protein &amp; glucose test (dipstick tests)</t>
  </si>
  <si>
    <t>select_one able</t>
  </si>
  <si>
    <t>l. Pregnancy testing</t>
  </si>
  <si>
    <t>select_one able</t>
  </si>
  <si>
    <t>m. Blood sugar</t>
  </si>
  <si>
    <t>select_one able</t>
  </si>
  <si>
    <t>n. Stool tests for parasites</t>
  </si>
  <si>
    <t>select_one able</t>
  </si>
  <si>
    <t>o. Stool tests for occult blood</t>
  </si>
  <si>
    <t>select_one able</t>
  </si>
  <si>
    <t>p. Liver function testing</t>
  </si>
  <si>
    <t>end group</t>
  </si>
  <si>
    <t>(5.04) INTERVIEWER: RECORD SOURCE OF THE INFORMATION. RECORD ONE RESPONSE FOR EACH TEST.</t>
  </si>
  <si>
    <t>select_one recd</t>
  </si>
  <si>
    <t>note</t>
  </si>
  <si>
    <t>select_one equip</t>
  </si>
  <si>
    <t>f1_05_05</t>
  </si>
  <si>
    <t>(5.05) Where is the lab equipment located?</t>
  </si>
  <si>
    <t>note</t>
  </si>
  <si>
    <t>(5.06) INTERVIEWER: RECORD QUANTITY OF EACH EQUIPMENT FUNCTIONING. RECORD ONE RESPONSE FOR EACH EQUIPMENT. RECORD 98 IF NOT FUNCTIONING OR NOT AVAILABLE.</t>
  </si>
  <si>
    <t>integer</t>
  </si>
  <si>
    <t>a. Microscope</t>
  </si>
  <si>
    <t>integer</t>
  </si>
  <si>
    <t>b. Centrifuge</t>
  </si>
  <si>
    <t>integer</t>
  </si>
  <si>
    <t>c. Hemoglobinometer</t>
  </si>
  <si>
    <t>integer</t>
  </si>
  <si>
    <t>d. Refrigerator for storing reagents</t>
  </si>
  <si>
    <t>select_one yesno3</t>
  </si>
  <si>
    <t>f1_05_07</t>
  </si>
  <si>
    <t>integer</t>
  </si>
  <si>
    <t>f1_05_08</t>
  </si>
  <si>
    <t>end group</t>
  </si>
  <si>
    <t>end group</t>
  </si>
  <si>
    <t>begin group</t>
  </si>
  <si>
    <t>begin group</t>
  </si>
  <si>
    <t>note</t>
  </si>
  <si>
    <t>note</t>
  </si>
  <si>
    <t>f1_06n_01</t>
  </si>
  <si>
    <t>end group</t>
  </si>
  <si>
    <t>f1_06_01</t>
  </si>
  <si>
    <t>(6.01) Does this facility provide immunization services?</t>
  </si>
  <si>
    <t>select_one yesno</t>
  </si>
  <si>
    <t>f1_06_02</t>
  </si>
  <si>
    <t>(6.02) Is there a separate room or area for immunizations?</t>
  </si>
  <si>
    <t>select_one act</t>
  </si>
  <si>
    <t>f1_06_03</t>
  </si>
  <si>
    <t>(6.03) Are immunizations regularly given to children at the facility or in outreach activities?</t>
  </si>
  <si>
    <t>select_one yesno</t>
  </si>
  <si>
    <t>f1_06_04</t>
  </si>
  <si>
    <t>(6.04) Is there a vaccination outreach work plan for the current year?</t>
  </si>
  <si>
    <t>integer</t>
  </si>
  <si>
    <t>f1_06_05</t>
  </si>
  <si>
    <t>(6.05) In the last 30 days, on how many days did the facility staff do vaccination outreach in the community?</t>
  </si>
  <si>
    <t>(6.06) Does this facility have a [STORAGE METHOD] for storing vaccines?</t>
  </si>
  <si>
    <t>select_one yesno3</t>
  </si>
  <si>
    <t>f1_06_07</t>
  </si>
  <si>
    <t>end group</t>
  </si>
  <si>
    <t>integer</t>
  </si>
  <si>
    <t>f1_06_08</t>
  </si>
  <si>
    <t>integer</t>
  </si>
  <si>
    <t>select_one yesno</t>
  </si>
  <si>
    <t>note</t>
  </si>
  <si>
    <t>select_one yesno</t>
  </si>
  <si>
    <t>select_one yesno</t>
  </si>
  <si>
    <t>integer</t>
  </si>
  <si>
    <t>integer</t>
  </si>
  <si>
    <t>select_one inte</t>
  </si>
  <si>
    <t>select_one yesno</t>
  </si>
  <si>
    <t>end group</t>
  </si>
  <si>
    <t>note</t>
  </si>
  <si>
    <t>select_one yesno</t>
  </si>
  <si>
    <t>select_one mng</t>
  </si>
  <si>
    <t>select_one yesno</t>
  </si>
  <si>
    <t>select_one offd</t>
  </si>
  <si>
    <t>integer</t>
  </si>
  <si>
    <t>integer</t>
  </si>
  <si>
    <t>integer</t>
  </si>
  <si>
    <t>integer</t>
  </si>
  <si>
    <t>integer</t>
  </si>
  <si>
    <t>integer</t>
  </si>
  <si>
    <t>note</t>
  </si>
  <si>
    <t>select_one yesno</t>
  </si>
  <si>
    <t>select_one manage</t>
  </si>
  <si>
    <t>select_one yesno3</t>
  </si>
  <si>
    <t>select_one yesno3</t>
  </si>
  <si>
    <t>select_one yesno</t>
  </si>
  <si>
    <t>select_one card</t>
  </si>
  <si>
    <t>text</t>
  </si>
  <si>
    <t>select_one see</t>
  </si>
  <si>
    <t>note</t>
  </si>
  <si>
    <t>begin group</t>
  </si>
  <si>
    <t>integer</t>
  </si>
  <si>
    <t>integer</t>
  </si>
  <si>
    <t>f1_06_44</t>
  </si>
  <si>
    <t>end group</t>
  </si>
  <si>
    <t>integer</t>
  </si>
  <si>
    <t>begin group</t>
  </si>
  <si>
    <t>begin group</t>
  </si>
  <si>
    <t>note</t>
  </si>
  <si>
    <t>note</t>
  </si>
  <si>
    <t>f1_07_01</t>
  </si>
  <si>
    <t>(7.01) Do you have an estimate of the size of the catchment population that this facility serves, that is, the target, or total population living in the area served by this facility?</t>
  </si>
  <si>
    <t>${f1_07_01}=1</t>
  </si>
  <si>
    <t>note</t>
  </si>
  <si>
    <t>(7.02) How many people is the catchment [POPULATION CATEGORY]?</t>
  </si>
  <si>
    <t>integer</t>
  </si>
  <si>
    <t>a. Total population</t>
  </si>
  <si>
    <t>integer</t>
  </si>
  <si>
    <t>b. Total male population</t>
  </si>
  <si>
    <t>integer</t>
  </si>
  <si>
    <t>c. Total female population</t>
  </si>
  <si>
    <t>integer</t>
  </si>
  <si>
    <t>integer</t>
  </si>
  <si>
    <t>e. Total &lt;5 years population</t>
  </si>
  <si>
    <t>integer</t>
  </si>
  <si>
    <t>f. Total &lt;1 year population</t>
  </si>
  <si>
    <t>end group</t>
  </si>
  <si>
    <t>note</t>
  </si>
  <si>
    <t>begin group</t>
  </si>
  <si>
    <t>integer</t>
  </si>
  <si>
    <t>integer</t>
  </si>
  <si>
    <t>integer</t>
  </si>
  <si>
    <t>begin group</t>
  </si>
  <si>
    <t>note</t>
  </si>
  <si>
    <t>integer</t>
  </si>
  <si>
    <t>begin group</t>
  </si>
  <si>
    <t>integer</t>
  </si>
  <si>
    <t>select_one monthly</t>
  </si>
  <si>
    <t>begin group</t>
  </si>
  <si>
    <t>field-list</t>
  </si>
  <si>
    <t>select_one monthly</t>
  </si>
  <si>
    <t>select_one monthly</t>
  </si>
  <si>
    <t>select_one monthly</t>
  </si>
  <si>
    <t>select_one monthly</t>
  </si>
  <si>
    <t>end group</t>
  </si>
  <si>
    <t>end group</t>
  </si>
  <si>
    <t>list_name</t>
  </si>
  <si>
    <t>res</t>
  </si>
  <si>
    <t>INTERVIEW DONE</t>
  </si>
  <si>
    <t>res</t>
  </si>
  <si>
    <t>PARTIALLY COMPLETED</t>
  </si>
  <si>
    <t>res</t>
  </si>
  <si>
    <t>PERSON IN CHARGE REFUSED INTERVIEW</t>
  </si>
  <si>
    <t>res</t>
  </si>
  <si>
    <t>PERSON IN CHARGE IS OUT (STAFF THAT IS PRESENT IS NOT AUTHORIZED)</t>
  </si>
  <si>
    <t>res</t>
  </si>
  <si>
    <t>FACILITY IS EMPTY (NO STAFF MEMBERS)</t>
  </si>
  <si>
    <t>res</t>
  </si>
  <si>
    <t>HEALTH FACILITY NOT FOUND</t>
  </si>
  <si>
    <t>res</t>
  </si>
  <si>
    <t>OTHER SPECIFY</t>
  </si>
  <si>
    <t>lang</t>
  </si>
  <si>
    <t>ENGLISH</t>
  </si>
  <si>
    <t>lang</t>
  </si>
  <si>
    <t>MADINKA</t>
  </si>
  <si>
    <t>lang</t>
  </si>
  <si>
    <t>WOLOF</t>
  </si>
  <si>
    <t>lang</t>
  </si>
  <si>
    <t>FULA</t>
  </si>
  <si>
    <t>lang</t>
  </si>
  <si>
    <t>JOLA</t>
  </si>
  <si>
    <t>lang</t>
  </si>
  <si>
    <t>SERER</t>
  </si>
  <si>
    <t>lang</t>
  </si>
  <si>
    <t>SARAHULE</t>
  </si>
  <si>
    <t>lang</t>
  </si>
  <si>
    <t>OTHER, SPECIFY:</t>
  </si>
  <si>
    <t>freq</t>
  </si>
  <si>
    <t>NEVER</t>
  </si>
  <si>
    <t>freq</t>
  </si>
  <si>
    <t>SOMETIMES</t>
  </si>
  <si>
    <t>freq</t>
  </si>
  <si>
    <t>ALWAYS</t>
  </si>
  <si>
    <t>yesno</t>
  </si>
  <si>
    <t>YES</t>
  </si>
  <si>
    <t>NO</t>
  </si>
  <si>
    <t>job</t>
  </si>
  <si>
    <t>Doctor or medical officer</t>
  </si>
  <si>
    <t>job</t>
  </si>
  <si>
    <t>Clinical officer</t>
  </si>
  <si>
    <t>job</t>
  </si>
  <si>
    <t>job</t>
  </si>
  <si>
    <t>Nurse (SEN/SRN)</t>
  </si>
  <si>
    <t>job</t>
  </si>
  <si>
    <t>Midwife (SCM/SEM)</t>
  </si>
  <si>
    <t>job</t>
  </si>
  <si>
    <t>Pharmacist</t>
  </si>
  <si>
    <t>job</t>
  </si>
  <si>
    <t>job</t>
  </si>
  <si>
    <t>Nursing assistant</t>
  </si>
  <si>
    <t>job</t>
  </si>
  <si>
    <t>Pharmacy technician/Dispenser</t>
  </si>
  <si>
    <t>job</t>
  </si>
  <si>
    <t>Lab technician</t>
  </si>
  <si>
    <t>job</t>
  </si>
  <si>
    <t>hos</t>
  </si>
  <si>
    <t>hos</t>
  </si>
  <si>
    <t>hos</t>
  </si>
  <si>
    <t>NO</t>
  </si>
  <si>
    <t>time</t>
  </si>
  <si>
    <t>Weekdays</t>
  </si>
  <si>
    <t>time</t>
  </si>
  <si>
    <t>Saturday</t>
  </si>
  <si>
    <t>time</t>
  </si>
  <si>
    <t>Sunday</t>
  </si>
  <si>
    <t>time</t>
  </si>
  <si>
    <t>Holidays</t>
  </si>
  <si>
    <t>hours</t>
  </si>
  <si>
    <t>Monday</t>
  </si>
  <si>
    <t>hours</t>
  </si>
  <si>
    <t>Tuesday</t>
  </si>
  <si>
    <t>hours</t>
  </si>
  <si>
    <t>Wednesday</t>
  </si>
  <si>
    <t>hours</t>
  </si>
  <si>
    <t>Thursday</t>
  </si>
  <si>
    <t>hours</t>
  </si>
  <si>
    <t>Friday</t>
  </si>
  <si>
    <t>hours</t>
  </si>
  <si>
    <t>Saturday</t>
  </si>
  <si>
    <t>hours</t>
  </si>
  <si>
    <t>Sunday</t>
  </si>
  <si>
    <t>main</t>
  </si>
  <si>
    <t>main</t>
  </si>
  <si>
    <t>USER FEES</t>
  </si>
  <si>
    <t>main</t>
  </si>
  <si>
    <t>DRUG SALES</t>
  </si>
  <si>
    <t>main</t>
  </si>
  <si>
    <t>FAITH BASED ORGANIZATIONS</t>
  </si>
  <si>
    <t>main</t>
  </si>
  <si>
    <t>PRIVATE COMPANY</t>
  </si>
  <si>
    <t>main</t>
  </si>
  <si>
    <t>DONOR</t>
  </si>
  <si>
    <t>main</t>
  </si>
  <si>
    <t>INSURANCE PAYMENTS</t>
  </si>
  <si>
    <t>main</t>
  </si>
  <si>
    <t>OTHER, SPECIFY:</t>
  </si>
  <si>
    <t>amo</t>
  </si>
  <si>
    <t>MINISTRY OF HEALTH / DISTRICT HEALTH MANAGEMENT TEAM</t>
  </si>
  <si>
    <t>amo</t>
  </si>
  <si>
    <t>USER FEES</t>
  </si>
  <si>
    <t>amo</t>
  </si>
  <si>
    <t>DRUG SALES</t>
  </si>
  <si>
    <t>amo</t>
  </si>
  <si>
    <t>FAITH BASED ORGANIZATIONS</t>
  </si>
  <si>
    <t>amo</t>
  </si>
  <si>
    <t>PRIVATE COMPANY</t>
  </si>
  <si>
    <t>amo</t>
  </si>
  <si>
    <t>DONOR</t>
  </si>
  <si>
    <t>amo</t>
  </si>
  <si>
    <t>INSURANCE PAYMENTS</t>
  </si>
  <si>
    <t>amo</t>
  </si>
  <si>
    <t>OTHER, SPECIFY:</t>
  </si>
  <si>
    <t>obtain</t>
  </si>
  <si>
    <t>OFFICIAL ACCOUNTS</t>
  </si>
  <si>
    <t>obtain</t>
  </si>
  <si>
    <t>FACILITY RECORDS</t>
  </si>
  <si>
    <t>obtain</t>
  </si>
  <si>
    <t>NO SOURCE: ORAL REPORT</t>
  </si>
  <si>
    <t>obtain</t>
  </si>
  <si>
    <t>OTHER, SPECIFY:</t>
  </si>
  <si>
    <t>RBF MONITORING SYSTEM</t>
  </si>
  <si>
    <t>OTHER FACILITY RECORD</t>
  </si>
  <si>
    <t>NO SOURCE: ORAL REPORT</t>
  </si>
  <si>
    <t>OTHER, SPECIFY:</t>
  </si>
  <si>
    <t>Generator</t>
  </si>
  <si>
    <t>Solar</t>
  </si>
  <si>
    <t>No source of electricity</t>
  </si>
  <si>
    <t>Piped into Facility</t>
  </si>
  <si>
    <t>Piped into Yard/Plot</t>
  </si>
  <si>
    <t>Public tap/Standpipe</t>
  </si>
  <si>
    <t>Protected well</t>
  </si>
  <si>
    <t>Unprotected well</t>
  </si>
  <si>
    <t>Unprotected spring</t>
  </si>
  <si>
    <t>Rainwater</t>
  </si>
  <si>
    <t>Surface water (lake, river or stream)</t>
  </si>
  <si>
    <t>Bottled water</t>
  </si>
  <si>
    <t>Other, specify:</t>
  </si>
  <si>
    <t>sou</t>
  </si>
  <si>
    <t>ONLY FACILITY</t>
  </si>
  <si>
    <t>sou</t>
  </si>
  <si>
    <t>SHARED</t>
  </si>
  <si>
    <t>yesno2</t>
  </si>
  <si>
    <t>YES, LANDLINE</t>
  </si>
  <si>
    <t>yesno2</t>
  </si>
  <si>
    <t>YES, MOBILE</t>
  </si>
  <si>
    <t>yesno2</t>
  </si>
  <si>
    <t>YES, BOTH</t>
  </si>
  <si>
    <t>yesno2</t>
  </si>
  <si>
    <t>NO</t>
  </si>
  <si>
    <t>faci</t>
  </si>
  <si>
    <t>faci</t>
  </si>
  <si>
    <t>faci</t>
  </si>
  <si>
    <t>faci</t>
  </si>
  <si>
    <t>yesno3</t>
  </si>
  <si>
    <t>YES, SEEN</t>
  </si>
  <si>
    <t>yesno3</t>
  </si>
  <si>
    <t>YES, NOT SEEN</t>
  </si>
  <si>
    <t>yesno3</t>
  </si>
  <si>
    <t>NO</t>
  </si>
  <si>
    <t>bei</t>
  </si>
  <si>
    <t>Chlorhexidine (gluconate)</t>
  </si>
  <si>
    <t>bei</t>
  </si>
  <si>
    <t>Dakin</t>
  </si>
  <si>
    <t>bei</t>
  </si>
  <si>
    <t>Sodium Hypochlorite/Chlorine solution/JIK solution</t>
  </si>
  <si>
    <t>bei</t>
  </si>
  <si>
    <t>Methylated spirit</t>
  </si>
  <si>
    <t>bei</t>
  </si>
  <si>
    <t>Other, specify:</t>
  </si>
  <si>
    <t>dec</t>
  </si>
  <si>
    <t>SOAKED IN DISINFECTANT SOLUTION AND THEN BRUSH SCRUBBED WITH SOAP+WATER</t>
  </si>
  <si>
    <t>dec</t>
  </si>
  <si>
    <t>BRUSH SCRUBBED WITH SOAP AND WATER AND THEN SOAKED IN DISINFECTANT SOLUTION</t>
  </si>
  <si>
    <t>dec</t>
  </si>
  <si>
    <t>BRUSH SCRUBBED WITH SOAP AND WATER ONLY</t>
  </si>
  <si>
    <t>dec</t>
  </si>
  <si>
    <t>SOAKED IN DISINFECTANT SOLUTION ONLY</t>
  </si>
  <si>
    <t>dec</t>
  </si>
  <si>
    <t>CLEANED WITH SOAP &amp; WATER</t>
  </si>
  <si>
    <t>dec</t>
  </si>
  <si>
    <t>EQUIPMENT NEVER DECONTAMINATED</t>
  </si>
  <si>
    <t>dec</t>
  </si>
  <si>
    <t>EQUIPMENT NEVER REUSED</t>
  </si>
  <si>
    <t>dec</t>
  </si>
  <si>
    <t>OTHER, SPECIFY:</t>
  </si>
  <si>
    <t>DRY-HEAT STERILIZATION</t>
  </si>
  <si>
    <t>AUTOCLAVING</t>
  </si>
  <si>
    <t>BOILING</t>
  </si>
  <si>
    <t>STEAM STERILIZATION</t>
  </si>
  <si>
    <t>CHEMICAL METHOD</t>
  </si>
  <si>
    <t>PROCESSED OUTSIDE FACILITY</t>
  </si>
  <si>
    <t>NONE</t>
  </si>
  <si>
    <t>dis</t>
  </si>
  <si>
    <t>DISPLAYED</t>
  </si>
  <si>
    <t>dis</t>
  </si>
  <si>
    <t>NOT DISPLAYED</t>
  </si>
  <si>
    <t>bio</t>
  </si>
  <si>
    <t>BURIED IN PIT</t>
  </si>
  <si>
    <t>bio</t>
  </si>
  <si>
    <t>BURNED</t>
  </si>
  <si>
    <t>bio</t>
  </si>
  <si>
    <t>THROWN OUTSIDE</t>
  </si>
  <si>
    <t>bio</t>
  </si>
  <si>
    <t>OUTSOURCED</t>
  </si>
  <si>
    <t>bio</t>
  </si>
  <si>
    <t>comm</t>
  </si>
  <si>
    <t>Health facility director/head</t>
  </si>
  <si>
    <t>comm</t>
  </si>
  <si>
    <t>comm</t>
  </si>
  <si>
    <t>comm</t>
  </si>
  <si>
    <t>Community Health Workers</t>
  </si>
  <si>
    <t>comm</t>
  </si>
  <si>
    <t>comm</t>
  </si>
  <si>
    <t>Non Governmental Organization staff</t>
  </si>
  <si>
    <t>comm</t>
  </si>
  <si>
    <t>exe</t>
  </si>
  <si>
    <t>ADMINISTRATIVE SUPPORT TO FACILITY, E.G. APPROVING PAYMENTS</t>
  </si>
  <si>
    <t>exe</t>
  </si>
  <si>
    <t>PROVIDED NEW SUPPLIES OR EQUIPMENT</t>
  </si>
  <si>
    <t>exe</t>
  </si>
  <si>
    <t>PROVIDED NEW INFRASTRUCTURE</t>
  </si>
  <si>
    <t>exe</t>
  </si>
  <si>
    <t>PROVIDED REPAIRS TO FACILITY</t>
  </si>
  <si>
    <t>exe</t>
  </si>
  <si>
    <t>PROVIDED DRUGS</t>
  </si>
  <si>
    <t>exe</t>
  </si>
  <si>
    <t>SENSITIZATION / MOBILIZED COMMUNITY TO USE THE HEALTH FACILITY</t>
  </si>
  <si>
    <t>exe</t>
  </si>
  <si>
    <t>PROVIDED TRANSPORT TO STAFF FOR HOME VISITS</t>
  </si>
  <si>
    <t>exe</t>
  </si>
  <si>
    <t>GAVE IN-KIND CONTRIBUTIONS</t>
  </si>
  <si>
    <t>exe</t>
  </si>
  <si>
    <t>IMPROVED SECURITY AT THE FACILITY</t>
  </si>
  <si>
    <t>exe</t>
  </si>
  <si>
    <t>IMPROVED WATER QUALITY</t>
  </si>
  <si>
    <t>exe</t>
  </si>
  <si>
    <t>IMPROVED WATER SUPPLY (QUANTITY)</t>
  </si>
  <si>
    <t>exec</t>
  </si>
  <si>
    <t>SUPPORTED TRAINING FOR COMMUNITY HEALTH WORKERS</t>
  </si>
  <si>
    <t>exec</t>
  </si>
  <si>
    <t>SUPPORTED OUTREACH TEAMS</t>
  </si>
  <si>
    <t>exec</t>
  </si>
  <si>
    <t>VERIFIED HEALTH FACILITY MATERNAL AND CHILD HEALTH-RELATED RESULTS</t>
  </si>
  <si>
    <t>exec</t>
  </si>
  <si>
    <t>ENVIRONMENTAL SANITATION (E.G. DESTRUCTION OF MOSQUITO BREEDING SITES)</t>
  </si>
  <si>
    <t>exec</t>
  </si>
  <si>
    <t>INDOOR RESIDUAL SPRAY</t>
  </si>
  <si>
    <t>exec</t>
  </si>
  <si>
    <t>SCREENING OF DISEASES</t>
  </si>
  <si>
    <t>exec</t>
  </si>
  <si>
    <t>REPORTED AND COLLECTED DATA FOR RESULTS-BASED FINANCING ACTIVITIES</t>
  </si>
  <si>
    <t>exec</t>
  </si>
  <si>
    <t>DESIGNED THE RESULTS-BASED FINANCING SCHEME</t>
  </si>
  <si>
    <t>exec</t>
  </si>
  <si>
    <t>PARTICIPATED IN TRAINING AND AWARENESS RAISING OF THE RESULTS-BASED FINANCING SCHEME</t>
  </si>
  <si>
    <t>exec</t>
  </si>
  <si>
    <t>OTHER, SPECIFY:</t>
  </si>
  <si>
    <t>inv</t>
  </si>
  <si>
    <t>Health facility director</t>
  </si>
  <si>
    <t>inv</t>
  </si>
  <si>
    <t>Health facility staff</t>
  </si>
  <si>
    <t>inv</t>
  </si>
  <si>
    <t>Non governmental Organization staff</t>
  </si>
  <si>
    <t>inv</t>
  </si>
  <si>
    <t>Ministry of Health / District Health Management Team</t>
  </si>
  <si>
    <t>inv</t>
  </si>
  <si>
    <t>Village Support Groups</t>
  </si>
  <si>
    <t>inv</t>
  </si>
  <si>
    <t>Hospital/Health center executive committee</t>
  </si>
  <si>
    <t>inv</t>
  </si>
  <si>
    <t>Hospital management</t>
  </si>
  <si>
    <t>inv</t>
  </si>
  <si>
    <t>Community Health Worker Cooperative president / leader</t>
  </si>
  <si>
    <t>inv</t>
  </si>
  <si>
    <t>Community Health Workers</t>
  </si>
  <si>
    <t>inv</t>
  </si>
  <si>
    <t>Community members</t>
  </si>
  <si>
    <t>inv</t>
  </si>
  <si>
    <t>Health Center Committee</t>
  </si>
  <si>
    <t>inv</t>
  </si>
  <si>
    <t>Other, specify:</t>
  </si>
  <si>
    <t>list</t>
  </si>
  <si>
    <t>Antenatal care</t>
  </si>
  <si>
    <t>list</t>
  </si>
  <si>
    <t>Institutional delivery</t>
  </si>
  <si>
    <t>list</t>
  </si>
  <si>
    <t>Postnatal care</t>
  </si>
  <si>
    <t>list</t>
  </si>
  <si>
    <t>Immunization</t>
  </si>
  <si>
    <t>list</t>
  </si>
  <si>
    <t>Curative consultations</t>
  </si>
  <si>
    <t>list</t>
  </si>
  <si>
    <t>Family planning/Reproductive health</t>
  </si>
  <si>
    <t>list</t>
  </si>
  <si>
    <t>Nutrition</t>
  </si>
  <si>
    <t>list</t>
  </si>
  <si>
    <t>Integrated management of childhood illness</t>
  </si>
  <si>
    <t>list</t>
  </si>
  <si>
    <t>Malaria</t>
  </si>
  <si>
    <t>list</t>
  </si>
  <si>
    <t>Tuberculosis</t>
  </si>
  <si>
    <t>list</t>
  </si>
  <si>
    <t>HIV/AIDS</t>
  </si>
  <si>
    <t>list</t>
  </si>
  <si>
    <t>Health promotion and monitoring</t>
  </si>
  <si>
    <t>list</t>
  </si>
  <si>
    <t>Other, specify:</t>
  </si>
  <si>
    <t>staff</t>
  </si>
  <si>
    <t>All have work descriptions</t>
  </si>
  <si>
    <t>Some have work descriptions</t>
  </si>
  <si>
    <t>None have work descriptions</t>
  </si>
  <si>
    <t>MALE</t>
  </si>
  <si>
    <t>FEMALE</t>
  </si>
  <si>
    <t>aca</t>
  </si>
  <si>
    <t>Primary education Certificate</t>
  </si>
  <si>
    <t>aca</t>
  </si>
  <si>
    <t>Secondary/ High School educ.certificate</t>
  </si>
  <si>
    <t>aca</t>
  </si>
  <si>
    <t>Colllege Degree</t>
  </si>
  <si>
    <t>aca</t>
  </si>
  <si>
    <t>Masters Degree</t>
  </si>
  <si>
    <t>aca</t>
  </si>
  <si>
    <t>Doctoral degree</t>
  </si>
  <si>
    <t>aca</t>
  </si>
  <si>
    <t>Post Graduate</t>
  </si>
  <si>
    <t>aca</t>
  </si>
  <si>
    <t>Post Doctoral</t>
  </si>
  <si>
    <t>aca</t>
  </si>
  <si>
    <t>No education</t>
  </si>
  <si>
    <t>aca</t>
  </si>
  <si>
    <t>Other, specify:</t>
  </si>
  <si>
    <t>pos</t>
  </si>
  <si>
    <t>pos</t>
  </si>
  <si>
    <t>pos</t>
  </si>
  <si>
    <t>pos</t>
  </si>
  <si>
    <t>pos</t>
  </si>
  <si>
    <t>pos</t>
  </si>
  <si>
    <t>pos</t>
  </si>
  <si>
    <t>pos</t>
  </si>
  <si>
    <t>pos</t>
  </si>
  <si>
    <t>pos</t>
  </si>
  <si>
    <t>pos</t>
  </si>
  <si>
    <t>pos</t>
  </si>
  <si>
    <t>pos</t>
  </si>
  <si>
    <t>pos</t>
  </si>
  <si>
    <t>pos</t>
  </si>
  <si>
    <t>pos</t>
  </si>
  <si>
    <t>pos</t>
  </si>
  <si>
    <t>pos</t>
  </si>
  <si>
    <t>Other clinical</t>
  </si>
  <si>
    <t>why</t>
  </si>
  <si>
    <t>OFFICIALLY OFF DUTY</t>
  </si>
  <si>
    <t>why</t>
  </si>
  <si>
    <t>ON SICK LEAVE</t>
  </si>
  <si>
    <t>why</t>
  </si>
  <si>
    <t>ON TRAINING</t>
  </si>
  <si>
    <t>ON MATERNITY LEAVE</t>
  </si>
  <si>
    <t>why</t>
  </si>
  <si>
    <t>OTHER AUTHORIZED ABSENCE</t>
  </si>
  <si>
    <t>why</t>
  </si>
  <si>
    <t>LATE</t>
  </si>
  <si>
    <t>why</t>
  </si>
  <si>
    <t>UNAUTHORIZED ABSENCE</t>
  </si>
  <si>
    <t>why</t>
  </si>
  <si>
    <t>prov</t>
  </si>
  <si>
    <t>PRENATAL CARE</t>
  </si>
  <si>
    <t>prov</t>
  </si>
  <si>
    <t>DELIVERIES</t>
  </si>
  <si>
    <t>prov</t>
  </si>
  <si>
    <t>CHILD POSTNATAL CARE</t>
  </si>
  <si>
    <t>prov</t>
  </si>
  <si>
    <t>MOTHER POSTNATAL CARE</t>
  </si>
  <si>
    <t>prov</t>
  </si>
  <si>
    <t>CHILD PREVENTIVE CARE</t>
  </si>
  <si>
    <t>prov</t>
  </si>
  <si>
    <t>CHILD CURATIVE CARE</t>
  </si>
  <si>
    <t>prov</t>
  </si>
  <si>
    <t>ADULT CURATIVE CARE</t>
  </si>
  <si>
    <t>prov</t>
  </si>
  <si>
    <t>VOLUNTARY COUNSELING AND TESTING</t>
  </si>
  <si>
    <t>prov</t>
  </si>
  <si>
    <t>NON-CLINICAL (ADMIN, RECEPTION, ETC)</t>
  </si>
  <si>
    <t>able</t>
  </si>
  <si>
    <t>Able to do this test today</t>
  </si>
  <si>
    <t>able</t>
  </si>
  <si>
    <t>Able to do in past 3 months but not today</t>
  </si>
  <si>
    <t>able</t>
  </si>
  <si>
    <t>Cannot do this test, today or in past 3 months</t>
  </si>
  <si>
    <t>recd</t>
  </si>
  <si>
    <t>RECORDS</t>
  </si>
  <si>
    <t>recd</t>
  </si>
  <si>
    <t>NO RECORDS AVAILABLE, ORAL REPORT</t>
  </si>
  <si>
    <t>equip</t>
  </si>
  <si>
    <t>Separate laboratory</t>
  </si>
  <si>
    <t>equip</t>
  </si>
  <si>
    <t>Room that is also used for other activities</t>
  </si>
  <si>
    <t>equip</t>
  </si>
  <si>
    <t>Other, specify:</t>
  </si>
  <si>
    <t>quan</t>
  </si>
  <si>
    <t>a. Microscope</t>
  </si>
  <si>
    <t>quan</t>
  </si>
  <si>
    <t>b. Centrifuge</t>
  </si>
  <si>
    <t>quan</t>
  </si>
  <si>
    <t>c. Hemoglobinometer</t>
  </si>
  <si>
    <t>quan</t>
  </si>
  <si>
    <t>d. Refrigerator for storing reagents</t>
  </si>
  <si>
    <t>Facility only</t>
  </si>
  <si>
    <t>act</t>
  </si>
  <si>
    <t>Outreach only</t>
  </si>
  <si>
    <t>act</t>
  </si>
  <si>
    <t>Facility and outreach</t>
  </si>
  <si>
    <t>sto</t>
  </si>
  <si>
    <t>a. Ice Lined Refrigerator (ILR)</t>
  </si>
  <si>
    <t>sto</t>
  </si>
  <si>
    <t>b. Cold Box</t>
  </si>
  <si>
    <t>sto</t>
  </si>
  <si>
    <t>c. Refrigerator</t>
  </si>
  <si>
    <t>sto</t>
  </si>
  <si>
    <t>d. Vaccine Carriers</t>
  </si>
  <si>
    <t>imm</t>
  </si>
  <si>
    <t>Given to caregiver to bring for next visit</t>
  </si>
  <si>
    <t>imm</t>
  </si>
  <si>
    <t>Kept at facility</t>
  </si>
  <si>
    <t>imm</t>
  </si>
  <si>
    <t>One copy given to caregiver and one kept at facility</t>
  </si>
  <si>
    <t>imm</t>
  </si>
  <si>
    <t>Other, specify:</t>
  </si>
  <si>
    <t>see</t>
  </si>
  <si>
    <t>SEEN</t>
  </si>
  <si>
    <t>see</t>
  </si>
  <si>
    <t>NOT SEEN</t>
  </si>
  <si>
    <t>inte</t>
  </si>
  <si>
    <t>RECORDS SEEN: All the time</t>
  </si>
  <si>
    <t>inte</t>
  </si>
  <si>
    <t>RECORDS SEEN: Sometimes</t>
  </si>
  <si>
    <t>inte</t>
  </si>
  <si>
    <t>RECORDS SEEN: Seldom or never</t>
  </si>
  <si>
    <t>inte</t>
  </si>
  <si>
    <t>RECORDS NOT SEEN, ORAL REPORT: All the time</t>
  </si>
  <si>
    <t>inte</t>
  </si>
  <si>
    <t>RECORDS NOT SEEN, ORAL REPORT: Sometimes</t>
  </si>
  <si>
    <t>inte</t>
  </si>
  <si>
    <t>RECORDS NOT SEEN, ORAL REPORT: Seldom or never</t>
  </si>
  <si>
    <t>iss</t>
  </si>
  <si>
    <t>Given to mother to bring for next visit</t>
  </si>
  <si>
    <t>iss</t>
  </si>
  <si>
    <t>Kept at facility</t>
  </si>
  <si>
    <t>iss</t>
  </si>
  <si>
    <t>One copy given to mother and one kept at facility</t>
  </si>
  <si>
    <t>iss</t>
  </si>
  <si>
    <t>Other, specify:</t>
  </si>
  <si>
    <t>Only in facility</t>
  </si>
  <si>
    <t>Only in community</t>
  </si>
  <si>
    <t>Both in facility and community</t>
  </si>
  <si>
    <t>mng</t>
  </si>
  <si>
    <t>Can be managed now</t>
  </si>
  <si>
    <t>mng</t>
  </si>
  <si>
    <t>Usually, but not now</t>
  </si>
  <si>
    <t>mng</t>
  </si>
  <si>
    <t>Must be referred</t>
  </si>
  <si>
    <t>offd</t>
  </si>
  <si>
    <t>Specific hours only</t>
  </si>
  <si>
    <t>offd</t>
  </si>
  <si>
    <t>Outpatient hours only</t>
  </si>
  <si>
    <t>offd</t>
  </si>
  <si>
    <t>Both specific and outpatient hours</t>
  </si>
  <si>
    <t>tube</t>
  </si>
  <si>
    <t>Diagnosis services only</t>
  </si>
  <si>
    <t>tube</t>
  </si>
  <si>
    <t>Treatment services only</t>
  </si>
  <si>
    <t>tube</t>
  </si>
  <si>
    <t>Both diagnosis and treatment services</t>
  </si>
  <si>
    <t>tube</t>
  </si>
  <si>
    <t>None</t>
  </si>
  <si>
    <t>manage</t>
  </si>
  <si>
    <t>Health Facility Staff</t>
  </si>
  <si>
    <t>manage</t>
  </si>
  <si>
    <t>Community health worker</t>
  </si>
  <si>
    <t>manage</t>
  </si>
  <si>
    <t>manage</t>
  </si>
  <si>
    <t>Other, specify:</t>
  </si>
  <si>
    <t>card</t>
  </si>
  <si>
    <t>Given to patient to bring for next visit</t>
  </si>
  <si>
    <t>card</t>
  </si>
  <si>
    <t>Kept at facility</t>
  </si>
  <si>
    <t>card</t>
  </si>
  <si>
    <t>One copy given to patient and one kept at facility</t>
  </si>
  <si>
    <t>card</t>
  </si>
  <si>
    <t>Other, specify:</t>
  </si>
  <si>
    <t>monthly</t>
  </si>
  <si>
    <t>monthly</t>
  </si>
  <si>
    <t>monthly</t>
  </si>
  <si>
    <t>inq</t>
  </si>
  <si>
    <t>In-facility</t>
  </si>
  <si>
    <t>inq</t>
  </si>
  <si>
    <t>Outreach</t>
  </si>
  <si>
    <t>begin group</t>
    <phoneticPr fontId="5"/>
  </si>
  <si>
    <t>integer</t>
    <phoneticPr fontId="5"/>
  </si>
  <si>
    <t>end group</t>
    <phoneticPr fontId="5"/>
  </si>
  <si>
    <t>note</t>
    <phoneticPr fontId="5"/>
  </si>
  <si>
    <t>MONTH 1</t>
  </si>
  <si>
    <t>IN</t>
  </si>
  <si>
    <t>OUT</t>
  </si>
  <si>
    <t>MONTH 2</t>
  </si>
  <si>
    <t>MONTH 3</t>
  </si>
  <si>
    <t>select_one ins</t>
    <phoneticPr fontId="5"/>
  </si>
  <si>
    <t>f1_09_10_a</t>
  </si>
  <si>
    <t>f1_09_10_b</t>
  </si>
  <si>
    <t>f1_09_10_c</t>
  </si>
  <si>
    <t>f1_09_10_d</t>
  </si>
  <si>
    <t>f1_09_10_e</t>
  </si>
  <si>
    <t>f1_09_10_f</t>
  </si>
  <si>
    <t>f1_09_10_g</t>
  </si>
  <si>
    <t>f1_09_10_h</t>
  </si>
  <si>
    <t>f1_09_10_i</t>
  </si>
  <si>
    <t>f1_09_10_j</t>
  </si>
  <si>
    <t>f1_09_11_a</t>
  </si>
  <si>
    <t>f1_09_11_b</t>
  </si>
  <si>
    <t>f1_09_11_c</t>
  </si>
  <si>
    <t>f1_09_11_d</t>
  </si>
  <si>
    <t>f1_09_11_e</t>
  </si>
  <si>
    <t>f1_09_11_f</t>
  </si>
  <si>
    <t>f1_09_11_g</t>
  </si>
  <si>
    <t>f1_09_11_h</t>
  </si>
  <si>
    <t>f1_09_11_i</t>
  </si>
  <si>
    <t>f1_09_11_j</t>
  </si>
  <si>
    <t>f1_09_11_k</t>
  </si>
  <si>
    <t>f1_09_12_a</t>
  </si>
  <si>
    <t>f1_09_12_b</t>
  </si>
  <si>
    <t>f1_09_12_c</t>
  </si>
  <si>
    <t>f1_09_12_d</t>
  </si>
  <si>
    <t>f1_09_12_e</t>
  </si>
  <si>
    <t>f1_09_12_f</t>
  </si>
  <si>
    <t>f1_09_12_g</t>
  </si>
  <si>
    <t>f1_09_12_h</t>
  </si>
  <si>
    <t>f1_09_13</t>
  </si>
  <si>
    <t>f1_09_14</t>
  </si>
  <si>
    <t>f1_09_15</t>
  </si>
  <si>
    <t>f1_09_16_a</t>
  </si>
  <si>
    <t>f1_09_16_b</t>
  </si>
  <si>
    <t>f1_09_16_c</t>
  </si>
  <si>
    <t>f1_09_16_d</t>
  </si>
  <si>
    <t>f1_09_16_e</t>
  </si>
  <si>
    <t>f1_09_16_f</t>
  </si>
  <si>
    <t>f1_09_16_g</t>
  </si>
  <si>
    <t>f1_09_17_a</t>
  </si>
  <si>
    <t>f1_09_17_b</t>
  </si>
  <si>
    <t>f1_09_17_c</t>
  </si>
  <si>
    <t>f1_09_17_d</t>
  </si>
  <si>
    <t>f1_09_17_e</t>
  </si>
  <si>
    <t>f1_09_17_f</t>
  </si>
  <si>
    <t>f1_09_17_g</t>
  </si>
  <si>
    <t>f1_09_17_h</t>
  </si>
  <si>
    <t>f1_09_17_i</t>
  </si>
  <si>
    <t>f1_09_17_j</t>
  </si>
  <si>
    <t>a. Health facility manager/ in charge</t>
  </si>
  <si>
    <t xml:space="preserve">b. Health facility staff </t>
  </si>
  <si>
    <t>c. Non Governmental Organization staff</t>
  </si>
  <si>
    <t>d. Ministry of Health (Headquarters)</t>
  </si>
  <si>
    <t>e. Community Health Worker Cooperative president / leader</t>
  </si>
  <si>
    <t>f. Community Health Workers</t>
  </si>
  <si>
    <t>g. Community members</t>
  </si>
  <si>
    <t>h. Health Committee</t>
  </si>
  <si>
    <t xml:space="preserve">i. Other, specify: </t>
  </si>
  <si>
    <t>a. Facility infrastructure</t>
  </si>
  <si>
    <t>b. Facility equipment and supplies</t>
  </si>
  <si>
    <t>c. Drugs</t>
  </si>
  <si>
    <t>d. Facility programs</t>
  </si>
  <si>
    <t>e. Use in community</t>
  </si>
  <si>
    <t>f. Sent back to managing agency</t>
  </si>
  <si>
    <t>g. Staff salaries</t>
  </si>
  <si>
    <t>h. Staff performance bonuses</t>
  </si>
  <si>
    <t>i. Sent back to central government</t>
  </si>
  <si>
    <t>j. Sent back to decentralized government</t>
  </si>
  <si>
    <t>a. Widows</t>
  </si>
  <si>
    <t>b. Children under 5</t>
  </si>
  <si>
    <t>c. Elderly (above 65 years)</t>
  </si>
  <si>
    <t>d. Orphans</t>
  </si>
  <si>
    <t>e. Tuberculosis patients</t>
  </si>
  <si>
    <t>f. HIV/AIDS patients</t>
  </si>
  <si>
    <t>g. Extreme poor</t>
  </si>
  <si>
    <t>h. Physically disabled persons</t>
  </si>
  <si>
    <t xml:space="preserve">i. Military personnel  </t>
  </si>
  <si>
    <t xml:space="preserve">j. Pregnant women  </t>
  </si>
  <si>
    <t>k. Refugees</t>
  </si>
  <si>
    <t>l. Other, specify:</t>
  </si>
  <si>
    <t>i. Other, specify:</t>
  </si>
  <si>
    <t>a. Routine well baby visits (Including vaccination)</t>
  </si>
  <si>
    <t>b. Sick child care</t>
  </si>
  <si>
    <t>c. Adult outpatient care</t>
  </si>
  <si>
    <t>d. Antenatal care for pregnant women</t>
  </si>
  <si>
    <t>e. Delivery care for pregnant women</t>
  </si>
  <si>
    <t>f. Post partum care for women and newborns</t>
  </si>
  <si>
    <t>g. Hospital admission and inpatient care</t>
  </si>
  <si>
    <t xml:space="preserve">h. Other, specify: </t>
  </si>
  <si>
    <t>drug</t>
    <phoneticPr fontId="5"/>
  </si>
  <si>
    <t>Wholesale</t>
  </si>
  <si>
    <t>Retail</t>
  </si>
  <si>
    <t>HAS FEES</t>
  </si>
  <si>
    <t>NO FEES AT ALL</t>
  </si>
  <si>
    <t>fee</t>
    <phoneticPr fontId="5"/>
  </si>
  <si>
    <t>ins</t>
    <phoneticPr fontId="5"/>
  </si>
  <si>
    <t>Public</t>
  </si>
  <si>
    <t>Private</t>
  </si>
  <si>
    <t>Both</t>
  </si>
  <si>
    <t>f1_10_02</t>
  </si>
  <si>
    <t>f1_10_03</t>
  </si>
  <si>
    <t>f1_10_04</t>
  </si>
  <si>
    <t>f1_10_05</t>
  </si>
  <si>
    <t/>
  </si>
  <si>
    <t>sce1</t>
    <phoneticPr fontId="5"/>
  </si>
  <si>
    <t>You stress their responsibilities and standards.</t>
  </si>
  <si>
    <t>You take no particular additional action.</t>
  </si>
  <si>
    <t>You give positive feedback and make staff feel involved in the achievements.</t>
  </si>
  <si>
    <t>You emphasize the importance of deadlines and tasks.</t>
  </si>
  <si>
    <t>sce2</t>
  </si>
  <si>
    <t>You call a meeting and together try to solve the problem.</t>
  </si>
  <si>
    <t>You let your staff address this problem on their own.</t>
  </si>
  <si>
    <t>You give them direction and instructions on how to solve the problem.</t>
  </si>
  <si>
    <t>You encourage the group to solve the problem on their own, and you are available when needed to discuss.</t>
  </si>
  <si>
    <t>sce3</t>
  </si>
  <si>
    <t xml:space="preserve">You collaborate with your staff to develop the needed changes. </t>
  </si>
  <si>
    <t xml:space="preserve">You announce your vision for the changes and implement a clear plan. </t>
  </si>
  <si>
    <t>You ask your staff to develop and implement their own plan for change.</t>
  </si>
  <si>
    <t>You consult with your staff, but direct the changes yourself.</t>
  </si>
  <si>
    <t>sce4</t>
  </si>
  <si>
    <t>sce5</t>
  </si>
  <si>
    <t>You ask your staff to rethink their direction and goals and come up with a plan together.</t>
  </si>
  <si>
    <t>You ask for suggestions from your staff on what to do, and you formulate a specific plan to meet objectives.</t>
  </si>
  <si>
    <t>You redefine goals clearly and supervise whether these are being met closely.</t>
  </si>
  <si>
    <t>You allow your staff freedom to set their own goals and do not push them.</t>
  </si>
  <si>
    <t>You discuss ideas as a group and identify how to work better together.</t>
  </si>
  <si>
    <t>You let your staff work out their issues on their own.</t>
  </si>
  <si>
    <t>You act quickly and decisively to get the team back on track.</t>
  </si>
  <si>
    <t>You make yourself available to discuss any issues and support your team to work out their own problems.</t>
  </si>
  <si>
    <t>YES, PUBLICLY POSTED</t>
  </si>
  <si>
    <t>YES, NOT POSTED</t>
  </si>
  <si>
    <t>NO, NOT POSTED</t>
  </si>
  <si>
    <t>seen</t>
    <phoneticPr fontId="5"/>
  </si>
  <si>
    <t>f1_12_10</t>
  </si>
  <si>
    <t>f1_12_12</t>
  </si>
  <si>
    <t>f1_12_13</t>
  </si>
  <si>
    <t>f1_12_14</t>
  </si>
  <si>
    <t>f1_12_15</t>
  </si>
  <si>
    <t>f1_12_16</t>
  </si>
  <si>
    <t>f1_12_17</t>
  </si>
  <si>
    <t>f1_12_18</t>
  </si>
  <si>
    <t>f1_12_20</t>
  </si>
  <si>
    <t>f1_12_21</t>
  </si>
  <si>
    <t>f1_12_22</t>
  </si>
  <si>
    <t>f1_12_23</t>
  </si>
  <si>
    <t>f1_12_24</t>
  </si>
  <si>
    <t>f1_12_25</t>
  </si>
  <si>
    <t>f1_12_26</t>
  </si>
  <si>
    <t>f1_12_27</t>
  </si>
  <si>
    <t>f1_12_37</t>
  </si>
  <si>
    <t>f1_12_38</t>
  </si>
  <si>
    <t>f1_12_39</t>
  </si>
  <si>
    <t>f1_12_40</t>
  </si>
  <si>
    <t>f1_12_41</t>
  </si>
  <si>
    <t>f1_12_42</t>
  </si>
  <si>
    <t>f1_12_43</t>
  </si>
  <si>
    <t>Inpatient capacity (Number of beds)</t>
  </si>
  <si>
    <t>Service days/hours</t>
  </si>
  <si>
    <t>Staff rotation</t>
  </si>
  <si>
    <t>Management contact</t>
  </si>
  <si>
    <t>Complaints and suggestions handling policy</t>
  </si>
  <si>
    <t>RECORD RESPONSE</t>
  </si>
  <si>
    <t>Timer or clock with seconds hand</t>
  </si>
  <si>
    <t>Tape measure</t>
  </si>
  <si>
    <t>Adult weighing scale</t>
  </si>
  <si>
    <t xml:space="preserve">Blood pressure instrument </t>
  </si>
  <si>
    <t>Thermometer</t>
  </si>
  <si>
    <t>Stethoscope</t>
  </si>
  <si>
    <t>Fetoscope</t>
  </si>
  <si>
    <t>Otoscope</t>
  </si>
  <si>
    <t>Suction/aspirating device</t>
  </si>
  <si>
    <t>Vision chart</t>
  </si>
  <si>
    <t>Oxygen tank</t>
  </si>
  <si>
    <t>Bag Valve Mask (Ambu bag)</t>
  </si>
  <si>
    <t>Incubator</t>
  </si>
  <si>
    <t xml:space="preserve">Drip Stand </t>
  </si>
  <si>
    <t>Flashlight</t>
  </si>
  <si>
    <t>Stretcher</t>
  </si>
  <si>
    <t>Wheel chair</t>
  </si>
  <si>
    <t xml:space="preserve">Minor surgical instruments for procedures like incision &amp; drainage and suturing (forceps, scalpel) </t>
  </si>
  <si>
    <t>Urinary Catheter</t>
  </si>
  <si>
    <t>Examination table/bed</t>
  </si>
  <si>
    <t>Antiseptic liquid</t>
  </si>
  <si>
    <t>Electric autoclave (pressure and wet heat)</t>
  </si>
  <si>
    <t>Automatic timer (MAY BE ON EQUIPMENT)</t>
  </si>
  <si>
    <t>Time, Steam and Temperature (TST) Indicator strips or other sterilization indicators</t>
  </si>
  <si>
    <t>Vaccine thermometer</t>
  </si>
  <si>
    <t>Refrigerator</t>
  </si>
  <si>
    <t>select_one neo</t>
    <phoneticPr fontId="5"/>
  </si>
  <si>
    <t>Delivery table/bed</t>
  </si>
  <si>
    <t>Partograph</t>
  </si>
  <si>
    <t>Delivery light</t>
  </si>
  <si>
    <t>Aspirator/suction bulb</t>
  </si>
  <si>
    <t>Resuscitation bag, newborn</t>
  </si>
  <si>
    <t>Eye drops or ointment for newborn</t>
  </si>
  <si>
    <t>Needles</t>
  </si>
  <si>
    <t>Intravenous tubing/administration sets</t>
  </si>
  <si>
    <t>Intravenous solutions, including normal saline and ringer lactate</t>
  </si>
  <si>
    <t>Intravenous needles or cannulas</t>
  </si>
  <si>
    <t>Scissors</t>
  </si>
  <si>
    <t>Umbilical cord clamp or sterile tape or sterile tie</t>
  </si>
  <si>
    <t>Suturing material</t>
  </si>
  <si>
    <t>Clean towels</t>
  </si>
  <si>
    <t>Clean razor blade</t>
  </si>
  <si>
    <t>Sterile gloves</t>
  </si>
  <si>
    <t>Sterile cotton or gauze (to clean baby’s mouth and nose)</t>
  </si>
  <si>
    <t>Hand soap or detergent</t>
  </si>
  <si>
    <t>Hand scrubbing brush</t>
  </si>
  <si>
    <t>Sterile tray</t>
  </si>
  <si>
    <t>Plastic container with a plastic liner to dispose the placenta</t>
  </si>
  <si>
    <t>Plastic container with a plastic liner for medical waste (gauze, etc.)</t>
  </si>
  <si>
    <t>Stethoscope, adult</t>
  </si>
  <si>
    <t>Stethoscope, Pinard  fetal</t>
  </si>
  <si>
    <t>Kidney basin</t>
  </si>
  <si>
    <t>Steel bowl</t>
  </si>
  <si>
    <t>Protective apron and plastic draw sheet</t>
  </si>
  <si>
    <t>Tourniquet</t>
  </si>
  <si>
    <t>Two sterile towels (one to receive the baby, one for active management)</t>
  </si>
  <si>
    <t>Baby scale (infant weighing scale)</t>
  </si>
  <si>
    <t>Forceps, artery</t>
  </si>
  <si>
    <t>Forceps, dressing</t>
  </si>
  <si>
    <t>Forceps, uterine</t>
  </si>
  <si>
    <t>Needle holder</t>
  </si>
  <si>
    <t>Syringes and disposable needles</t>
  </si>
  <si>
    <t>16- or 18-gauge needles</t>
  </si>
  <si>
    <t>Speculum, vaginal</t>
  </si>
  <si>
    <t>Clamps (hemostats)</t>
  </si>
  <si>
    <t>Suction pump, hand or foot operated</t>
  </si>
  <si>
    <t>Vacuum extractor</t>
  </si>
  <si>
    <t>Uterine dilator</t>
  </si>
  <si>
    <t>Curette, uterine</t>
  </si>
  <si>
    <t>Vaginal retractor</t>
  </si>
  <si>
    <t>Bag Valve Mask (Ambu bag), Adult</t>
  </si>
  <si>
    <t>Perineal pads</t>
  </si>
  <si>
    <t>Kit for caesarean sections</t>
  </si>
  <si>
    <t>Delivery kit</t>
  </si>
  <si>
    <t>Newborn resuscitation kit</t>
  </si>
  <si>
    <t>f1_13_02n</t>
  </si>
  <si>
    <t>f1_13_02a</t>
  </si>
  <si>
    <t>f1_13_05</t>
  </si>
  <si>
    <t>f1_13_06a</t>
  </si>
  <si>
    <t>f1_13_06b</t>
  </si>
  <si>
    <t>f1_13_06c</t>
  </si>
  <si>
    <t>f1_13_06d</t>
  </si>
  <si>
    <t>f1_13_08a</t>
  </si>
  <si>
    <t>f1_13_08b</t>
  </si>
  <si>
    <t>f1_13_08c</t>
  </si>
  <si>
    <t>f1_13_08d</t>
  </si>
  <si>
    <t>f1_13_02b</t>
  </si>
  <si>
    <t>f1_13_02c</t>
  </si>
  <si>
    <t>f1_13_02d</t>
  </si>
  <si>
    <t>f1_13_02e</t>
  </si>
  <si>
    <t>f1_13_02f</t>
  </si>
  <si>
    <t>f1_13_02g</t>
  </si>
  <si>
    <t>f1_13_02h</t>
  </si>
  <si>
    <t>f1_13_02i</t>
  </si>
  <si>
    <t>f1_13_02j</t>
  </si>
  <si>
    <t>f1_13_02k</t>
  </si>
  <si>
    <t>f1_13_02l</t>
  </si>
  <si>
    <t>f1_13_02m</t>
  </si>
  <si>
    <t>f1_13_02o</t>
  </si>
  <si>
    <t>f1_13_02p</t>
  </si>
  <si>
    <t>f1_13_02q</t>
  </si>
  <si>
    <t>f1_13_02r</t>
  </si>
  <si>
    <t>f1_13_02s</t>
  </si>
  <si>
    <t>f1_13_02t</t>
  </si>
  <si>
    <t>f1_13_02u</t>
  </si>
  <si>
    <t>f1_13_02v</t>
  </si>
  <si>
    <t>f1_13_02w</t>
  </si>
  <si>
    <t>f1_13_02x</t>
  </si>
  <si>
    <t>f1_13_10a</t>
  </si>
  <si>
    <t>f1_13_10b</t>
  </si>
  <si>
    <t>f1_13_10c</t>
  </si>
  <si>
    <t>f1_13_10d</t>
  </si>
  <si>
    <t>f1_13_10e</t>
  </si>
  <si>
    <t>f1_13_10f</t>
  </si>
  <si>
    <t>f1_13_10g</t>
  </si>
  <si>
    <t>f1_13_10h</t>
  </si>
  <si>
    <t>f1_13_10i</t>
  </si>
  <si>
    <t>f1_13_10j</t>
  </si>
  <si>
    <t>f1_13_10k</t>
  </si>
  <si>
    <t>f1_13_10l</t>
  </si>
  <si>
    <t>f1_13_10m</t>
  </si>
  <si>
    <t>f1_13_10n</t>
  </si>
  <si>
    <t>f1_13_10o</t>
  </si>
  <si>
    <t>f1_13_10p</t>
  </si>
  <si>
    <t>f1_13_10q</t>
  </si>
  <si>
    <t>f1_13_10r</t>
  </si>
  <si>
    <t>f1_13_10s</t>
  </si>
  <si>
    <t>f1_13_10t</t>
  </si>
  <si>
    <t>f1_13_10u</t>
  </si>
  <si>
    <t>f1_13_10v</t>
  </si>
  <si>
    <t>f1_13_10w</t>
  </si>
  <si>
    <t>f1_13_10x</t>
  </si>
  <si>
    <t>f1_13_04a</t>
  </si>
  <si>
    <t>f1_13_10aa</t>
  </si>
  <si>
    <t>f1_13_10ab</t>
  </si>
  <si>
    <t>f1_13_10ac</t>
  </si>
  <si>
    <t>f1_13_10ad</t>
  </si>
  <si>
    <t>f1_13_10ae</t>
  </si>
  <si>
    <t>f1_13_10af</t>
  </si>
  <si>
    <t>f1_13_10ag</t>
  </si>
  <si>
    <t>f1_13_10ah</t>
  </si>
  <si>
    <t>f1_13_10ai</t>
  </si>
  <si>
    <t>f1_13_10aj</t>
  </si>
  <si>
    <t>f1_13_10ak</t>
  </si>
  <si>
    <t>f1_13_10al</t>
  </si>
  <si>
    <t>f1_13_10am</t>
  </si>
  <si>
    <t>f1_13_10an</t>
  </si>
  <si>
    <t>f1_13_10ao</t>
  </si>
  <si>
    <t>f1_13_10ap</t>
  </si>
  <si>
    <t>f1_13_10aq</t>
  </si>
  <si>
    <t>f1_13_10ar</t>
  </si>
  <si>
    <t>f1_13_10as</t>
  </si>
  <si>
    <t>f1_13_10au</t>
  </si>
  <si>
    <t>f1_13_10av</t>
  </si>
  <si>
    <t>f1_13_10aw</t>
  </si>
  <si>
    <t>f1_13_10ax</t>
  </si>
  <si>
    <t>Health facility manager/ in charge</t>
  </si>
  <si>
    <t xml:space="preserve">Health facility staff </t>
  </si>
  <si>
    <t>Local government</t>
  </si>
  <si>
    <t>National government</t>
  </si>
  <si>
    <t>Health Committee</t>
  </si>
  <si>
    <t>select_one yesno</t>
    <phoneticPr fontId="5"/>
  </si>
  <si>
    <t>text</t>
    <phoneticPr fontId="5"/>
  </si>
  <si>
    <t>f1_14_01a</t>
  </si>
  <si>
    <t>f1_14_01b</t>
  </si>
  <si>
    <t>f1_14_01c</t>
  </si>
  <si>
    <t>f1_14_01d</t>
  </si>
  <si>
    <t>f1_14_01e</t>
  </si>
  <si>
    <t>f1_14_01f</t>
  </si>
  <si>
    <t>f1_14_01g</t>
  </si>
  <si>
    <t>f1_14_01h</t>
  </si>
  <si>
    <t>f1_14_01i</t>
  </si>
  <si>
    <t>f1_14_01j</t>
  </si>
  <si>
    <t>f1_14_02</t>
  </si>
  <si>
    <t>f1_14_03</t>
  </si>
  <si>
    <t>f1_14_04</t>
  </si>
  <si>
    <t>f1_14_05</t>
  </si>
  <si>
    <t>f1_14_06</t>
  </si>
  <si>
    <t>f1_14_07</t>
  </si>
  <si>
    <t>f1_14_08</t>
  </si>
  <si>
    <t>f1_14_09</t>
  </si>
  <si>
    <t>f1_14_10</t>
  </si>
  <si>
    <t>f1_14_13b</t>
  </si>
  <si>
    <t>f1_14_14b</t>
  </si>
  <si>
    <t>f1_14_15b</t>
  </si>
  <si>
    <t>f1_14_13c</t>
  </si>
  <si>
    <t>f1_14_14c</t>
  </si>
  <si>
    <t>f1_14_15c</t>
  </si>
  <si>
    <t>f1_14_13d</t>
  </si>
  <si>
    <t>f1_14_14d</t>
  </si>
  <si>
    <t>f1_14_15d</t>
  </si>
  <si>
    <t>f1_14_13e</t>
  </si>
  <si>
    <t>f1_14_14e</t>
  </si>
  <si>
    <t>f1_14_15e</t>
  </si>
  <si>
    <t>f1_14_13f</t>
  </si>
  <si>
    <t>f1_14_14f</t>
  </si>
  <si>
    <t>f1_14_15f</t>
  </si>
  <si>
    <t>f1_14_13g</t>
  </si>
  <si>
    <t>f1_14_14g</t>
  </si>
  <si>
    <t>f1_14_15g</t>
  </si>
  <si>
    <t>f1_14_13h</t>
  </si>
  <si>
    <t>f1_14_14h</t>
  </si>
  <si>
    <t>f1_14_15h</t>
  </si>
  <si>
    <t>f1_14_13i</t>
  </si>
  <si>
    <t>f1_14_14i</t>
  </si>
  <si>
    <t>f1_14_15i</t>
  </si>
  <si>
    <t>f1_14_13j</t>
  </si>
  <si>
    <t>f1_14_14j</t>
  </si>
  <si>
    <t>f1_14_15j</t>
  </si>
  <si>
    <t>f1_14_13k</t>
  </si>
  <si>
    <t>f1_14_14k</t>
  </si>
  <si>
    <t>f1_14_15k</t>
  </si>
  <si>
    <t>f1_14_13l</t>
  </si>
  <si>
    <t>f1_14_14l</t>
  </si>
  <si>
    <t>f1_14_15l</t>
  </si>
  <si>
    <t>f1_14_13m</t>
  </si>
  <si>
    <t>f1_14_14m</t>
  </si>
  <si>
    <t>f1_14_15m</t>
  </si>
  <si>
    <t>f1_14_13n</t>
  </si>
  <si>
    <t>f1_14_14n</t>
  </si>
  <si>
    <t>f1_14_15n</t>
  </si>
  <si>
    <t>f1_14_13o</t>
  </si>
  <si>
    <t>f1_14_14o</t>
  </si>
  <si>
    <t>f1_14_15o</t>
  </si>
  <si>
    <t>f1_14_13p</t>
  </si>
  <si>
    <t>f1_14_14p</t>
  </si>
  <si>
    <t>f1_14_15p</t>
  </si>
  <si>
    <t>f1_14_13q</t>
  </si>
  <si>
    <t>f1_14_14q</t>
  </si>
  <si>
    <t>f1_14_15q</t>
  </si>
  <si>
    <t>f1_14_13r</t>
  </si>
  <si>
    <t>f1_14_14r</t>
  </si>
  <si>
    <t>f1_14_15r</t>
  </si>
  <si>
    <t>f1_14_11nt</t>
  </si>
  <si>
    <t>f1_14_13t</t>
  </si>
  <si>
    <t>f1_14_14t</t>
  </si>
  <si>
    <t>f1_14_15t</t>
  </si>
  <si>
    <t>f1_14_11nu</t>
  </si>
  <si>
    <t>f1_14_14u</t>
  </si>
  <si>
    <t>f1_14_15u</t>
  </si>
  <si>
    <t>f1_14_11nv</t>
  </si>
  <si>
    <t>f1_14_13v</t>
  </si>
  <si>
    <t>f1_14_14v</t>
  </si>
  <si>
    <t>f1_14_15v</t>
  </si>
  <si>
    <t>f1_14_11nw</t>
  </si>
  <si>
    <t>f1_14_13w</t>
  </si>
  <si>
    <t>f1_14_14w</t>
  </si>
  <si>
    <t>f1_14_15w</t>
  </si>
  <si>
    <t>f1_14_11nx</t>
  </si>
  <si>
    <t>f1_14_13x</t>
  </si>
  <si>
    <t>f1_14_14x</t>
  </si>
  <si>
    <t>f1_14_15x</t>
  </si>
  <si>
    <t>f1_14_11ny</t>
  </si>
  <si>
    <t>f1_14_13y</t>
  </si>
  <si>
    <t>f1_14_14y</t>
  </si>
  <si>
    <t>f1_14_15y</t>
  </si>
  <si>
    <t>f1_14_11nz</t>
  </si>
  <si>
    <t>f1_14_13z</t>
  </si>
  <si>
    <t>f1_14_14z</t>
  </si>
  <si>
    <t>f1_14_15z</t>
  </si>
  <si>
    <t>f1_14_13aa</t>
  </si>
  <si>
    <t>f1_14_14aa</t>
  </si>
  <si>
    <t>f1_14_15aa</t>
  </si>
  <si>
    <t>f1_14_13ab</t>
  </si>
  <si>
    <t>f1_14_14ab</t>
  </si>
  <si>
    <t>f1_14_15ab</t>
  </si>
  <si>
    <t>f1_14_13ac</t>
  </si>
  <si>
    <t>f1_14_14ac</t>
  </si>
  <si>
    <t>f1_14_15ac</t>
  </si>
  <si>
    <t>f1_14_13ad</t>
  </si>
  <si>
    <t>f1_14_14ad</t>
  </si>
  <si>
    <t>f1_14_15ad</t>
  </si>
  <si>
    <t>f1_14_11nae</t>
  </si>
  <si>
    <t>f1_14_13ae</t>
  </si>
  <si>
    <t>f1_14_14ae</t>
  </si>
  <si>
    <t>f1_14_15ae</t>
  </si>
  <si>
    <t>f1_14_11naf</t>
  </si>
  <si>
    <t>f1_14_13af</t>
  </si>
  <si>
    <t>f1_14_14af</t>
  </si>
  <si>
    <t>f1_14_15af</t>
  </si>
  <si>
    <t>f1_14_11nag</t>
  </si>
  <si>
    <t>f1_14_13ag</t>
  </si>
  <si>
    <t>f1_14_14ag</t>
  </si>
  <si>
    <t>f1_14_15ag</t>
  </si>
  <si>
    <t>f1_14_11nah</t>
  </si>
  <si>
    <t>f1_14_13ah</t>
  </si>
  <si>
    <t>f1_14_14ah</t>
  </si>
  <si>
    <t>f1_14_15ah</t>
  </si>
  <si>
    <t>f1_14_11nai</t>
  </si>
  <si>
    <t>f1_14_13ai</t>
  </si>
  <si>
    <t>f1_14_14ai</t>
  </si>
  <si>
    <t>f1_14_15ai</t>
  </si>
  <si>
    <t>f1_14_11naj</t>
  </si>
  <si>
    <t>f1_14_13aj</t>
  </si>
  <si>
    <t>f1_14_14aj</t>
  </si>
  <si>
    <t>f1_14_15aj</t>
  </si>
  <si>
    <t>f1_14_11nak</t>
  </si>
  <si>
    <t>f1_14_13ak</t>
  </si>
  <si>
    <t>f1_14_14ak</t>
  </si>
  <si>
    <t>f1_14_15ak</t>
  </si>
  <si>
    <t>f1_14_11nal</t>
  </si>
  <si>
    <t>f1_14_13al</t>
  </si>
  <si>
    <t>f1_14_14al</t>
  </si>
  <si>
    <t>f1_14_15al</t>
  </si>
  <si>
    <t>f1_14_11nam</t>
  </si>
  <si>
    <t>f1_14_13am</t>
  </si>
  <si>
    <t>f1_14_14am</t>
  </si>
  <si>
    <t>f1_14_15am</t>
  </si>
  <si>
    <t>f1_14_11nap</t>
  </si>
  <si>
    <t>f1_14_13ap</t>
  </si>
  <si>
    <t>f1_14_14ap</t>
  </si>
  <si>
    <t>f1_14_15ap</t>
  </si>
  <si>
    <t>INFORM FACILITY INCHARGE</t>
  </si>
  <si>
    <t>SEND PATIENTS TO BUY THE MEDICINE IN THE PRIVATE MARKET</t>
  </si>
  <si>
    <t>GO TO THE CAPITAL TO BUY MEDICINES</t>
  </si>
  <si>
    <t xml:space="preserve">OTHER, SPECIFY: </t>
  </si>
  <si>
    <t>Separate outpatient room</t>
  </si>
  <si>
    <t xml:space="preserve">Other, specify: </t>
  </si>
  <si>
    <t>Separate sterilization room</t>
  </si>
  <si>
    <t>Separate vaccination room</t>
  </si>
  <si>
    <t>Separate antenatal care room</t>
  </si>
  <si>
    <t>Separate delivery/neonatal care room</t>
  </si>
  <si>
    <t>NO, THERE IS NO SUCH PLACE</t>
  </si>
  <si>
    <t>Only to store and dispense drugs</t>
  </si>
  <si>
    <t>Also serves for other purposes</t>
  </si>
  <si>
    <t>CLEAN</t>
  </si>
  <si>
    <t>PARTIALLY DIRTY</t>
  </si>
  <si>
    <t>DIRTY</t>
  </si>
  <si>
    <t>DRY, NO TRACES OF WATER INFILTRATION</t>
  </si>
  <si>
    <t>DRY BUT THERE ARE TRACES OF WATER INFILTRATION</t>
  </si>
  <si>
    <t>THERE IS WETNESS / WATER</t>
  </si>
  <si>
    <t>WINDOWS COVERED</t>
  </si>
  <si>
    <t>WINDOWS NOT COVERED</t>
  </si>
  <si>
    <t>NO WINDOWS</t>
  </si>
  <si>
    <t>${f1_09_14}=1</t>
    <phoneticPr fontId="5"/>
  </si>
  <si>
    <t>f1_11_01</t>
  </si>
  <si>
    <t>f1_11_02</t>
  </si>
  <si>
    <t>f1_11_03</t>
  </si>
  <si>
    <t>f1_11_04</t>
  </si>
  <si>
    <t>f1_11_05</t>
  </si>
  <si>
    <t>f1_11_06</t>
  </si>
  <si>
    <t>f1_11_07</t>
  </si>
  <si>
    <t>f1_11_08</t>
  </si>
  <si>
    <t>f1_11_09</t>
  </si>
  <si>
    <t>f1_12_01</t>
  </si>
  <si>
    <t>f1_12_02</t>
  </si>
  <si>
    <t>f1_12_03</t>
  </si>
  <si>
    <t>f1_12_04</t>
  </si>
  <si>
    <t>f1_12_05</t>
  </si>
  <si>
    <t>f1_12_06</t>
  </si>
  <si>
    <t>f1_12_07</t>
  </si>
  <si>
    <t>f1_12_08</t>
  </si>
  <si>
    <t>f1_12_09</t>
  </si>
  <si>
    <t>f1_14_13a</t>
  </si>
  <si>
    <t>module9</t>
  </si>
  <si>
    <t>f1_09_01</t>
  </si>
  <si>
    <t>f1_09_02</t>
  </si>
  <si>
    <t>f1_09_03</t>
  </si>
  <si>
    <t>f1_09_04</t>
  </si>
  <si>
    <t>f1_09_05</t>
  </si>
  <si>
    <t>f1_09_06</t>
  </si>
  <si>
    <t>f1_09_07</t>
  </si>
  <si>
    <t>f1_09_09_a</t>
  </si>
  <si>
    <t>f1_09_09_b</t>
  </si>
  <si>
    <t>f1_09_09_c</t>
  </si>
  <si>
    <t>f1_09_09_d</t>
  </si>
  <si>
    <t>f1_09_09_e</t>
  </si>
  <si>
    <t>f1_09_09_f</t>
  </si>
  <si>
    <t>f1_09_09_g</t>
  </si>
  <si>
    <t>f1_09_09_h</t>
  </si>
  <si>
    <t>module10</t>
  </si>
  <si>
    <t>f1_10n</t>
  </si>
  <si>
    <t>f1_10id</t>
  </si>
  <si>
    <t>f1_10_01</t>
  </si>
  <si>
    <t>f1_11id</t>
  </si>
  <si>
    <t>f1_11label</t>
  </si>
  <si>
    <t>module12</t>
  </si>
  <si>
    <t>f1_12_11</t>
  </si>
  <si>
    <t>f1_12_19</t>
  </si>
  <si>
    <t>module13</t>
  </si>
  <si>
    <t>f1_13n</t>
  </si>
  <si>
    <t>f1_13_1</t>
  </si>
  <si>
    <t>f1_13_01</t>
  </si>
  <si>
    <t>f1_13_02n_1</t>
  </si>
  <si>
    <t>f1_13_03n</t>
  </si>
  <si>
    <t>f1_13_03</t>
  </si>
  <si>
    <t>f1_13_04n_1</t>
  </si>
  <si>
    <t>f1_13_05n</t>
  </si>
  <si>
    <t>f1_13_06n</t>
  </si>
  <si>
    <t>f1_13_07n</t>
  </si>
  <si>
    <t>f1_13_07</t>
  </si>
  <si>
    <t>f1_13_08n</t>
  </si>
  <si>
    <t>f1_13_08e</t>
  </si>
  <si>
    <t>f1_13_09n</t>
  </si>
  <si>
    <t>f1_13_09</t>
  </si>
  <si>
    <t>f1_13_10y</t>
  </si>
  <si>
    <t>f1_13_10z</t>
  </si>
  <si>
    <t>module14</t>
  </si>
  <si>
    <t>f1_14n_1_1</t>
  </si>
  <si>
    <t>f1_14n_1</t>
  </si>
  <si>
    <t>f1_14_14a</t>
  </si>
  <si>
    <t>f1_14_15a</t>
  </si>
  <si>
    <t>f1_14_16</t>
  </si>
  <si>
    <t>f1_14_16a</t>
  </si>
  <si>
    <t>f1_14_16b</t>
  </si>
  <si>
    <t>f1_14_16c</t>
  </si>
  <si>
    <t>f1_14_16d</t>
  </si>
  <si>
    <t>f1_14_16e</t>
  </si>
  <si>
    <t>f1_14_16f</t>
  </si>
  <si>
    <t>f1_14_16g</t>
  </si>
  <si>
    <t>f1_09_09_i_other</t>
  </si>
  <si>
    <t>f1_09_10_k_other</t>
  </si>
  <si>
    <t>f1_09_11_l_other</t>
  </si>
  <si>
    <t>f1_09_12_i_other</t>
  </si>
  <si>
    <t>f1_09_16_h_other</t>
  </si>
  <si>
    <t>f1_09_17_k_other</t>
  </si>
  <si>
    <t>f1_14_16g_other</t>
  </si>
  <si>
    <t>form_title</t>
  </si>
  <si>
    <t>form_id</t>
  </si>
  <si>
    <t>version</t>
  </si>
  <si>
    <t>public_key</t>
  </si>
  <si>
    <t>submission_url</t>
  </si>
  <si>
    <t>default_language</t>
  </si>
  <si>
    <t>generation</t>
  </si>
  <si>
    <t>Central Statistical Office (CSO)</t>
  </si>
  <si>
    <t>Facility headcount</t>
  </si>
  <si>
    <t>${f1_08_01b_1}=1 or ${f1_08_01b_2}=1</t>
  </si>
  <si>
    <t>${f1_08_01c_1}=1 or ${f1_08_01c_2}=1</t>
  </si>
  <si>
    <t>${f1_08_01d_1}=1 or ${f1_08_01d_2}=1</t>
  </si>
  <si>
    <t>${f1_08_01h_1}=1 or ${f1_08_01h_2}=1</t>
  </si>
  <si>
    <t>${f1_08_01m_1}=1 or ${f1_08_01m_2}=1</t>
  </si>
  <si>
    <t>${f1_08_01p_1}=1 or ${f1_08_01p_2}=1</t>
  </si>
  <si>
    <t>${f1_08_01q_1}=1 or ${f1_08_01q_2}=1</t>
  </si>
  <si>
    <t>${f1_08_01r_1}=1 or ${f1_08_01r_2}=1</t>
  </si>
  <si>
    <t>${f1_08_01s_1}=1 or ${f1_08_01s_2}=1</t>
  </si>
  <si>
    <t>${f1_08_01t_1}=1 or ${f1_08_01t_2}=1</t>
  </si>
  <si>
    <t>${f1_08_01u_1}=1 or ${f1_08_01u_2}=1</t>
  </si>
  <si>
    <t>${f1_08_01v_1}=1 or ${f1_08_01v_2}=1</t>
  </si>
  <si>
    <t>${f1_08_01w_1}=1 or ${f1_08_01w_2}=1</t>
  </si>
  <si>
    <t>${f1_08_01x_1}=1 or ${f1_08_01x_2}=1</t>
  </si>
  <si>
    <t>${f1_08_01y_1}=1 or ${f1_08_01y_2}=1</t>
  </si>
  <si>
    <t>${f1_08_01aa_1}=1 or ${f1_08_01aa_2}=1</t>
  </si>
  <si>
    <t>${f1_08_01ab_1}=1 or ${f1_08_01ab_2}=1</t>
  </si>
  <si>
    <t>${f1_08_01ac_1}=1 or ${f1_08_01ac_2}=1</t>
  </si>
  <si>
    <t>${f1_08_01ad_1}=1 or ${f1_08_01ad_2}=1</t>
  </si>
  <si>
    <t>${f1_08_01ae_1}=1 or ${f1_08_01ae_2}=1</t>
  </si>
  <si>
    <t>${f1_08_01af_1}=1 or ${f1_08_01af_2}=1</t>
  </si>
  <si>
    <t>${f1_08_01aj_1}=1 or ${f1_08_01aj_2}=1</t>
  </si>
  <si>
    <t>${f1_08_01ak_1}=1 or ${f1_08_01ak_2}=1</t>
  </si>
  <si>
    <t>${f1_08_01al_1}=1 or ${f1_08_01al_2}=1</t>
  </si>
  <si>
    <t>${f1_08_01am_1}=1 or ${f1_08_01am_2}=1</t>
  </si>
  <si>
    <t>f1_08_01a</t>
  </si>
  <si>
    <t>f1_08_02a</t>
  </si>
  <si>
    <t>f1_08_03a</t>
  </si>
  <si>
    <t>f1_08_04a_1i</t>
  </si>
  <si>
    <t>f1_08_04a_1o</t>
  </si>
  <si>
    <t>f1_08_04a_2i</t>
  </si>
  <si>
    <t>f1_08_04a_2o</t>
  </si>
  <si>
    <t>f1_08_04a_3i</t>
  </si>
  <si>
    <t>f1_08_04a_3o</t>
  </si>
  <si>
    <t>f1_08_01b</t>
  </si>
  <si>
    <t>f1_08_01b_1</t>
  </si>
  <si>
    <t>f1_08_01b_2</t>
  </si>
  <si>
    <t>f1_08_02b</t>
  </si>
  <si>
    <t>f1_08_03b</t>
  </si>
  <si>
    <t>f1_08_04b_1i</t>
  </si>
  <si>
    <t>f1_08_04b_1o</t>
  </si>
  <si>
    <t>f1_08_01c</t>
  </si>
  <si>
    <t>f1_08_01c_1</t>
  </si>
  <si>
    <t>f1_08_01c_2</t>
  </si>
  <si>
    <t>f1_08_02c</t>
  </si>
  <si>
    <t>f1_08_03c</t>
  </si>
  <si>
    <t>f1_08_01d</t>
  </si>
  <si>
    <t>f1_08_01d_1</t>
  </si>
  <si>
    <t>f1_08_01d_2</t>
  </si>
  <si>
    <t>f1_08_02d</t>
  </si>
  <si>
    <t>f1_08_03d</t>
  </si>
  <si>
    <t>f1_08_01e</t>
  </si>
  <si>
    <t>f1_08_02e</t>
  </si>
  <si>
    <t>f1_08_03e</t>
  </si>
  <si>
    <t>f1_08_01f</t>
  </si>
  <si>
    <t>f1_08_02f</t>
  </si>
  <si>
    <t>f1_08_03f</t>
  </si>
  <si>
    <t>f1_08_04fn</t>
  </si>
  <si>
    <t>f1_08_04f_1</t>
  </si>
  <si>
    <t>f1_08_04f_2</t>
  </si>
  <si>
    <t>f1_08_04f_3</t>
  </si>
  <si>
    <t>f1_08_01g</t>
  </si>
  <si>
    <t>f1_08_02g</t>
  </si>
  <si>
    <t>f1_08_03g</t>
  </si>
  <si>
    <t>f1_08_04gn</t>
  </si>
  <si>
    <t>f1_08_04g_1</t>
  </si>
  <si>
    <t>f1_08_04g_2</t>
  </si>
  <si>
    <t>f1_08_04g_3</t>
  </si>
  <si>
    <t>f1_08_01h</t>
  </si>
  <si>
    <t>f1_08_01h_1</t>
  </si>
  <si>
    <t>f1_08_01h_2</t>
  </si>
  <si>
    <t>f1_08_02h</t>
  </si>
  <si>
    <t>f1_08_03h</t>
  </si>
  <si>
    <t>f1_08_04hn</t>
  </si>
  <si>
    <t>f1_08_04h_1</t>
  </si>
  <si>
    <t>f1_08_04h_2</t>
  </si>
  <si>
    <t>f1_08_04h_3</t>
  </si>
  <si>
    <t>f1_08_01i</t>
  </si>
  <si>
    <t>f1_08_02i</t>
  </si>
  <si>
    <t>f1_08_03i</t>
  </si>
  <si>
    <t>f1_08_04in</t>
  </si>
  <si>
    <t>f1_08_04i_1</t>
  </si>
  <si>
    <t>f1_08_04i_2</t>
  </si>
  <si>
    <t>f1_08_04i_3</t>
  </si>
  <si>
    <t>f1_08_01j</t>
  </si>
  <si>
    <t>f1_08_02j</t>
  </si>
  <si>
    <t>f1_08_03j</t>
  </si>
  <si>
    <t>f1_08_04jn</t>
  </si>
  <si>
    <t>f1_08_04j_1</t>
  </si>
  <si>
    <t>f1_08_04j_2</t>
  </si>
  <si>
    <t>f1_08_04j_3</t>
  </si>
  <si>
    <t>f1_08_01k</t>
  </si>
  <si>
    <t>f1_08_02k</t>
  </si>
  <si>
    <t>f1_08_03k</t>
  </si>
  <si>
    <t>f1_08_04kn</t>
  </si>
  <si>
    <t>f1_08_04k_1</t>
  </si>
  <si>
    <t>f1_08_04k_2</t>
  </si>
  <si>
    <t>f1_08_04k_3</t>
  </si>
  <si>
    <t>f1_08_01l</t>
  </si>
  <si>
    <t>f1_08_02l</t>
  </si>
  <si>
    <t>f1_08_03l</t>
  </si>
  <si>
    <t>f1_08_04ln</t>
  </si>
  <si>
    <t>f1_08_04l_1</t>
  </si>
  <si>
    <t>f1_08_04l_2</t>
  </si>
  <si>
    <t>f1_08_04l_3</t>
  </si>
  <si>
    <t>f1_08_01m</t>
  </si>
  <si>
    <t>f1_08_01m_1</t>
  </si>
  <si>
    <t>f1_08_01m_2</t>
  </si>
  <si>
    <t>f1_08_02m</t>
  </si>
  <si>
    <t>f1_08_03m</t>
  </si>
  <si>
    <t>f1_08_04mn</t>
  </si>
  <si>
    <t>f1_08_04m_1</t>
  </si>
  <si>
    <t>f1_08_04m_2</t>
  </si>
  <si>
    <t>f1_08_04m_3</t>
  </si>
  <si>
    <t>f1_08_01n</t>
  </si>
  <si>
    <t>f1_08_02n</t>
  </si>
  <si>
    <t>f1_08_03n</t>
  </si>
  <si>
    <t>f1_08_04nn</t>
  </si>
  <si>
    <t>f1_08_04n_1</t>
  </si>
  <si>
    <t>f1_08_04n_2</t>
  </si>
  <si>
    <t>f1_08_04n_3</t>
  </si>
  <si>
    <t>f1_08_01o</t>
  </si>
  <si>
    <t>f1_08_02o</t>
  </si>
  <si>
    <t>f1_08_03o</t>
  </si>
  <si>
    <t>f1_08_04on</t>
  </si>
  <si>
    <t>f1_08_04o_1</t>
  </si>
  <si>
    <t>f1_08_04o_2</t>
  </si>
  <si>
    <t>f1_08_04o_3</t>
  </si>
  <si>
    <t>f1_08_01p</t>
  </si>
  <si>
    <t>f1_08_01p_1</t>
  </si>
  <si>
    <t>f1_08_01p_2</t>
  </si>
  <si>
    <t>f1_08_02p</t>
  </si>
  <si>
    <t>f1_08_03p</t>
  </si>
  <si>
    <t>f1_08_04pn</t>
  </si>
  <si>
    <t>f1_08_04p_1</t>
  </si>
  <si>
    <t>f1_08_04p_2</t>
  </si>
  <si>
    <t>f1_08_04p_3</t>
  </si>
  <si>
    <t>f1_08_01q</t>
  </si>
  <si>
    <t>f1_08_01q_1</t>
  </si>
  <si>
    <t>f1_08_01q_2</t>
  </si>
  <si>
    <t>f1_08_02q</t>
  </si>
  <si>
    <t>f1_08_03q</t>
  </si>
  <si>
    <t>f1_08_04qn</t>
  </si>
  <si>
    <t>f1_08_04q_1</t>
  </si>
  <si>
    <t>f1_08_04q_2</t>
  </si>
  <si>
    <t>f1_08_04q_3</t>
  </si>
  <si>
    <t>f1_08_01r</t>
  </si>
  <si>
    <t>f1_08_01r_1</t>
  </si>
  <si>
    <t>f1_08_01r_2</t>
  </si>
  <si>
    <t>f1_08_02r</t>
  </si>
  <si>
    <t>f1_08_03r</t>
  </si>
  <si>
    <t>f1_08_04rn</t>
  </si>
  <si>
    <t>f1_08_04r_1</t>
  </si>
  <si>
    <t>f1_08_04r_2</t>
  </si>
  <si>
    <t>f1_08_04r_3</t>
  </si>
  <si>
    <t>f1_08_01s</t>
  </si>
  <si>
    <t>f1_08_01s_1</t>
  </si>
  <si>
    <t>f1_08_01s_2</t>
  </si>
  <si>
    <t>f1_08_02s</t>
  </si>
  <si>
    <t>f1_08_03s</t>
  </si>
  <si>
    <t>f1_08_04sn</t>
  </si>
  <si>
    <t>f1_08_04s_1</t>
  </si>
  <si>
    <t>f1_08_04s_2</t>
  </si>
  <si>
    <t>f1_08_04s_3</t>
  </si>
  <si>
    <t>f1_08_01t</t>
  </si>
  <si>
    <t>f1_08_01t_1</t>
  </si>
  <si>
    <t>f1_08_01t_2</t>
  </si>
  <si>
    <t>f1_08_02t</t>
  </si>
  <si>
    <t>f1_08_03t</t>
  </si>
  <si>
    <t>f1_08_04tn</t>
  </si>
  <si>
    <t>f1_08_04t_1</t>
  </si>
  <si>
    <t>f1_08_04t_2</t>
  </si>
  <si>
    <t>f1_08_04t_3</t>
  </si>
  <si>
    <t>f1_08_01u</t>
  </si>
  <si>
    <t>f1_08_01u_1</t>
  </si>
  <si>
    <t>f1_08_01u_2</t>
  </si>
  <si>
    <t>f1_08_02u</t>
  </si>
  <si>
    <t>f1_08_03u</t>
  </si>
  <si>
    <t>f1_08_04un</t>
  </si>
  <si>
    <t>f1_08_04u_1</t>
  </si>
  <si>
    <t>f1_08_04u_2</t>
  </si>
  <si>
    <t>f1_08_04u_3</t>
  </si>
  <si>
    <t>f1_08_01v</t>
  </si>
  <si>
    <t>f1_08_01v_1</t>
  </si>
  <si>
    <t>f1_08_01v_2</t>
  </si>
  <si>
    <t>f1_08_02v</t>
  </si>
  <si>
    <t>f1_08_03v</t>
  </si>
  <si>
    <t>f1_08_04vn</t>
  </si>
  <si>
    <t>f1_08_04v_1</t>
  </si>
  <si>
    <t>f1_08_04v_2</t>
  </si>
  <si>
    <t>f1_08_04v_3</t>
  </si>
  <si>
    <t>f1_08_01w</t>
  </si>
  <si>
    <t>f1_08_01w_1</t>
  </si>
  <si>
    <t>f1_08_01w_2</t>
  </si>
  <si>
    <t>f1_08_02w</t>
  </si>
  <si>
    <t>f1_08_03w</t>
  </si>
  <si>
    <t>f1_08_04wn</t>
  </si>
  <si>
    <t>f1_08_04w_1</t>
  </si>
  <si>
    <t>f1_08_04w_2</t>
  </si>
  <si>
    <t>f1_08_04w_3</t>
  </si>
  <si>
    <t>f1_08_01x</t>
  </si>
  <si>
    <t>f1_08_01x_1</t>
  </si>
  <si>
    <t>f1_08_01x_2</t>
  </si>
  <si>
    <t>f1_08_02x</t>
  </si>
  <si>
    <t>f1_08_03x</t>
  </si>
  <si>
    <t>f1_08_04xn</t>
  </si>
  <si>
    <t>f1_08_04x_1</t>
  </si>
  <si>
    <t>f1_08_04x_2</t>
  </si>
  <si>
    <t>f1_08_04x_3</t>
  </si>
  <si>
    <t>f1_08_01y</t>
  </si>
  <si>
    <t>f1_08_01y_1</t>
  </si>
  <si>
    <t>f1_08_01y_2</t>
  </si>
  <si>
    <t>f1_08_02y</t>
  </si>
  <si>
    <t>f1_08_03y</t>
  </si>
  <si>
    <t>f1_08_04yn</t>
  </si>
  <si>
    <t>f1_08_04y_1</t>
  </si>
  <si>
    <t>f1_08_04y_2</t>
  </si>
  <si>
    <t>f1_08_04y_3</t>
  </si>
  <si>
    <t>f1_08_01aa</t>
  </si>
  <si>
    <t>f1_08_01aa_1</t>
  </si>
  <si>
    <t>f1_08_01aa_2</t>
  </si>
  <si>
    <t>f1_08_02aa</t>
  </si>
  <si>
    <t>f1_08_03aa</t>
  </si>
  <si>
    <t>f1_08_04aan</t>
  </si>
  <si>
    <t>f1_08_04aa_1</t>
  </si>
  <si>
    <t>f1_08_04aa_2</t>
  </si>
  <si>
    <t>f1_08_04aa_3</t>
  </si>
  <si>
    <t>f1_08_01ab</t>
  </si>
  <si>
    <t>f1_08_01ab_1</t>
  </si>
  <si>
    <t>f1_08_01ab_2</t>
  </si>
  <si>
    <t>f1_08_02ab</t>
  </si>
  <si>
    <t>f1_08_03ab</t>
  </si>
  <si>
    <t>f1_08_04abn</t>
  </si>
  <si>
    <t>f1_08_04ab_1</t>
  </si>
  <si>
    <t>f1_08_04ab_2</t>
  </si>
  <si>
    <t>f1_08_04ab_3</t>
  </si>
  <si>
    <t>f1_08_01ac</t>
  </si>
  <si>
    <t>f1_08_01ac_1</t>
  </si>
  <si>
    <t>f1_08_01ac_2</t>
  </si>
  <si>
    <t>f1_08_02ac</t>
  </si>
  <si>
    <t>f1_08_03ac</t>
  </si>
  <si>
    <t>f1_08_04acn</t>
  </si>
  <si>
    <t>f1_08_04ac_1</t>
  </si>
  <si>
    <t>f1_08_04ac_2</t>
  </si>
  <si>
    <t>f1_08_04ac_3</t>
  </si>
  <si>
    <t>f1_08_01ad</t>
  </si>
  <si>
    <t>f1_08_01ad_1</t>
  </si>
  <si>
    <t>f1_08_01ad_2</t>
  </si>
  <si>
    <t>f1_08_02ad</t>
  </si>
  <si>
    <t>f1_08_03ad</t>
  </si>
  <si>
    <t>f1_08_04adn</t>
  </si>
  <si>
    <t>f1_08_04ad_1</t>
  </si>
  <si>
    <t>f1_08_04ad_2</t>
  </si>
  <si>
    <t>f1_08_04ad_3</t>
  </si>
  <si>
    <t>f1_08_01ae</t>
  </si>
  <si>
    <t>f1_08_01ae_1</t>
  </si>
  <si>
    <t>f1_08_01ae_2</t>
  </si>
  <si>
    <t>f1_08_02ae</t>
  </si>
  <si>
    <t>f1_08_03ae</t>
  </si>
  <si>
    <t>f1_08_04aen</t>
  </si>
  <si>
    <t>f1_08_04ae_1</t>
  </si>
  <si>
    <t>f1_08_04ae_2</t>
  </si>
  <si>
    <t>f1_08_04ae_3</t>
  </si>
  <si>
    <t>f1_08_01af</t>
  </si>
  <si>
    <t>f1_08_01af_1</t>
  </si>
  <si>
    <t>f1_08_01af_2</t>
  </si>
  <si>
    <t>f1_08_02af</t>
  </si>
  <si>
    <t>f1_08_03af</t>
  </si>
  <si>
    <t>f1_08_04afn</t>
  </si>
  <si>
    <t>f1_08_04af_1</t>
  </si>
  <si>
    <t>f1_08_04af_2</t>
  </si>
  <si>
    <t>f1_08_04af_3</t>
  </si>
  <si>
    <t>f1_08_01aj</t>
  </si>
  <si>
    <t>f1_08_01aj_1</t>
  </si>
  <si>
    <t>f1_08_01aj_2</t>
  </si>
  <si>
    <t>f1_08_02aj</t>
  </si>
  <si>
    <t>f1_08_03aj</t>
  </si>
  <si>
    <t>f1_08_04ajn</t>
  </si>
  <si>
    <t>f1_08_04aj_1</t>
  </si>
  <si>
    <t>f1_08_04aj_2</t>
  </si>
  <si>
    <t>f1_08_04aj_3</t>
  </si>
  <si>
    <t>f1_08_01ak</t>
  </si>
  <si>
    <t>f1_08_01ak_1</t>
  </si>
  <si>
    <t>f1_08_01ak_2</t>
  </si>
  <si>
    <t>f1_08_02ak</t>
  </si>
  <si>
    <t>f1_08_03ak</t>
  </si>
  <si>
    <t>f1_08_04akn</t>
  </si>
  <si>
    <t>f1_08_04ak_1</t>
  </si>
  <si>
    <t>f1_08_04ak_2</t>
  </si>
  <si>
    <t>f1_08_04ak_3</t>
  </si>
  <si>
    <t>f1_08_01al</t>
  </si>
  <si>
    <t>f1_08_01al_1</t>
  </si>
  <si>
    <t>f1_08_01al_2</t>
  </si>
  <si>
    <t>f1_08_02al</t>
  </si>
  <si>
    <t>f1_08_03al</t>
  </si>
  <si>
    <t>f1_08_04aln</t>
  </si>
  <si>
    <t>f1_08_04al_1</t>
  </si>
  <si>
    <t>f1_08_04al_2</t>
  </si>
  <si>
    <t>f1_08_04al_3</t>
  </si>
  <si>
    <t>f1_08_01am</t>
  </si>
  <si>
    <t>f1_08_01am_1</t>
  </si>
  <si>
    <t>f1_08_01am_2</t>
  </si>
  <si>
    <t>f1_08_02am</t>
  </si>
  <si>
    <t>f1_08_03am</t>
  </si>
  <si>
    <t>f1_08_04amn</t>
  </si>
  <si>
    <t>f1_08_04am_1</t>
  </si>
  <si>
    <t>f1_08_04am_2</t>
  </si>
  <si>
    <t>f1_08_04am_3</t>
  </si>
  <si>
    <t>f1_08_01an</t>
  </si>
  <si>
    <t>f1_08_02an</t>
  </si>
  <si>
    <t>f1_08_04ann</t>
  </si>
  <si>
    <t>f1_08_04an_1</t>
  </si>
  <si>
    <t>f1_08_04an_2</t>
  </si>
  <si>
    <t>f1_08_04an_3</t>
  </si>
  <si>
    <t>f1_08_01ao</t>
  </si>
  <si>
    <t>f1_08_02ao</t>
  </si>
  <si>
    <t>f1_08_03ao</t>
  </si>
  <si>
    <t>f1_08_04aon</t>
  </si>
  <si>
    <t>f1_08_04ao_1</t>
  </si>
  <si>
    <t>f1_08_04ao_2</t>
  </si>
  <si>
    <t>f1_08_04ao_3</t>
  </si>
  <si>
    <t>f1_08_01i_1_1n</t>
  </si>
  <si>
    <t>list-nolabel</t>
    <phoneticPr fontId="5"/>
  </si>
  <si>
    <t>Response</t>
  </si>
  <si>
    <t>label</t>
    <phoneticPr fontId="5"/>
  </si>
  <si>
    <t>select_one frequency</t>
    <phoneticPr fontId="5"/>
  </si>
  <si>
    <t>list-nolabel</t>
    <phoneticPr fontId="5"/>
  </si>
  <si>
    <t>field-list</t>
    <phoneticPr fontId="5"/>
  </si>
  <si>
    <t>UNIT: per initial visit</t>
    <phoneticPr fontId="5"/>
  </si>
  <si>
    <t>UNIT: per visit</t>
    <phoneticPr fontId="5"/>
  </si>
  <si>
    <t>UNIT: per insertion</t>
    <phoneticPr fontId="5"/>
  </si>
  <si>
    <t>UNIT: per procedure</t>
    <phoneticPr fontId="5"/>
  </si>
  <si>
    <t>UNIT: per delivery</t>
    <phoneticPr fontId="5"/>
  </si>
  <si>
    <t>UNIT: per dose</t>
    <phoneticPr fontId="5"/>
  </si>
  <si>
    <t>UNIT: per new case</t>
    <phoneticPr fontId="5"/>
  </si>
  <si>
    <t>UNIT: per Directly Observed Therapy</t>
    <phoneticPr fontId="5"/>
  </si>
  <si>
    <t xml:space="preserve">UNIT: per transport </t>
    <phoneticPr fontId="5"/>
  </si>
  <si>
    <t>f1_09_09_i</t>
    <phoneticPr fontId="5"/>
  </si>
  <si>
    <t>f1_09_10_k</t>
    <phoneticPr fontId="5"/>
  </si>
  <si>
    <t>f1_09_11_l</t>
    <phoneticPr fontId="5"/>
  </si>
  <si>
    <t>f1_09_12_i</t>
    <phoneticPr fontId="5"/>
  </si>
  <si>
    <t>f1_09_16_h</t>
    <phoneticPr fontId="5"/>
  </si>
  <si>
    <t>f1_09_17_k</t>
    <phoneticPr fontId="5"/>
  </si>
  <si>
    <t>INTERVIEWER: CONFIRM WITH DIRECT OBSERVATION.</t>
  </si>
  <si>
    <t>INTERVIEWER: CONFIRM WITH DIRECT OBSERVATION.</t>
    <phoneticPr fontId="5"/>
  </si>
  <si>
    <t>INTERVIEWER: IF YES, LOOK FOR POSTING IN FACILITY.</t>
    <phoneticPr fontId="5"/>
  </si>
  <si>
    <t>f1_08_04ak_1_1</t>
  </si>
  <si>
    <t>${f1_14_13c}&gt;0</t>
  </si>
  <si>
    <t>${f1_14_13d}&gt;0</t>
  </si>
  <si>
    <t>${f1_14_13e}&gt;0</t>
  </si>
  <si>
    <t>${f1_14_13f}&gt;0</t>
  </si>
  <si>
    <t>${f1_14_13g}&gt;0</t>
  </si>
  <si>
    <t>${f1_14_13h}&gt;0</t>
  </si>
  <si>
    <t>${f1_14_13i}&gt;0</t>
  </si>
  <si>
    <t>${f1_14_13j}&gt;0</t>
  </si>
  <si>
    <t>${f1_14_13k}&gt;0</t>
  </si>
  <si>
    <t>${f1_14_13l}&gt;0</t>
  </si>
  <si>
    <t>${f1_14_13m}&gt;0</t>
  </si>
  <si>
    <t>${f1_14_13n}&gt;0</t>
  </si>
  <si>
    <t>${f1_14_13o}&gt;0</t>
  </si>
  <si>
    <t>${f1_14_13p}&gt;0</t>
  </si>
  <si>
    <t>${f1_14_13q}&gt;0</t>
  </si>
  <si>
    <t>${f1_14_13r}&gt;0</t>
  </si>
  <si>
    <t>${f1_14_13t}&gt;0</t>
  </si>
  <si>
    <t>${f1_14_13u}&gt;0</t>
  </si>
  <si>
    <t>${f1_14_13v}&gt;0</t>
  </si>
  <si>
    <t>${f1_14_13w}&gt;0</t>
  </si>
  <si>
    <t>${f1_14_13x}&gt;0</t>
  </si>
  <si>
    <t>${f1_14_13y}&gt;0</t>
  </si>
  <si>
    <t>${f1_14_13z}&gt;0</t>
  </si>
  <si>
    <t>${f1_14_13aa}&gt;0</t>
  </si>
  <si>
    <t>${f1_14_13ab}&gt;0</t>
  </si>
  <si>
    <t>${f1_14_13ac}&gt;0</t>
  </si>
  <si>
    <t>${f1_14_13ad}&gt;0</t>
  </si>
  <si>
    <t>${f1_14_13ae}&gt;0</t>
  </si>
  <si>
    <t>${f1_14_13af}&gt;0</t>
  </si>
  <si>
    <t>${f1_14_13ag}&gt;0</t>
  </si>
  <si>
    <t>${f1_14_13ah}&gt;0</t>
  </si>
  <si>
    <t>${f1_14_13ai}&gt;0</t>
  </si>
  <si>
    <t>${f1_14_13aj}&gt;0</t>
  </si>
  <si>
    <t>${f1_14_13ak}&gt;0</t>
  </si>
  <si>
    <t>${f1_14_13al}&gt;0</t>
  </si>
  <si>
    <t>${f1_14_13am}&gt;0</t>
  </si>
  <si>
    <t>${f1_14_13ap}&gt;0</t>
  </si>
  <si>
    <t>(8.02a) How many days per week is this service offered?</t>
  </si>
  <si>
    <t>(8.02b) How many days per week is this service offered?</t>
  </si>
  <si>
    <t>(8.02c) How many days per week is this service offered?</t>
  </si>
  <si>
    <t>(8.02e) How many days per week is this service offered?</t>
  </si>
  <si>
    <t>(8.02f) How many days per week is this service offered?</t>
  </si>
  <si>
    <t>(8.02g) How many days per week is this service offered?</t>
  </si>
  <si>
    <t>(8.02h) How many days per week is this service offered?</t>
  </si>
  <si>
    <t>(8.02i) How many days per week is this service offered?</t>
  </si>
  <si>
    <t>(8.02j) How many days per week is this service offered?</t>
  </si>
  <si>
    <t>(8.02k) How many days per week is this service offered?</t>
  </si>
  <si>
    <t>(8.02l) How many days per week is this service offered?</t>
  </si>
  <si>
    <t>(8.02m) How many days per week is this service offered?</t>
  </si>
  <si>
    <t>(8.02n) How many days per week is this service offered?</t>
  </si>
  <si>
    <t>(8.02o) How many days per week is this service offered?</t>
  </si>
  <si>
    <t>(8.02p) How many days per week is this service offered?</t>
  </si>
  <si>
    <t>(8.02q) How many days per week is this service offered?</t>
  </si>
  <si>
    <t>(8.02r) How many days per week is this service offered?</t>
  </si>
  <si>
    <t>(8.02s) How many days per week is this service offered?</t>
  </si>
  <si>
    <t>(8.02t) How many days per week is this service offered?</t>
  </si>
  <si>
    <t>(8.02u) How many days per week is this service offered?</t>
  </si>
  <si>
    <t>(8.02v) How many days per week is this service offered?</t>
  </si>
  <si>
    <t>(8.02w) How many days per week is this service offered?</t>
  </si>
  <si>
    <t>(8.02x) How many days per week is this service offered?</t>
  </si>
  <si>
    <t>(8.02aa) How many days per week is this service offered?</t>
  </si>
  <si>
    <t>(8.02ab) How many days per week is this service offered?</t>
  </si>
  <si>
    <t>(8.02ac) How many days per week is this service offered?</t>
  </si>
  <si>
    <t>(8.02ad) How many days per week is this service offered?</t>
  </si>
  <si>
    <t>(8.02ae) How many days per week is this service offered?</t>
  </si>
  <si>
    <t>(8.02af) How many days per week is this service offered?</t>
  </si>
  <si>
    <t>(8.02aj) How many days per week is this service offered?</t>
  </si>
  <si>
    <t>(8.02ak) How many days per week is this service offered?</t>
  </si>
  <si>
    <t>(8.02al) How many days per week is this service offered?</t>
  </si>
  <si>
    <t>(8.02am) How many days per week is this service offered?</t>
  </si>
  <si>
    <t>(8.02an) How many days per week is this service offered?</t>
  </si>
  <si>
    <t>(8.02ao) How many days per week is this service offered?</t>
  </si>
  <si>
    <t>(8.03b) What is the total price in Dalasi charged for Injection? INTERVIEWER: IF NO CHARGE, RECORD "0".</t>
  </si>
  <si>
    <t>In-facility</t>
    <phoneticPr fontId="5"/>
  </si>
  <si>
    <t>(8.03d) What is the total price in Dalasi charged for Male condoms? INTERVIEWER: IF NO CHARGE, RECORD "0".</t>
    <phoneticPr fontId="5"/>
  </si>
  <si>
    <t>(9.02) Do patients pay laboratory fees for tests?</t>
  </si>
  <si>
    <t>(9.03) Do patients pay fees for x-ray tests?</t>
  </si>
  <si>
    <t>(9.04) Do patients pay fees for supplies (e.g. compresses, syringes, etc.)?</t>
  </si>
  <si>
    <t>(9.05) Do patients pay fees for medicines?</t>
  </si>
  <si>
    <t xml:space="preserve">(9.07) Is this percentage charged based on the wholesale or retail price? </t>
  </si>
  <si>
    <t>(9.09) Who was involved in setting the fees?</t>
  </si>
  <si>
    <t>(9.11) Are any of the following individuals exempt from paying fees?</t>
  </si>
  <si>
    <t xml:space="preserve">(9.12) Who decides which patients are exempt from paying fees? </t>
  </si>
  <si>
    <t>(9.13) Do exempt patients receive a special exemption card that allows them to receive services for free?</t>
  </si>
  <si>
    <t>(9.14) Does this facility participate in a health insurance scheme?</t>
  </si>
  <si>
    <t>(9.15) What type of health insurance?</t>
  </si>
  <si>
    <t>(9.16) What services are covered under the health insurance scheme?</t>
  </si>
  <si>
    <t>(9.17) Where are the funds collected through the insurance scheme allocated by the facility?</t>
  </si>
  <si>
    <t>(10.02) Scenario 2: Members of your staff have been unable to solve a problem over the past month, though they have been trying to address it.</t>
    <phoneticPr fontId="5"/>
  </si>
  <si>
    <t>(10.03) Scenario 3: You are considering a major change in how things are done in the facility.</t>
    <phoneticPr fontId="5"/>
  </si>
  <si>
    <t>(10.04) Scenario 4: The performance of your staff has been falling in recent months.</t>
    <phoneticPr fontId="5"/>
  </si>
  <si>
    <t>(10.05) Scenario 5: Your staff are no longer working together as an effective team.</t>
    <phoneticPr fontId="5"/>
  </si>
  <si>
    <t>(11.01) I am able to allocate my facility budget according to how it is needed. There is enough flexibility in my budget.</t>
  </si>
  <si>
    <t>(11.04) I have choice over who I allocate for what tasks.</t>
  </si>
  <si>
    <t>(11.05) I have choice over what services are provided in the facility.</t>
  </si>
  <si>
    <t>(11.06) I have enough authority to obtain the resources I need (drugs, supplies, funding) to meet the needs of my facility.</t>
  </si>
  <si>
    <t>(11.07) The policies and procedures for doing things are clear to me.</t>
  </si>
  <si>
    <t>(13.03) Where is the sterilization equipment located?</t>
    <phoneticPr fontId="5"/>
  </si>
  <si>
    <t>(13.09) Where is the delivery and neonatal equipment located?</t>
    <phoneticPr fontId="5"/>
  </si>
  <si>
    <t>(14.01) Do the following entities have the authority to procure drugs and equipment for this facility, ….?</t>
  </si>
  <si>
    <t>(14.03) INTERVIEWER: IS THIS A SEPARATE ROOM FROM THE REST OF THE FACILITY?</t>
  </si>
  <si>
    <t>(14.04) Does this pharmacy serve only to store and dispense drugs, or does it also serve for other purposes?</t>
  </si>
  <si>
    <t>(14.05) Can the doors and windows be locked to keep the pharmacy secured?</t>
  </si>
  <si>
    <t>(14.07) INTERVIEWER: DO THE CEILING, WALLS, FLOORS AND WINDOWS LOOK DRY AND FREE FROM TRACES OF WATER INFILTRATION?</t>
  </si>
  <si>
    <t>(14.08) INTERVIEWER: ARE THE WINDOWS COVERED TO KEEP THE SUNLIGHT OUT?</t>
  </si>
  <si>
    <t xml:space="preserve">(12.01) Is there a reception/registration room in this facility? </t>
  </si>
  <si>
    <t xml:space="preserve">(12.04) Is there a room with auditory and visual privacy for patient consultations in this facility? </t>
  </si>
  <si>
    <t xml:space="preserve">(12.05) Is there a minor surgery theater in this facility? </t>
  </si>
  <si>
    <t xml:space="preserve">(12.06) Are there observation beds in this facility? </t>
  </si>
  <si>
    <t xml:space="preserve">(12.08) Are there separate wards for men and women in this facility? </t>
  </si>
  <si>
    <t xml:space="preserve">(12.09) Number of beds for Men.  </t>
  </si>
  <si>
    <t xml:space="preserve">(12.10) Number of beds for Women.  </t>
  </si>
  <si>
    <t>(14.14a) In the past 30 days, has the item been out of stock at any time?</t>
  </si>
  <si>
    <t>(14.15a) In the past 30 days, how many days has the item been out of stock?</t>
  </si>
  <si>
    <t xml:space="preserve">(14.13b) What quantity of Paracetamol (Panadol) tabs are available at this time? </t>
  </si>
  <si>
    <t xml:space="preserve">(14.13c) What quantity of Amoxicillin (tabs or capsule) are available at this time? </t>
  </si>
  <si>
    <t xml:space="preserve">(14.13d) What quantity of Amoxicillin (syrup) are available at this time? </t>
  </si>
  <si>
    <t xml:space="preserve">(14.13e) What quantity of Oral Rehydration Solution (ORS) packets are available at this time? </t>
  </si>
  <si>
    <t xml:space="preserve">(14.13f) What quantity of Iron tabs (with or without folic acid) are available at this time? </t>
  </si>
  <si>
    <t xml:space="preserve">(14.13g) What quantity of Folic acid tabs are available at this time? </t>
  </si>
  <si>
    <t xml:space="preserve">(14.13h) What quantity of Other antibiotics besides Amoxicillin are available at this time? </t>
  </si>
  <si>
    <t xml:space="preserve">(14.13i) What quantity of Vitamin A are available at this time? </t>
  </si>
  <si>
    <t xml:space="preserve">(14.13j) What quantity of Mebendazole   are available at this time? </t>
  </si>
  <si>
    <t xml:space="preserve">(14.13t) What quantity of Rifampin are available at this time? </t>
  </si>
  <si>
    <t xml:space="preserve">(14.13u) What quantity of Streptomycin are available at this time? </t>
  </si>
  <si>
    <t xml:space="preserve">(14.13w) What quantity of Pyrazinamide are available at this time? </t>
  </si>
  <si>
    <t xml:space="preserve">(14.13x) What quantity of Ethambutal are available at this time? </t>
  </si>
  <si>
    <t xml:space="preserve">(14.13y) What quantity of Combitabs (Multidrug tabs) are available at this time? </t>
  </si>
  <si>
    <t xml:space="preserve">(14.13z) What quantity of Diagnostic kits are available at this time? </t>
  </si>
  <si>
    <t>(14.14aa) In the past 30 days, has the item been out of stock at any time?</t>
  </si>
  <si>
    <t>(14.15aa) In the past 30 days, how many days has the item been out of stock?</t>
  </si>
  <si>
    <t>(14.14ab) In the past 30 days, has the item been out of stock at any time?</t>
  </si>
  <si>
    <t>(14.15ab) In the past 30 days, how many days has the item been out of stock?</t>
  </si>
  <si>
    <t>(14.14ac) In the past 30 days, has the item been out of stock at any time?</t>
  </si>
  <si>
    <t>(14.15ac) In the past 30 days, how many days has the item been out of stock?</t>
  </si>
  <si>
    <t>(14.14ad) In the past 30 days, has the item been out of stock at any time?</t>
  </si>
  <si>
    <t>(14.15ad) In the past 30 days, how many days has the item been out of stock?</t>
  </si>
  <si>
    <t>(14.14ae) In the past 30 days, has the item been out of stock at any time?</t>
  </si>
  <si>
    <t>(14.15ae) In the past 30 days, how many days has the item been out of stock?</t>
  </si>
  <si>
    <t>(14.14af) In the past 30 days, has the item been out of stock at any time?</t>
  </si>
  <si>
    <t>(14.15af) In the past 30 days, how many days has the item been out of stock?</t>
  </si>
  <si>
    <t>(14.14ag) In the past 30 days, has the item been out of stock at any time?</t>
  </si>
  <si>
    <t>(14.15ag) In the past 30 days, how many days has the item been out of stock?</t>
  </si>
  <si>
    <t>(14.14ah) In the past 30 days, has the item been out of stock at any time?</t>
  </si>
  <si>
    <t>(14.15ah) In the past 30 days, how many days has the item been out of stock?</t>
  </si>
  <si>
    <t>(14.14ai) In the past 30 days, has the item been out of stock at any time?</t>
  </si>
  <si>
    <t>(14.15ai) In the past 30 days, how many days has the item been out of stock?</t>
  </si>
  <si>
    <t>(14.14aj) In the past 30 days, has the item been out of stock at any time?</t>
  </si>
  <si>
    <t>(14.15aj) In the past 30 days, how many days has the item been out of stock?</t>
  </si>
  <si>
    <t>(14.14ak) In the past 30 days, has the item been out of stock at any time?</t>
  </si>
  <si>
    <t>(14.15ak) In the past 30 days, how many days has the item been out of stock?</t>
  </si>
  <si>
    <t>(14.14al) In the past 30 days, has the item been out of stock at any time?</t>
  </si>
  <si>
    <t>(14.15al) In the past 30 days, how many days has the item been out of stock?</t>
  </si>
  <si>
    <t>(14.14am) In the past 30 days, has the item been out of stock at any time?</t>
  </si>
  <si>
    <t>(14.15am) In the past 30 days, how many days has the item been out of stock?</t>
  </si>
  <si>
    <t>(14.14ap) In the past 30 days, has the item been out of stock at any time?</t>
  </si>
  <si>
    <t>(14.15ap) In the past 30 days, how many days has the item been out of stock?</t>
  </si>
  <si>
    <t>(14.14b) In the past 30 days, has the item been out of stock at any time?</t>
  </si>
  <si>
    <t>(14.15b) In the past 30 days, how many days has the item been out of stock?</t>
  </si>
  <si>
    <t>(14.14d) In the past 30 days, has the item been out of stock at any time?</t>
  </si>
  <si>
    <t>(14.15d) In the past 30 days, how many days has the item been out of stock?</t>
  </si>
  <si>
    <t>(14.14e) In the past 30 days, has the item been out of stock at any time?</t>
  </si>
  <si>
    <t>(14.15e) In the past 30 days, how many days has the item been out of stock?</t>
  </si>
  <si>
    <t>(14.14f) In the past 30 days, has the item been out of stock at any time?</t>
  </si>
  <si>
    <t>(14.15f) In the past 30 days, how many days has the item been out of stock?</t>
  </si>
  <si>
    <t>(14.14g) In the past 30 days, has the item been out of stock at any time?</t>
  </si>
  <si>
    <t>(14.15g) In the past 30 days, how many days has the item been out of stock?</t>
  </si>
  <si>
    <t>(14.14h) In the past 30 days, has the item been out of stock at any time?</t>
  </si>
  <si>
    <t>(14.15h) In the past 30 days, how many days has the item been out of stock?</t>
  </si>
  <si>
    <t>(14.14i) In the past 30 days, has the item been out of stock at any time?</t>
  </si>
  <si>
    <t>(14.15i) In the past 30 days, how many days has the item been out of stock?</t>
  </si>
  <si>
    <t>(14.14j) In the past 30 days, has the item been out of stock at any time?</t>
  </si>
  <si>
    <t>(14.15j) In the past 30 days, how many days has the item been out of stock?</t>
  </si>
  <si>
    <t>(14.14k) In the past 30 days, has the item been out of stock at any time?</t>
  </si>
  <si>
    <t>(14.15k) In the past 30 days, how many days has the item been out of stock?</t>
  </si>
  <si>
    <t>(14.14l) In the past 30 days, has the item been out of stock at any time?</t>
  </si>
  <si>
    <t>(14.15l) In the past 30 days, how many days has the item been out of stock?</t>
  </si>
  <si>
    <t>(14.14m) In the past 30 days, has the item been out of stock at any time?</t>
  </si>
  <si>
    <t>(14.15m) In the past 30 days, how many days has the item been out of stock?</t>
  </si>
  <si>
    <t>(14.14n) In the past 30 days, has the item been out of stock at any time?</t>
  </si>
  <si>
    <t>(14.15n) In the past 30 days, how many days has the item been out of stock?</t>
  </si>
  <si>
    <t>(14.14o) In the past 30 days, has the item been out of stock at any time?</t>
  </si>
  <si>
    <t>(14.15o) In the past 30 days, how many days has the item been out of stock?</t>
  </si>
  <si>
    <t>(14.14p) In the past 30 days, has the item been out of stock at any time?</t>
  </si>
  <si>
    <t>(14.15p) In the past 30 days, how many days has the item been out of stock?</t>
  </si>
  <si>
    <t>(14.14q) In the past 30 days, has the item been out of stock at any time?</t>
  </si>
  <si>
    <t>(14.15q) In the past 30 days, how many days has the item been out of stock?</t>
  </si>
  <si>
    <t>(14.14r) In the past 30 days, has the item been out of stock at any time?</t>
  </si>
  <si>
    <t>(14.15r) In the past 30 days, how many days has the item been out of stock?</t>
  </si>
  <si>
    <t>(14.14t) In the past 30 days, has the item been out of stock at any time?</t>
  </si>
  <si>
    <t>(14.15t) In the past 30 days, how many days has the item been out of stock?</t>
  </si>
  <si>
    <t>(14.14u) In the past 30 days, has the item been out of stock at any time?</t>
  </si>
  <si>
    <t>(14.15u) In the past 30 days, how many days has the item been out of stock?</t>
  </si>
  <si>
    <t>(14.14v) In the past 30 days, has the item been out of stock at any time?</t>
  </si>
  <si>
    <t>(14.15v) In the past 30 days, how many days has the item been out of stock?</t>
  </si>
  <si>
    <t>(14.14w) In the past 30 days, has the item been out of stock at any time?</t>
  </si>
  <si>
    <t>(14.15w) In the past 30 days, how many days has the item been out of stock?</t>
  </si>
  <si>
    <t>(14.14x) In the past 30 days, has the item been out of stock at any time?</t>
  </si>
  <si>
    <t>(14.15x) In the past 30 days, how many days has the item been out of stock?</t>
  </si>
  <si>
    <t>(14.14y) In the past 30 days, has the item been out of stock at any time?</t>
  </si>
  <si>
    <t>(14.15y) In the past 30 days, how many days has the item been out of stock?</t>
  </si>
  <si>
    <t>(14.14z) In the past 30 days, has the item been out of stock at any time?</t>
  </si>
  <si>
    <t>(14.15z) In the past 30 days, how many days has the item been out of stock?</t>
  </si>
  <si>
    <t>module1</t>
  </si>
  <si>
    <t>module2</t>
  </si>
  <si>
    <t>module3</t>
  </si>
  <si>
    <t>module4</t>
  </si>
  <si>
    <t>module5</t>
  </si>
  <si>
    <t>module6</t>
  </si>
  <si>
    <t>module7</t>
  </si>
  <si>
    <t>Other, specify:</t>
    <phoneticPr fontId="5"/>
  </si>
  <si>
    <t>a. Chlorhexidine (gluconate)</t>
  </si>
  <si>
    <t>b. Dakin</t>
  </si>
  <si>
    <t>c. Sodium Hypochlorite/Chlorine solution/JIK solution</t>
  </si>
  <si>
    <t>d. Methylated spirit</t>
  </si>
  <si>
    <t>e. Other, specify:</t>
  </si>
  <si>
    <t xml:space="preserve"> </t>
  </si>
  <si>
    <t xml:space="preserve">OTHER, SPECIFY:
</t>
  </si>
  <si>
    <t>text</t>
    <phoneticPr fontId="5"/>
  </si>
  <si>
    <t>f1_05_02l</t>
  </si>
  <si>
    <t>f1_05_02a</t>
  </si>
  <si>
    <t>f1_05_02b</t>
  </si>
  <si>
    <t>f1_05_02c</t>
  </si>
  <si>
    <t>f1_05_02d</t>
  </si>
  <si>
    <t>f1_05_02e</t>
  </si>
  <si>
    <t>f1_05_02f</t>
  </si>
  <si>
    <t>f1_05_02g</t>
  </si>
  <si>
    <t>f1_05_02h</t>
  </si>
  <si>
    <t>f1_05_02i</t>
  </si>
  <si>
    <t>f1_05_02j</t>
  </si>
  <si>
    <t>f1_05_02k</t>
  </si>
  <si>
    <t>f1_05_02m</t>
  </si>
  <si>
    <t>f1_05_02n</t>
  </si>
  <si>
    <t>f1_05_02o</t>
  </si>
  <si>
    <t>f1_05_02p</t>
  </si>
  <si>
    <t>f1_05_03b</t>
  </si>
  <si>
    <t>f1_05_04b</t>
  </si>
  <si>
    <t>f1_05_03c</t>
  </si>
  <si>
    <t>f1_05_04c</t>
  </si>
  <si>
    <t>f1_05_03d</t>
  </si>
  <si>
    <t>f1_05_04d</t>
  </si>
  <si>
    <t>f1_05_03e</t>
  </si>
  <si>
    <t>f1_05_04e</t>
  </si>
  <si>
    <t>f1_05_03f</t>
  </si>
  <si>
    <t>f1_05_04f</t>
  </si>
  <si>
    <t>f1_05_03g</t>
  </si>
  <si>
    <t>f1_05_04g</t>
  </si>
  <si>
    <t>f1_05_03h</t>
  </si>
  <si>
    <t>f1_05_04h</t>
  </si>
  <si>
    <t>f1_05_03i</t>
  </si>
  <si>
    <t>f1_05_04i</t>
  </si>
  <si>
    <t>f1_05_03j</t>
  </si>
  <si>
    <t>f1_05_04j</t>
  </si>
  <si>
    <t>f1_05_03k</t>
  </si>
  <si>
    <t>f1_05_04k</t>
  </si>
  <si>
    <t>f1_05_03l</t>
  </si>
  <si>
    <t>f1_05_04l</t>
  </si>
  <si>
    <t>f1_05_03m</t>
  </si>
  <si>
    <t>f1_05_04m</t>
  </si>
  <si>
    <t>f1_05_03n</t>
  </si>
  <si>
    <t>f1_05_04n</t>
  </si>
  <si>
    <t>f1_05_03o</t>
  </si>
  <si>
    <t>f1_05_04o</t>
  </si>
  <si>
    <t>f1_05_03p</t>
  </si>
  <si>
    <t>f1_05_04p</t>
  </si>
  <si>
    <t>begin group</t>
    <phoneticPr fontId="6"/>
  </si>
  <si>
    <t>integer</t>
    <phoneticPr fontId="6"/>
  </si>
  <si>
    <t>end group</t>
    <phoneticPr fontId="6"/>
  </si>
  <si>
    <t>f1_03_03a</t>
    <phoneticPr fontId="6"/>
  </si>
  <si>
    <t>f1_03_04a</t>
    <phoneticPr fontId="6"/>
  </si>
  <si>
    <t>f1_03_05a</t>
    <phoneticPr fontId="6"/>
  </si>
  <si>
    <t>select_one yesno</t>
    <phoneticPr fontId="6"/>
  </si>
  <si>
    <t>f1_03_01b</t>
  </si>
  <si>
    <t>f1_03_02b</t>
  </si>
  <si>
    <t>f1_03_03b</t>
  </si>
  <si>
    <t>f1_03_04b</t>
  </si>
  <si>
    <t>f1_03_05b</t>
  </si>
  <si>
    <t>f1_03_06b</t>
  </si>
  <si>
    <t>f1_03_01c</t>
  </si>
  <si>
    <t>f1_03_02c</t>
  </si>
  <si>
    <t>f1_03_03c</t>
  </si>
  <si>
    <t>f1_03_04c</t>
  </si>
  <si>
    <t>f1_03_05c</t>
  </si>
  <si>
    <t>f1_03_06c</t>
  </si>
  <si>
    <t>f1_03_01d</t>
  </si>
  <si>
    <t>f1_03_02d</t>
  </si>
  <si>
    <t>f1_03_03d</t>
  </si>
  <si>
    <t>f1_03_04d</t>
  </si>
  <si>
    <t>f1_03_05d</t>
  </si>
  <si>
    <t>f1_03_06d</t>
  </si>
  <si>
    <t>f1_03_01e</t>
  </si>
  <si>
    <t>f1_03_02e</t>
  </si>
  <si>
    <t>f1_03_03e</t>
  </si>
  <si>
    <t>f1_03_04e</t>
  </si>
  <si>
    <t>f1_03_05e</t>
  </si>
  <si>
    <t>f1_03_06e</t>
  </si>
  <si>
    <t>f1_03_01f</t>
  </si>
  <si>
    <t>f1_03_02f</t>
  </si>
  <si>
    <t>f1_03_03f</t>
  </si>
  <si>
    <t>f1_03_04f</t>
  </si>
  <si>
    <t>f1_03_05f</t>
  </si>
  <si>
    <t>f1_03_06f</t>
  </si>
  <si>
    <t>f1_03_01g</t>
  </si>
  <si>
    <t>f1_03_02g</t>
  </si>
  <si>
    <t>f1_03_03g</t>
  </si>
  <si>
    <t>f1_03_04g</t>
  </si>
  <si>
    <t>f1_03_05g</t>
  </si>
  <si>
    <t>f1_03_06g</t>
  </si>
  <si>
    <t>f1_03_01h</t>
  </si>
  <si>
    <t>f1_03_02h</t>
  </si>
  <si>
    <t>f1_03_03h</t>
  </si>
  <si>
    <t>f1_03_04h</t>
  </si>
  <si>
    <t>f1_03_05h</t>
  </si>
  <si>
    <t>f1_03_06h</t>
  </si>
  <si>
    <t>f1_03_01i</t>
  </si>
  <si>
    <t>f1_03_02i</t>
  </si>
  <si>
    <t>f1_03_03i</t>
  </si>
  <si>
    <t>f1_03_04i</t>
  </si>
  <si>
    <t>f1_03_05i</t>
  </si>
  <si>
    <t>f1_03_06i</t>
  </si>
  <si>
    <t>f1_03_01j</t>
  </si>
  <si>
    <t>f1_03_02j</t>
  </si>
  <si>
    <t>f1_03_03j</t>
  </si>
  <si>
    <t>f1_03_04j</t>
  </si>
  <si>
    <t>f1_03_05j</t>
  </si>
  <si>
    <t>f1_03_06j</t>
  </si>
  <si>
    <t>f1_03_01k</t>
  </si>
  <si>
    <t>f1_03_02k</t>
  </si>
  <si>
    <t>f1_03_03k</t>
  </si>
  <si>
    <t>f1_03_04k</t>
  </si>
  <si>
    <t>f1_03_05k</t>
  </si>
  <si>
    <t>f1_03_06k</t>
  </si>
  <si>
    <t>f1_03_01l</t>
  </si>
  <si>
    <t>f1_03_02l</t>
  </si>
  <si>
    <t>f1_03_03l</t>
  </si>
  <si>
    <t>f1_03_04l</t>
  </si>
  <si>
    <t>f1_03_05l</t>
  </si>
  <si>
    <t>f1_03_06l</t>
  </si>
  <si>
    <t>f1_03_01m</t>
  </si>
  <si>
    <t>f1_03_02m</t>
  </si>
  <si>
    <t>f1_03_03m</t>
  </si>
  <si>
    <t>f1_03_04m</t>
  </si>
  <si>
    <t>f1_03_05m</t>
  </si>
  <si>
    <t>f1_03_06m</t>
  </si>
  <si>
    <t>f1_03_01n</t>
  </si>
  <si>
    <t>f1_03_02n</t>
  </si>
  <si>
    <t>f1_03_03n</t>
  </si>
  <si>
    <t>f1_03_04n</t>
  </si>
  <si>
    <t>f1_03_05n</t>
  </si>
  <si>
    <t>f1_03_06n</t>
  </si>
  <si>
    <t>f1_03_01o</t>
  </si>
  <si>
    <t>f1_03_02o</t>
  </si>
  <si>
    <t>f1_03_03o</t>
  </si>
  <si>
    <t>f1_03_04o</t>
  </si>
  <si>
    <t>f1_03_05o</t>
  </si>
  <si>
    <t>f1_03_06o</t>
  </si>
  <si>
    <t>f1_03_01p</t>
  </si>
  <si>
    <t>f1_03_02p</t>
  </si>
  <si>
    <t>f1_03_03p</t>
  </si>
  <si>
    <t>f1_03_04p</t>
  </si>
  <si>
    <t>f1_03_05p</t>
  </si>
  <si>
    <t>f1_03_06p</t>
  </si>
  <si>
    <t>f1_03_01q</t>
  </si>
  <si>
    <t>f1_03_02q</t>
  </si>
  <si>
    <t>f1_03_03q</t>
  </si>
  <si>
    <t>f1_03_04q</t>
  </si>
  <si>
    <t>f1_03_05q</t>
  </si>
  <si>
    <t>f1_03_06q</t>
  </si>
  <si>
    <t>f1_03_01r</t>
  </si>
  <si>
    <t>f1_03_02r</t>
  </si>
  <si>
    <t>f1_03_03r</t>
  </si>
  <si>
    <t>f1_03_04r</t>
  </si>
  <si>
    <t>f1_03_05r</t>
  </si>
  <si>
    <t>f1_03_06r</t>
  </si>
  <si>
    <t>f1_03_01s</t>
  </si>
  <si>
    <t>f1_03_02s</t>
  </si>
  <si>
    <t>f1_03_03s</t>
  </si>
  <si>
    <t>f1_03_04s</t>
  </si>
  <si>
    <t>f1_03_05s</t>
  </si>
  <si>
    <t>f1_03_06s</t>
  </si>
  <si>
    <t>f1_03_01t</t>
  </si>
  <si>
    <t>f1_03_02t</t>
  </si>
  <si>
    <t>f1_03_03t</t>
  </si>
  <si>
    <t>f1_03_04t</t>
  </si>
  <si>
    <t>f1_03_05t</t>
  </si>
  <si>
    <t>f1_03_06t</t>
  </si>
  <si>
    <t>Major Health Center</t>
  </si>
  <si>
    <t>Minor Health Center</t>
  </si>
  <si>
    <t>Catchment Area Committees (CACs)</t>
  </si>
  <si>
    <t xml:space="preserve">Other, specify: 
</t>
  </si>
  <si>
    <t>begin group</t>
    <phoneticPr fontId="5"/>
  </si>
  <si>
    <t>f1_02_03b</t>
    <phoneticPr fontId="5"/>
  </si>
  <si>
    <t>f1_02_03c</t>
    <phoneticPr fontId="5"/>
  </si>
  <si>
    <t>f1_02_03d</t>
    <phoneticPr fontId="5"/>
  </si>
  <si>
    <t>f1_02_03e</t>
    <phoneticPr fontId="5"/>
  </si>
  <si>
    <t>f1_02_03f</t>
    <phoneticPr fontId="5"/>
  </si>
  <si>
    <t>f1_02_03g</t>
    <phoneticPr fontId="5"/>
  </si>
  <si>
    <t>list-nolabel</t>
    <phoneticPr fontId="5"/>
  </si>
  <si>
    <t>VDC Chairperson</t>
  </si>
  <si>
    <t>f1_02_09a</t>
    <phoneticPr fontId="5"/>
  </si>
  <si>
    <t>f1_02_09b</t>
    <phoneticPr fontId="5"/>
  </si>
  <si>
    <t>f1_02_09c</t>
    <phoneticPr fontId="5"/>
  </si>
  <si>
    <t>f1_02_09d</t>
    <phoneticPr fontId="5"/>
  </si>
  <si>
    <t>f1_02_09e</t>
    <phoneticPr fontId="5"/>
  </si>
  <si>
    <t>f1_02_09f</t>
    <phoneticPr fontId="5"/>
  </si>
  <si>
    <t>f1_02_09g</t>
    <phoneticPr fontId="5"/>
  </si>
  <si>
    <t>f1_02_09h</t>
    <phoneticPr fontId="5"/>
  </si>
  <si>
    <t>f1_02_09i</t>
    <phoneticPr fontId="5"/>
  </si>
  <si>
    <t>f1_02_09j</t>
    <phoneticPr fontId="5"/>
  </si>
  <si>
    <t>f1_02_09k</t>
    <phoneticPr fontId="5"/>
  </si>
  <si>
    <t>f1_02_09l</t>
    <phoneticPr fontId="5"/>
  </si>
  <si>
    <t>f1_02_29</t>
  </si>
  <si>
    <t>f1_02_31</t>
  </si>
  <si>
    <t>f1_03_01u</t>
  </si>
  <si>
    <t>f1_03_02u</t>
  </si>
  <si>
    <t>f1_03_03u</t>
  </si>
  <si>
    <t>f1_03_04u</t>
  </si>
  <si>
    <t>f1_03_05u</t>
  </si>
  <si>
    <t>f1_03_06u</t>
  </si>
  <si>
    <t>INTERVIEWER: CHECK RECORDS. IF NO RECORDS, ASK IN-CHARGE. RECORD ANSWER BASED ON WHETHER RECORDS WERE SEEN OR NOT.</t>
    <phoneticPr fontId="5"/>
  </si>
  <si>
    <t>INTERVIEWER: CHECK RECORDS.</t>
  </si>
  <si>
    <t>select_one plan</t>
    <phoneticPr fontId="5"/>
  </si>
  <si>
    <t>select_one yesno</t>
    <phoneticPr fontId="5"/>
  </si>
  <si>
    <t>plan</t>
    <phoneticPr fontId="5"/>
  </si>
  <si>
    <t>INTERVIEWER: TUBERCULOSIS CORNER IS A PLACE IN THE FACILITY WHERE PATIENTS WITH TUBERCULOSIS ARE SEEN AND PROVIDED DRUGS.</t>
    <phoneticPr fontId="5"/>
  </si>
  <si>
    <t>f1_06_47</t>
  </si>
  <si>
    <t>f1_06_48</t>
  </si>
  <si>
    <t>f1_06_49</t>
  </si>
  <si>
    <t>f1_06_50</t>
  </si>
  <si>
    <t>f1_06_51</t>
  </si>
  <si>
    <t>f1_06_52</t>
  </si>
  <si>
    <t>calculate</t>
    <phoneticPr fontId="5"/>
  </si>
  <si>
    <t>f1_08_01l_1</t>
  </si>
  <si>
    <t>f1_08_01l_2</t>
  </si>
  <si>
    <t>f1_08_01o_1</t>
  </si>
  <si>
    <t>f1_08_01o_2</t>
  </si>
  <si>
    <t>f1_08_01n_1</t>
  </si>
  <si>
    <t>f1_08_01n_2</t>
  </si>
  <si>
    <t>${f1_08_01l_1}=1 or ${f1_08_01l_2}=1</t>
  </si>
  <si>
    <t>(8.03r) What is the total price in Dalasi charged for Polio Dose 2? INTERVIEWER: IF NO CHARGE, RECORD "0".</t>
  </si>
  <si>
    <t>(8.03s) What is the total price in Dalasi charged for Polio Dose 3? INTERVIEWER: IF NO CHARGE, RECORD "0".</t>
  </si>
  <si>
    <t>(8.03t) What is the total price in Dalasi charged for Measles Dose 1 (&lt;1 year)? INTERVIEWER: IF NO CHARGE, RECORD "0".</t>
  </si>
  <si>
    <t>(8.03u) What is the total price in Dalasi charged for Rotavirus Vaccine? INTERVIEWER: IF NO CHARGE, RECORD "0".</t>
  </si>
  <si>
    <t>(8.03v) What is the total price in Dalasi charged for Pneumococcal Vaccine? INTERVIEWER: IF NO CHARGE, RECORD "0".</t>
  </si>
  <si>
    <t>(8.03w) What is the total price in Dalasi charged for Tetanus Toxoid to pregnant women? INTERVIEWER: IF NO CHARGE, RECORD "0".</t>
  </si>
  <si>
    <t>(8.03x) What is the total price in Dalasi charged for Vitamin A Supplement? INTERVIEWER: IF NO CHARGE, RECORD "0".</t>
  </si>
  <si>
    <t>(8.03aa) What is the total price in Dalasi charged for Curative care for children &lt;5 years? INTERVIEWER: IF NO CHARGE, RECORD "0".</t>
  </si>
  <si>
    <t>(8.03ab) What is the total price in Dalasi charged for Curative care for children &gt;5 years and adults? INTERVIEWER: IF NO CHARGE, RECORD "0".</t>
  </si>
  <si>
    <t>(8.03ac) What is the total price in Dalasi charged for Child growth monitoring and nutritional advice? INTERVIEWER: IF NO CHARGE, RECORD "0".</t>
  </si>
  <si>
    <t>(8.03ad) What is the total price in Dalasi charged for Treatment for severe acute malnutrition? INTERVIEWER: IF NO CHARGE, RECORD "0".</t>
  </si>
  <si>
    <t>(8.03ae) What is the total price in Dalasi charged for Malaria treatment with Artemisinin-based Combination Therapy (ACT)? INTERVIEWER: IF NO CHARGE, RECORD "0".</t>
  </si>
  <si>
    <t>(8.03af) What is the total price in Dalasi charged for Tuberculosis diagnosis? INTERVIEWER: IF NO CHARGE, RECORD "0".</t>
  </si>
  <si>
    <t>(8.03aj) What is the total price in Dalasi charged for Tuberculosis treatment? INTERVIEWER: IF NO CHARGE, RECORD "0".</t>
  </si>
  <si>
    <t>(8.03ak) What is the total price in Dalasi charged for Diagnosis,  testing, and counseling for STIs? INTERVIEWER: IF NO CHARGE, RECORD "0".</t>
  </si>
  <si>
    <t>(8.03al) What is the total price in Dalasi charged for Treatment for STIs? INTERVIEWER: IF NO CHARGE, RECORD "0".</t>
  </si>
  <si>
    <t>(8.03am) What is the total price in Dalasi charged for 24-hour emergency care? INTERVIEWER: IF NO CHARGE, RECORD "0".</t>
  </si>
  <si>
    <t>(8.03an) What is the total price in Dalasi charged for Inpatient stay? INTERVIEWER: IF NO CHARGE, RECORD "0".</t>
  </si>
  <si>
    <t>(8.03ao) What is the total price in Dalasi charged for Ambulance ride to another facility for referral? INTERVIEWER: IF NO CHARGE, RECORD "0".</t>
  </si>
  <si>
    <t>${f1_08_01n_1}=1 or ${f1_08_01n_2}=1</t>
  </si>
  <si>
    <t>${f1_08_01o_1}=1 or ${f1_08_01o_2}=1</t>
  </si>
  <si>
    <t>(11.02) I am able to assign tasks and activities to staff as needed to achieve the outcomes I want in the facility. There is enough flexibility to use staff to address needs.</t>
    <phoneticPr fontId="5"/>
  </si>
  <si>
    <t>(11.08) The policies and procedures for doing things are useful tools for the challenges I face in providing services and reporting on activities.</t>
    <phoneticPr fontId="5"/>
  </si>
  <si>
    <t>f1_13_04b</t>
    <phoneticPr fontId="5"/>
  </si>
  <si>
    <t>(12.11) Is there a separate ward for women waiting to deliver?</t>
    <phoneticPr fontId="5"/>
  </si>
  <si>
    <t>(12.15) Is there a separate ward for children?</t>
    <phoneticPr fontId="5"/>
  </si>
  <si>
    <t xml:space="preserve">(12.17) Is a functional toilet facility available for patients? </t>
    <phoneticPr fontId="5"/>
  </si>
  <si>
    <t xml:space="preserve">(12.18) Are there separate toilet facilities for male and female patients? </t>
    <phoneticPr fontId="5"/>
  </si>
  <si>
    <t xml:space="preserve">(12.19) Does the facility have accommodations for health workers who are on-call during non-routine hours, e.g. night shift? </t>
    <phoneticPr fontId="5"/>
  </si>
  <si>
    <t xml:space="preserve">(12.20) Is there any posting in the facility that shows the user fees for outpatient visits? </t>
    <phoneticPr fontId="5"/>
  </si>
  <si>
    <t xml:space="preserve">(12.21) Is there any posting in the facility that shows laboratory fees for outpatients? </t>
    <phoneticPr fontId="5"/>
  </si>
  <si>
    <t xml:space="preserve">(12.22) Is there any posting in the facility that shows X-ray fees for outpatients? </t>
    <phoneticPr fontId="5"/>
  </si>
  <si>
    <t xml:space="preserve">(12.23) Is there any posting in the facility that shows supplies fees for outpatients? </t>
    <phoneticPr fontId="5"/>
  </si>
  <si>
    <t xml:space="preserve">(12.24) Is there any posting in the facility that shows the user fees for inpatient visits? </t>
    <phoneticPr fontId="5"/>
  </si>
  <si>
    <t xml:space="preserve">(12.25) Is there any posting in the facility that shows laboratory fees for inpatients? </t>
    <phoneticPr fontId="5"/>
  </si>
  <si>
    <t xml:space="preserve">(12.26) Is there any posting in the facility that shows X-ray fees for inpatients? </t>
    <phoneticPr fontId="5"/>
  </si>
  <si>
    <t xml:space="preserve">(12.27) Is there any posting in the facility that shows supplies fees for inpatients? </t>
    <phoneticPr fontId="5"/>
  </si>
  <si>
    <t>(12.28) Is any of the following posted publicly for patients to see?</t>
    <phoneticPr fontId="5"/>
  </si>
  <si>
    <t>(12.29) Patient education materials (Information and Education Campaign materials)</t>
    <phoneticPr fontId="5"/>
  </si>
  <si>
    <t>(12.31) Graphs for growth monitoring</t>
    <phoneticPr fontId="5"/>
  </si>
  <si>
    <t>(12.32) National protocol for tuberculosis diagnosis and treatment</t>
    <phoneticPr fontId="5"/>
  </si>
  <si>
    <t>(12.33) Health Management Information System (HMIS) guidelines</t>
    <phoneticPr fontId="5"/>
  </si>
  <si>
    <t>(12.34) Health Management Information System (HMIS) Data</t>
    <phoneticPr fontId="5"/>
  </si>
  <si>
    <t>(12.35) National Protocol for malaria diagnosis and treatment (not part of IMCI)</t>
    <phoneticPr fontId="5"/>
  </si>
  <si>
    <t>f1_12_36</t>
    <phoneticPr fontId="5"/>
  </si>
  <si>
    <t>f1_12_44</t>
  </si>
  <si>
    <t>f1_12_45</t>
    <phoneticPr fontId="5"/>
  </si>
  <si>
    <t>f1_12_46</t>
  </si>
  <si>
    <t>f1_12_47</t>
  </si>
  <si>
    <t>f1_12_48</t>
  </si>
  <si>
    <t>f1_12_49</t>
  </si>
  <si>
    <t>f1_12_50</t>
  </si>
  <si>
    <t>(12.36) National protocol for child vaccination</t>
  </si>
  <si>
    <t xml:space="preserve">(12.37) National protocol for reproductive health/family planning </t>
  </si>
  <si>
    <t>(12.38) National protocol for reducing unsafe abortion morbidity/mortality</t>
  </si>
  <si>
    <t>(12.39) Antenatal Care National Standards</t>
  </si>
  <si>
    <t>(12.40) Labor and Delivery Care</t>
  </si>
  <si>
    <t>(12.41) Newborn Care National Standards</t>
  </si>
  <si>
    <t>(12.42) Post-Partum Care National Standards</t>
  </si>
  <si>
    <t>(12.43) Procedures Manual for Infection Prevention and Control</t>
  </si>
  <si>
    <t>(12.44) Management of Sexually Transmitted Infections (STI) guidelines</t>
  </si>
  <si>
    <t>(12.45) National HIV testing and counseling guidelines</t>
  </si>
  <si>
    <t>(12.46) Prevention of mother to child transmission of HIV (PMTCT) guidelines</t>
  </si>
  <si>
    <t>(12.47) HIV treatment (Antiretroviral therapy, ART) guidelines</t>
  </si>
  <si>
    <t>(12.48) National list for essential drugs</t>
  </si>
  <si>
    <t>(12.49) National protocol for drug procurement</t>
  </si>
  <si>
    <t>(12.50) Detecting and reporting adverse drug or vaccine reaction</t>
  </si>
  <si>
    <t xml:space="preserve">(14.13ab) What quantity of Diazepam Injection are available at this time? </t>
  </si>
  <si>
    <t xml:space="preserve">(14.13ad) What quantity of Oxytocin are available at this time? </t>
  </si>
  <si>
    <t xml:space="preserve">(14.13ae) What quantity of Bacille Calmette-Guérin (BCG) are available at this time? </t>
  </si>
  <si>
    <t xml:space="preserve">(14.13af) What quantity of Oral Polio Vaccine (OPV) are available at this time? </t>
  </si>
  <si>
    <t xml:space="preserve">(14.13ag) What quantity of Tetanus Toxoid (TT) are available at this time? </t>
  </si>
  <si>
    <t xml:space="preserve">(14.13ah) What quantity of Measles vaccine are available at this time? </t>
  </si>
  <si>
    <t xml:space="preserve">(14.13ai) What quantity of Pentavalent (DPT, Hepatitis B, Hemophilus influenzae B) are available at this time? </t>
  </si>
  <si>
    <t xml:space="preserve">(14.13am) What quantity of HIV test kit are available at this time? </t>
  </si>
  <si>
    <t xml:space="preserve">(14.13an) What quantity of Pregnancy testing kit are available at this time? </t>
  </si>
  <si>
    <t>(14.14an) In the past 30 days, has the item been out of stock at any time?</t>
  </si>
  <si>
    <t>(14.15an) In the past 30 days, how many days has the item been out of stock?</t>
  </si>
  <si>
    <t>f1_14_11nan</t>
  </si>
  <si>
    <t>f1_14_13an</t>
  </si>
  <si>
    <t>f1_14_14an</t>
  </si>
  <si>
    <t>f1_14_15an</t>
  </si>
  <si>
    <t>f1_14_11nao</t>
  </si>
  <si>
    <t>f1_14_13ao</t>
  </si>
  <si>
    <t>f1_14_14ao</t>
  </si>
  <si>
    <t>f1_14_15ao</t>
  </si>
  <si>
    <t>${f1_14_13ao}&gt;0</t>
  </si>
  <si>
    <t xml:space="preserve">(14.13ao) What quantity of Rapid plasma reagin (RPR) test for syphilis are available at this time? </t>
  </si>
  <si>
    <t>(14.14ao) In the past 30 days, has the item been out of stock at any time?</t>
  </si>
  <si>
    <t>(14.15ao) In the past 30 days, how many days has the item been out of stock?</t>
  </si>
  <si>
    <t xml:space="preserve">(14.13ap) What quantity of Urine protein &amp; glucose testing kit (dipstick test) are available at this time? </t>
  </si>
  <si>
    <t xml:space="preserve">(14.13al) What quantity of Malaria rapid diagnostic kit are available at this time? </t>
  </si>
  <si>
    <t xml:space="preserve">(14.13ak) What quantity of Pneumococcal Vaccine are available at this time? </t>
  </si>
  <si>
    <t xml:space="preserve">(14.13aj) What quantity of Rotavirus Vaccine are available at this time? </t>
  </si>
  <si>
    <t>Planning service delivery</t>
  </si>
  <si>
    <t xml:space="preserve">Passed along to district, regional health teams or others </t>
  </si>
  <si>
    <t>end group</t>
    <phoneticPr fontId="5"/>
  </si>
  <si>
    <t>f1_12_28a</t>
    <phoneticPr fontId="5"/>
  </si>
  <si>
    <t>f1_12_28f</t>
    <phoneticPr fontId="5"/>
  </si>
  <si>
    <t>f1_12_28f_other</t>
    <phoneticPr fontId="5"/>
  </si>
  <si>
    <t>f1_03_01ur</t>
    <phoneticPr fontId="5"/>
  </si>
  <si>
    <t>f1_03_01u_other</t>
    <phoneticPr fontId="5"/>
  </si>
  <si>
    <t>MOHSW / REGIONAL HEALTH MANAGEMENT TEAM</t>
  </si>
  <si>
    <t>OTHER,  SPECIFY:</t>
  </si>
  <si>
    <t>list-nolabel</t>
  </si>
  <si>
    <t>yes</t>
  </si>
  <si>
    <t>Specify:</t>
  </si>
  <si>
    <t>f1_01_13_a</t>
  </si>
  <si>
    <t>f1_01_13_b</t>
  </si>
  <si>
    <t>f1_01_13_c</t>
  </si>
  <si>
    <t>f1_01_13_d</t>
  </si>
  <si>
    <t>f1_01_13_e</t>
  </si>
  <si>
    <t>f1_01_13_f</t>
  </si>
  <si>
    <t>f1_01_13_g</t>
  </si>
  <si>
    <t>f1_01_13_h</t>
  </si>
  <si>
    <t>(1.18) Who is eligible to receive pay for performance bonuses?</t>
  </si>
  <si>
    <t>pay</t>
  </si>
  <si>
    <t>All Staff</t>
  </si>
  <si>
    <t>All Medical Staff</t>
  </si>
  <si>
    <t>All Permanent Technical Staff (eg, contract staff not eligible)</t>
  </si>
  <si>
    <t>Staff performing MCH services</t>
  </si>
  <si>
    <t>Staff providing care for Under-5's</t>
  </si>
  <si>
    <t>select_one pay</t>
  </si>
  <si>
    <t>b. Private vehicle rented full time</t>
  </si>
  <si>
    <t>c. Private vehicle rented part time</t>
  </si>
  <si>
    <t>d. Other vehicle owned by facility</t>
  </si>
  <si>
    <t>e. Private vehicles on call</t>
  </si>
  <si>
    <t>g. Motorbike owned by facility</t>
  </si>
  <si>
    <t>h. Rented motorbike</t>
  </si>
  <si>
    <t>i. Bicycle owned by facility</t>
  </si>
  <si>
    <t>f1_01_46a</t>
  </si>
  <si>
    <t>f1_01_46b</t>
  </si>
  <si>
    <t>f1_01_46c</t>
  </si>
  <si>
    <t>f1_01_46d</t>
  </si>
  <si>
    <t>f1_01_46e</t>
  </si>
  <si>
    <t>calculate</t>
  </si>
  <si>
    <t xml:space="preserve"> INTERVIEWER: IF ZERO, RECORD "0".</t>
  </si>
  <si>
    <t>INTERVIEWER: IF ZERO, RECORD "0".</t>
  </si>
  <si>
    <t>f1_04_05</t>
  </si>
  <si>
    <t>Appointed Centrally</t>
  </si>
  <si>
    <t>Contracted Locally</t>
  </si>
  <si>
    <t>app</t>
  </si>
  <si>
    <t>select_one app</t>
  </si>
  <si>
    <t>f1_04_06</t>
  </si>
  <si>
    <t>High Risk Pregnancy</t>
  </si>
  <si>
    <t>(2.32) What has the data been used for?</t>
  </si>
  <si>
    <t>INTERVIEWER: CHECK THE NUMBER DOES NOT EXCEED THE TOTAL NUMBER OF LABORATORY TECHNICIANS</t>
  </si>
  <si>
    <t xml:space="preserve">(5.07) Is there a Tuberculosis Laboratory Register? </t>
  </si>
  <si>
    <t>INTERVIEWER: IF YES, ASK TO SEE IT.</t>
  </si>
  <si>
    <t>(6.37) Are family planning services offered by the facility, either in the facility or in the community?</t>
  </si>
  <si>
    <t>(6.38) Do facility staff assist with family planning  only in the facility, only in the community, or in both the facility and the community?</t>
  </si>
  <si>
    <t>(6.39) Is there a separate room for family planning services?</t>
  </si>
  <si>
    <t>(6.42) What tuberculosis services does this health facility provide?</t>
  </si>
  <si>
    <t>f1_06_44_other</t>
  </si>
  <si>
    <t>f1_06_45</t>
  </si>
  <si>
    <t>f1_06_46</t>
  </si>
  <si>
    <t>(6.45) Is there a Tuberculosis Register? IF YES, ASK TO SEE IT.</t>
  </si>
  <si>
    <t>(6.46) Is there a Suspect Tuberculosis Cases Register? IF YES, ASK TO SEE IT.</t>
  </si>
  <si>
    <t>(6.47) Do patients who come for tuberculosis treatment get a tuberculosis treatment card?</t>
  </si>
  <si>
    <t>f1_06_48_other</t>
  </si>
  <si>
    <t>(6.49) Could you show me some cards that belong to specific patients?</t>
  </si>
  <si>
    <t>(6.48) Where are the tuberculosis treatment cards kept once issued to a patient?</t>
  </si>
  <si>
    <t>f1_07_03_o</t>
  </si>
  <si>
    <t>f1_07_04_i</t>
  </si>
  <si>
    <t>f1_07_05_i</t>
  </si>
  <si>
    <t>f1_07_03_i</t>
  </si>
  <si>
    <t>.&gt;=0</t>
  </si>
  <si>
    <t>IF ZERO, RECORD 0000</t>
  </si>
  <si>
    <t>.=1</t>
  </si>
  <si>
    <t>f1_07_06_o</t>
  </si>
  <si>
    <t>f1_07_06_i</t>
  </si>
  <si>
    <t>f1_07_07_o</t>
  </si>
  <si>
    <t>f1_07_07_i</t>
  </si>
  <si>
    <t>f1_07_11</t>
  </si>
  <si>
    <t>f1_07_12</t>
  </si>
  <si>
    <t>f1_07_13</t>
  </si>
  <si>
    <t>f1_07_14</t>
  </si>
  <si>
    <t>f1_07_10</t>
  </si>
  <si>
    <t>f1_07_08_o</t>
  </si>
  <si>
    <t>f1_07_09_o</t>
  </si>
  <si>
    <t>f1_07_09_i</t>
  </si>
  <si>
    <t>f1_07_08_i</t>
  </si>
  <si>
    <t>f1_08_03an1</t>
  </si>
  <si>
    <t>yesno5</t>
  </si>
  <si>
    <t>NOT APPLICABLE, NO X-RAY</t>
  </si>
  <si>
    <t>select_one yesno5</t>
  </si>
  <si>
    <t>f1_11_c</t>
  </si>
  <si>
    <t>${f1_11_c}=1</t>
  </si>
  <si>
    <t>seen1</t>
  </si>
  <si>
    <t>seen2</t>
  </si>
  <si>
    <t>select_one seen2</t>
  </si>
  <si>
    <t>f1_01_35n</t>
  </si>
  <si>
    <t>f1_01_35n1</t>
  </si>
  <si>
    <t>use</t>
  </si>
  <si>
    <t>select_one use</t>
  </si>
  <si>
    <t>f1_02_06a</t>
  </si>
  <si>
    <t>f1_02_06o</t>
  </si>
  <si>
    <t>f1_02_06p</t>
  </si>
  <si>
    <t>f1_02_06q</t>
  </si>
  <si>
    <t>f1_02_06r</t>
  </si>
  <si>
    <t>f1_02_06s</t>
  </si>
  <si>
    <t>f1_02_06t</t>
  </si>
  <si>
    <t>f1_02_06u</t>
  </si>
  <si>
    <t>f1_02_06h</t>
  </si>
  <si>
    <t>f1_02_06i</t>
  </si>
  <si>
    <t>f1_02_06j</t>
  </si>
  <si>
    <t>f1_02_06k</t>
  </si>
  <si>
    <t>f1_02_06l</t>
  </si>
  <si>
    <t>f1_02_06m</t>
  </si>
  <si>
    <t>f1_02_06n</t>
  </si>
  <si>
    <t>f1_02_06b</t>
  </si>
  <si>
    <t>f1_02_06c</t>
  </si>
  <si>
    <t>f1_02_06d</t>
  </si>
  <si>
    <t>f1_02_06e</t>
  </si>
  <si>
    <t>f1_02_06f</t>
  </si>
  <si>
    <t>f1_02_06g</t>
  </si>
  <si>
    <t>BEING USED</t>
  </si>
  <si>
    <t>NOT BEING USE</t>
  </si>
  <si>
    <t>men</t>
  </si>
  <si>
    <t>MENTIONED</t>
  </si>
  <si>
    <t>NOT MENTIONED</t>
  </si>
  <si>
    <t>select_one men</t>
  </si>
  <si>
    <t>f1_02_11a</t>
  </si>
  <si>
    <t>f1_02_11b</t>
  </si>
  <si>
    <t>f1_02_11c</t>
  </si>
  <si>
    <t>f1_02_11d</t>
  </si>
  <si>
    <t>f1_02_11e</t>
  </si>
  <si>
    <t>f1_02_11f</t>
  </si>
  <si>
    <t>f1_02_11g</t>
  </si>
  <si>
    <t>f1_02_11h</t>
  </si>
  <si>
    <t>f1_02_11i</t>
  </si>
  <si>
    <t>f1_02_11j</t>
  </si>
  <si>
    <t>f1_02_11k</t>
  </si>
  <si>
    <t>f1_02_11l</t>
  </si>
  <si>
    <t>f1_02_11m</t>
  </si>
  <si>
    <t>prio</t>
  </si>
  <si>
    <t>PRIORITY</t>
  </si>
  <si>
    <t>NOT PRIORITY</t>
  </si>
  <si>
    <t>select_one prio</t>
  </si>
  <si>
    <t>f1_06_06b</t>
  </si>
  <si>
    <t>f1_06_06c</t>
  </si>
  <si>
    <t>f1_06_06d</t>
  </si>
  <si>
    <t>HAS</t>
  </si>
  <si>
    <t>has</t>
  </si>
  <si>
    <t>select_one has</t>
  </si>
  <si>
    <t>decimal</t>
  </si>
  <si>
    <t>(1.35) Where does the facility refer the following?</t>
  </si>
  <si>
    <t>f1_01_18_other</t>
  </si>
  <si>
    <t>${f1_01_18}=96</t>
  </si>
  <si>
    <t>f1_04_05_other</t>
  </si>
  <si>
    <t>YEARS</t>
  </si>
  <si>
    <t>Other, specify</t>
  </si>
  <si>
    <t>${f1_05_05}=96</t>
  </si>
  <si>
    <t>.&lt;=30</t>
  </si>
  <si>
    <t>${f1_06_37}=1</t>
  </si>
  <si>
    <t>.&lt;=100</t>
  </si>
  <si>
    <t>f1_14_01j_other</t>
  </si>
  <si>
    <t>${f1_14_01j}=1</t>
  </si>
  <si>
    <t xml:space="preserve">(14.13m) What quantity of Oral contraceptive tablets are available at this time? </t>
  </si>
  <si>
    <t xml:space="preserve">(14.13n) What quantity of Depot Medroxyprogesterone Acetate (DMPA) are available at this time? </t>
  </si>
  <si>
    <t xml:space="preserve">(14.13p) What quantity of Intrauterine Contraceptive Device (IUCD) are available at this time? </t>
  </si>
  <si>
    <t xml:space="preserve">(14.13q) What quantity of Coartem are available at this time? </t>
  </si>
  <si>
    <t xml:space="preserve">(14.13r) What quantity of Fansidar are available at this time? </t>
  </si>
  <si>
    <t>${f1_12_08}=1</t>
  </si>
  <si>
    <t>${f1_12_06}=1</t>
  </si>
  <si>
    <t>${f1_12_11}=1</t>
  </si>
  <si>
    <t>${f1_12_13}=1</t>
  </si>
  <si>
    <t>${f1_12_15}=1</t>
  </si>
  <si>
    <t>${f1_13_01}=96</t>
  </si>
  <si>
    <t>f1_13_03_other</t>
  </si>
  <si>
    <t>${f1_13_03}=96</t>
  </si>
  <si>
    <t>${f1_13_07}=96</t>
  </si>
  <si>
    <t>${f1_13_09}=96</t>
  </si>
  <si>
    <t>Non-Clinicial: Calssified Daily Employee</t>
  </si>
  <si>
    <t>Clinical: Doctor or medical officer</t>
  </si>
  <si>
    <t>Clinical: Clinical officer</t>
  </si>
  <si>
    <t>Clinical: Hospital administrator/ Executive director</t>
  </si>
  <si>
    <t xml:space="preserve">Clinical: Nurse </t>
  </si>
  <si>
    <t>Clinical: Nurse Anaesthetic</t>
  </si>
  <si>
    <t xml:space="preserve">Clinical: Midwife </t>
  </si>
  <si>
    <t>Clinical: State Enrolled Nurse</t>
  </si>
  <si>
    <t>Clinical: State Registered Nurse</t>
  </si>
  <si>
    <t>Clinical: State Certified Midwife</t>
  </si>
  <si>
    <t>Clinical: State Enrolled Midwife</t>
  </si>
  <si>
    <t>Clinical: Community Health Nurse</t>
  </si>
  <si>
    <t>Clinical: Community Health Midwife</t>
  </si>
  <si>
    <t>Clinical: Ordilies</t>
  </si>
  <si>
    <t>Clinical: Nursing assistant</t>
  </si>
  <si>
    <t>Clinical: Lab technologist</t>
  </si>
  <si>
    <t>Clinical: Lab technician</t>
  </si>
  <si>
    <t>Clinical: Pharmacy Technician</t>
  </si>
  <si>
    <t>Clinical: Pharmacy Assistant</t>
  </si>
  <si>
    <t>Clinical: Pharmacist</t>
  </si>
  <si>
    <t>Clinical: PHO</t>
  </si>
  <si>
    <t xml:space="preserve">INTERVIEWER: RECORD UP TO 5 SERVICES. IF CHILD POSTNATAL CARE COMBINED WITH CHILD PREVENTIVE CARE (E.G. VACCINATIONS), RECORD "03" FOR POSTNATAL CARE TO CHILD. </t>
  </si>
  <si>
    <t>(3.06a) Is this category of worker difficult to keep staffed?</t>
  </si>
  <si>
    <t>(3.01u) How many authorized positions are there in the facility for Other?</t>
  </si>
  <si>
    <t>(3.02u) How many authorized positions for Other are currently filled?</t>
  </si>
  <si>
    <t>(3.03u) In the last 12 months, how many Other have left the facility permanently?</t>
  </si>
  <si>
    <t>(3.04u) How many Other work regularly in this facility without being in an authorized position?</t>
  </si>
  <si>
    <t>(3.05u) In the last 12 months, how many Other have been hired?</t>
  </si>
  <si>
    <t>(3.06u) Is this category of worker difficult to keep staffed?</t>
  </si>
  <si>
    <t>(3.06t) Is this category of worker difficult to keep staffed?</t>
  </si>
  <si>
    <t>(3.06s) Is this category of worker difficult to keep staffed?</t>
  </si>
  <si>
    <t>(3.06r) Is this category of worker difficult to keep staffed?</t>
  </si>
  <si>
    <t>(3.06q) Is this category of worker difficult to keep staffed?</t>
  </si>
  <si>
    <t>(3.06p) Is this category of worker difficult to keep staffed?</t>
  </si>
  <si>
    <t>(3.06o) Is this category of worker difficult to keep staffed?</t>
  </si>
  <si>
    <t>(3.06n) Is this category of worker difficult to keep staffed?</t>
  </si>
  <si>
    <t>(3.06m) Is this category of worker difficult to keep staffed?</t>
  </si>
  <si>
    <t>(3.06l) Is this category of worker difficult to keep staffed?</t>
  </si>
  <si>
    <t>(3.06k) Is this category of worker difficult to keep staffed?</t>
  </si>
  <si>
    <t>(3.06j) Is this category of worker difficult to keep staffed?</t>
  </si>
  <si>
    <t>(3.06i) Is this category of worker difficult to keep staffed?</t>
  </si>
  <si>
    <t>(3.06h) Is this category of worker difficult to keep staffed?</t>
  </si>
  <si>
    <t>(3.06g) Is this category of worker difficult to keep staffed?</t>
  </si>
  <si>
    <t>(3.06f) Is this category of worker difficult to keep staffed?</t>
  </si>
  <si>
    <t>(3.06e) Is this category of worker difficult to keep staffed?</t>
  </si>
  <si>
    <t>(3.06d) Is this category of worker difficult to keep staffed?</t>
  </si>
  <si>
    <t>(3.06c) Is this category of worker difficult to keep staffed?</t>
  </si>
  <si>
    <t>(3.06b) Is this category of worker difficult to keep staffed?</t>
  </si>
  <si>
    <t>f1_03n_h</t>
  </si>
  <si>
    <t>f1_03n_i</t>
  </si>
  <si>
    <t>f1_03n_j</t>
  </si>
  <si>
    <t>f1_03n_k</t>
  </si>
  <si>
    <t>f1_03n_l</t>
  </si>
  <si>
    <t>f1_03n_m</t>
  </si>
  <si>
    <t>f1_03n_n</t>
  </si>
  <si>
    <t>f1_03n_o</t>
  </si>
  <si>
    <t>f1_03n_p</t>
  </si>
  <si>
    <t>f1_03n_q</t>
  </si>
  <si>
    <t>f1_03n_r</t>
  </si>
  <si>
    <t>f1_03n_s</t>
  </si>
  <si>
    <t>f1_03n_t</t>
  </si>
  <si>
    <t>INTERVIEWER: DO NOT READ OPTIONS ALOUD. RECORD SINGLE RESPONSE. IF SEVERAL DECONTAMINATION TECHNIQUES, RECORD MOST USED ONE.</t>
  </si>
  <si>
    <t>INTERVIEWER: DO NOT READ OPTIONS ALOUD. RECORD SINGLE RESPONSE. IF SEVERAL STERILIZATION TECHNIQUES, RECORD MOST USED ONE.</t>
  </si>
  <si>
    <t>${f1_09_09_i}=1</t>
  </si>
  <si>
    <t>${f1_09_10_k}=1</t>
  </si>
  <si>
    <t>${f1_09_11_l}=1</t>
  </si>
  <si>
    <t>${f1_09_12_i}=1</t>
  </si>
  <si>
    <t>${f1_09_16_h}=1</t>
  </si>
  <si>
    <t>${f1_09_17_k}=1</t>
  </si>
  <si>
    <t>select_one fee</t>
  </si>
  <si>
    <t xml:space="preserve">(14.13o) What quantity of Implant - Jadelle are available at this time? </t>
  </si>
  <si>
    <t>(14.16) What do you do when this facility runs out of key drugs like Coartem, Amoxycillin etc.?</t>
  </si>
  <si>
    <t>begin group</t>
    <phoneticPr fontId="6"/>
  </si>
  <si>
    <t>begin group</t>
    <phoneticPr fontId="5"/>
  </si>
  <si>
    <t>f1_control_1_1</t>
  </si>
  <si>
    <t>geopoint</t>
    <phoneticPr fontId="5"/>
  </si>
  <si>
    <t>select_one result</t>
    <phoneticPr fontId="5"/>
  </si>
  <si>
    <t>RESULT OF THE INTERVIEW:</t>
  </si>
  <si>
    <t>TRANSLATOR USED?</t>
  </si>
  <si>
    <t>select_one language</t>
    <phoneticPr fontId="5"/>
  </si>
  <si>
    <t>accord</t>
    <phoneticPr fontId="6"/>
  </si>
  <si>
    <t>Yes I agree</t>
    <phoneticPr fontId="6"/>
  </si>
  <si>
    <t>Not agreed</t>
    <phoneticPr fontId="6"/>
  </si>
  <si>
    <t>Withdrawn</t>
    <phoneticPr fontId="6"/>
  </si>
  <si>
    <t>Yes</t>
  </si>
  <si>
    <t>No</t>
  </si>
  <si>
    <t>district</t>
  </si>
  <si>
    <t>settlement</t>
  </si>
  <si>
    <t>result</t>
  </si>
  <si>
    <t>language</t>
  </si>
  <si>
    <t>f1_13_10y_n</t>
  </si>
  <si>
    <t>f1_13_10ag_n</t>
  </si>
  <si>
    <t>f1_13_10ao_n</t>
  </si>
  <si>
    <t>district_id</t>
  </si>
  <si>
    <t>settlement_id</t>
  </si>
  <si>
    <t>eacode_id</t>
  </si>
  <si>
    <t>eacode</t>
  </si>
  <si>
    <t>INTERVIEWER: DO NOT READ OPTIONS ALOUD. FOR EACH OPTION, RECORD YES OR NO.</t>
  </si>
  <si>
    <t>f1_03_07</t>
    <phoneticPr fontId="5"/>
  </si>
  <si>
    <t>.&lt;=${f1_12_07}</t>
    <phoneticPr fontId="5"/>
  </si>
  <si>
    <t>.=(${f1_12_07}-${f1_12_09})</t>
    <phoneticPr fontId="5"/>
  </si>
  <si>
    <t>INTERVIEWER: RECORD MONTH AND YEAR. INCLUDE MAJOR PAINTING, PLUMBING, EXTENSIONS TO THE BUILDING, ETC</t>
  </si>
  <si>
    <t>select_one staff</t>
  </si>
  <si>
    <t>(4.01) Please select the Staff's name</t>
    <phoneticPr fontId="5"/>
  </si>
  <si>
    <t>RANGE 0-500</t>
  </si>
  <si>
    <t>(RANGE 0-500)</t>
  </si>
  <si>
    <t>temp</t>
  </si>
  <si>
    <t>label::English</t>
  </si>
  <si>
    <t>hint::English</t>
  </si>
  <si>
    <t>constraint_message::English</t>
  </si>
  <si>
    <t>required_message::English</t>
  </si>
  <si>
    <t>readonly</t>
  </si>
  <si>
    <t>disabled</t>
  </si>
  <si>
    <t>media::image::Vietnamese</t>
  </si>
  <si>
    <t>media::image::English</t>
  </si>
  <si>
    <t>media::video::Vietnamese</t>
  </si>
  <si>
    <t>media::video::English</t>
  </si>
  <si>
    <t>media::audio::Vietnamese</t>
  </si>
  <si>
    <t>media::audio::English</t>
  </si>
  <si>
    <t>comments and notes</t>
  </si>
  <si>
    <t>.&lt;53</t>
  </si>
  <si>
    <t>.&lt;71 and .&gt;17</t>
  </si>
  <si>
    <t>.&lt;26</t>
  </si>
  <si>
    <t>.&lt;186</t>
  </si>
  <si>
    <t>${f1_01_15}=96</t>
  </si>
  <si>
    <t>${f1_01_16}=1</t>
  </si>
  <si>
    <t>${f1_01_19}=96</t>
  </si>
  <si>
    <t>${f1_01_34}=1</t>
  </si>
  <si>
    <t>${f1_01_37}=1</t>
  </si>
  <si>
    <t>${f1_01_47}=1</t>
  </si>
  <si>
    <t>${f1_01_50}=96</t>
  </si>
  <si>
    <t>${f1_01_51}=96</t>
  </si>
  <si>
    <t>${f1_01_53}=1</t>
  </si>
  <si>
    <t>${f1_02_03g}=1</t>
  </si>
  <si>
    <t>${f1_02_09l}=1</t>
  </si>
  <si>
    <t>${f1_02_32}=96</t>
  </si>
  <si>
    <t>${f1_03_01ur}=1</t>
  </si>
  <si>
    <t>${f1_06_13}=1</t>
  </si>
  <si>
    <t>${f1_06_22}=1</t>
  </si>
  <si>
    <t>${f1_06_25}=1</t>
  </si>
  <si>
    <t>${f1_06_42}&lt;4</t>
  </si>
  <si>
    <t>${f1_06_47}=1</t>
  </si>
  <si>
    <t>${f1_09_05}=1</t>
  </si>
  <si>
    <t>${f1_13_05}=96</t>
  </si>
  <si>
    <t>${f1_14_16g}=1</t>
  </si>
  <si>
    <t>starttime</t>
  </si>
  <si>
    <t>endtime</t>
  </si>
  <si>
    <t>subscriberid</t>
  </si>
  <si>
    <t>simserial</t>
  </si>
  <si>
    <t>simid</t>
  </si>
  <si>
    <t>phonenumber</t>
  </si>
  <si>
    <t>devicephonenum</t>
  </si>
  <si>
    <t>starttime_str</t>
  </si>
  <si>
    <t>string(format-date-time(${starttime},'%d/%m/%Y %H:%M:%S'))</t>
  </si>
  <si>
    <t>original_dev</t>
  </si>
  <si>
    <t>once(${deviceid})</t>
  </si>
  <si>
    <t>uuid_ssname</t>
  </si>
  <si>
    <t>username</t>
  </si>
  <si>
    <t>filter</t>
  </si>
  <si>
    <t>instance_name</t>
  </si>
  <si>
    <t>English</t>
  </si>
  <si>
    <t>inline-1line nomap</t>
  </si>
  <si>
    <t>embed text-nolabel</t>
  </si>
  <si>
    <t>f1_04_01_name</t>
  </si>
  <si>
    <t>[Specify other clinical]</t>
  </si>
  <si>
    <t>Section 6: SERVICES</t>
  </si>
  <si>
    <t>${f1_06_42}&lt;4 and ${f1_06_43}=1</t>
  </si>
  <si>
    <t>section</t>
  </si>
  <si>
    <t>module11</t>
  </si>
  <si>
    <t>Section 12: DIRECT OBSERVATION</t>
  </si>
  <si>
    <t>Section 13: EQUIPMENT (DIRECT OBSERVATION)</t>
  </si>
  <si>
    <t>Section 14: DRUG AND VACCINE STORAGE AND AVAILABILITY</t>
  </si>
  <si>
    <t>Introduction</t>
  </si>
  <si>
    <t>INTRODUCTION</t>
  </si>
  <si>
    <t>Section 1: GENERAL INFORMATION</t>
  </si>
  <si>
    <t>Section 2: ADMINISTRATION AND MANAGEMENT</t>
  </si>
  <si>
    <t>Section 3: HUMAN RESOURCES</t>
  </si>
  <si>
    <t>Section 4: STAFF ROSTER</t>
  </si>
  <si>
    <t>Section 5: LABORATORY</t>
  </si>
  <si>
    <t>Section 7: GENERAL HEALTH MANAGEMENT INFORMATION SYSTEM (HMIS)</t>
  </si>
  <si>
    <t>Section 8: HEALTH SERVICES UTILIZATION BASED ON HEALTH MANAGEMENT INFORMATION SYSTEMS (HMIS)</t>
  </si>
  <si>
    <t>Section 9: USER FEES</t>
  </si>
  <si>
    <t>Section 10: LEADERSHIP</t>
  </si>
  <si>
    <t>Section 11: FLEXIBILITY</t>
  </si>
  <si>
    <t>CONTROL</t>
  </si>
  <si>
    <t>INTERVIEWER CONFIRM:IS HEAD OF FACILITY AVAILABLE FOR THIS INTERVIEW?</t>
  </si>
  <si>
    <t>f1_04_01</t>
  </si>
  <si>
    <t>f1_04_01_id</t>
  </si>
  <si>
    <t>General Drugs</t>
  </si>
  <si>
    <t>Family Planning</t>
  </si>
  <si>
    <t>Emergency Obstetric Care</t>
  </si>
  <si>
    <t>f1_14_11aa_note</t>
  </si>
  <si>
    <t>Vaccines</t>
  </si>
  <si>
    <t>Diagnostic kits</t>
  </si>
  <si>
    <t>(2.07) Has a facility budget been developed for the current quarter?</t>
  </si>
  <si>
    <t>select_one feedb</t>
  </si>
  <si>
    <t>feedb</t>
  </si>
  <si>
    <t>YES, ALL</t>
  </si>
  <si>
    <t>YES, SOME</t>
  </si>
  <si>
    <t>NOT APPLICABLE, NO VISITS</t>
  </si>
  <si>
    <t>f1_01_05</t>
  </si>
  <si>
    <t xml:space="preserve">(1.06) When was the last major investment in the infrastructure? </t>
  </si>
  <si>
    <t>f1_01_06m</t>
  </si>
  <si>
    <t>f1_01_06y</t>
  </si>
  <si>
    <t>f1_01_07</t>
  </si>
  <si>
    <t>(1.07) Does this facility provide care round-the-clock (i.e. 24 hours)?</t>
  </si>
  <si>
    <t>(1.12) What are the three main sources of funding or income (in the sense of incoming cash) for this facility?</t>
  </si>
  <si>
    <t>f1_01_14</t>
  </si>
  <si>
    <t>f1_01_15</t>
  </si>
  <si>
    <t>(1.15) INTERVIEWER: SOURCE OF INFORMATION CONSULTED TO OBTAIN BUDGET FIGURES</t>
  </si>
  <si>
    <t>f1_01_15_other</t>
  </si>
  <si>
    <t>f1_01_16</t>
  </si>
  <si>
    <t>f1_01_17</t>
  </si>
  <si>
    <t>f1_01_18</t>
  </si>
  <si>
    <t>f1_01_19</t>
  </si>
  <si>
    <t>(1.19) INTERVIEWER: SOURCE OF INFORMATION CONSULTED TO OBTAIN RBF EXPENSE FIGURES</t>
  </si>
  <si>
    <t>f1_01_19_other</t>
  </si>
  <si>
    <t>f1_01_20</t>
  </si>
  <si>
    <t>(1.20) What is the primary source of electricity?</t>
  </si>
  <si>
    <t>f1_01_20_other</t>
  </si>
  <si>
    <t>f1_01_21</t>
  </si>
  <si>
    <t>(1.21) Were there any electric power outages in the last 7 days?</t>
  </si>
  <si>
    <t>f1_01_22</t>
  </si>
  <si>
    <t>(1.22) How many hours was electric power missing in the last 7 days?</t>
  </si>
  <si>
    <t>f1_01_23</t>
  </si>
  <si>
    <t>(1.23) What is the primary source of water?</t>
  </si>
  <si>
    <t>f1_01_23_other</t>
  </si>
  <si>
    <t>f1_01_24</t>
  </si>
  <si>
    <t>(1.24) Is this primary source of water used only by the facility, or is it shared with other users?</t>
  </si>
  <si>
    <t>f1_01_25</t>
  </si>
  <si>
    <t>(1.25) In the last 7 days, was there any time when there was no water available in the facility?</t>
  </si>
  <si>
    <t>f1_01_26</t>
  </si>
  <si>
    <t>(1.26) In the last 7 days, for how many hours was there no water available at the facility?</t>
  </si>
  <si>
    <t>f1_01_27</t>
  </si>
  <si>
    <t>f1_01_28</t>
  </si>
  <si>
    <t>(1.28) Does the health facility have phone line, whether a landline or a mobile line?</t>
  </si>
  <si>
    <t>f1_01_29</t>
  </si>
  <si>
    <t>f1_01_30</t>
  </si>
  <si>
    <t>(1.30) How long does it take to reach those phone services?</t>
  </si>
  <si>
    <t>f1_01_31</t>
  </si>
  <si>
    <t>(1.31) In the last 7 days, was there any time when the facility did not have any telephone service whether landline or mobile?</t>
  </si>
  <si>
    <t>f1_01_32</t>
  </si>
  <si>
    <t>(1.32) How many hours was telephone out in the last 7 days?</t>
  </si>
  <si>
    <t>f1_01_33</t>
  </si>
  <si>
    <t>(1.33) Do any of the health facility staff have a mobile phone line?</t>
  </si>
  <si>
    <t>f1_01_34</t>
  </si>
  <si>
    <t>(1.34) Does this facility refer patients to other facilities?</t>
  </si>
  <si>
    <t>f1_01_35_label</t>
  </si>
  <si>
    <t>f1_01_36</t>
  </si>
  <si>
    <t>f1_01_37</t>
  </si>
  <si>
    <t>(1.37) Does the facility have access to any kind of transportation (to pick up patients or take them to a referral facility)?</t>
  </si>
  <si>
    <t>(1.38) How many working [VEHICLES] does the facility have access to?</t>
  </si>
  <si>
    <t>f1_01_39</t>
  </si>
  <si>
    <t>(1.39) In the last 7 days, was there any time when there was no transportation available for patients?</t>
  </si>
  <si>
    <t>f1_01_40</t>
  </si>
  <si>
    <t>(1.40) How many days was transportation unavailable in the last 7 days?</t>
  </si>
  <si>
    <t>f1_01_41</t>
  </si>
  <si>
    <t>(1.41) Does the facility own a functioning computer?</t>
  </si>
  <si>
    <t>f1_01_42</t>
  </si>
  <si>
    <t>(1.42) Does the facility have a general outpatient consultation room?</t>
  </si>
  <si>
    <t>(1.43) Is this room equipped with a safety box or closed container present for disposal of used sharps?</t>
  </si>
  <si>
    <t>(1.44) Does the room have posted procedures for decontamination procedure steps?</t>
  </si>
  <si>
    <t>f1_01_45</t>
  </si>
  <si>
    <t>(1.45) Does the room have a basin with a water source and soap?</t>
  </si>
  <si>
    <t>(1.46) What disinfectant(s) are being used in the facility?</t>
  </si>
  <si>
    <t>f1_01_47</t>
  </si>
  <si>
    <t>(1.47) In the last 30 days, was there any time when the facility ran out of disinfectant(s)?</t>
  </si>
  <si>
    <t>f1_01_48</t>
  </si>
  <si>
    <t>(1.48) In the last 30 days for how many days was the facility out of disinfectant(s)?</t>
  </si>
  <si>
    <t>f1_01_49</t>
  </si>
  <si>
    <t>(1.49) Is there a functional incinerator for disposing of medical waste?</t>
  </si>
  <si>
    <t>f1_01_50</t>
  </si>
  <si>
    <t>f1_01_50_other</t>
  </si>
  <si>
    <t>f1_01_51</t>
  </si>
  <si>
    <t>f1_01_51_other</t>
  </si>
  <si>
    <t>f1_01_52</t>
  </si>
  <si>
    <t>(1.52) Is the protocol for sterilizing equipment displayed?</t>
  </si>
  <si>
    <t>f1_01_53</t>
  </si>
  <si>
    <t>(1.53) Is there a provision for the disposal of bio medical waste?</t>
  </si>
  <si>
    <t>f1_01_54</t>
  </si>
  <si>
    <t>(1.54) How is biomedical waste disposed of?</t>
  </si>
  <si>
    <t>f1_01_54_other</t>
  </si>
  <si>
    <t>f1_02_03a</t>
  </si>
  <si>
    <t>f1_02_06u_other</t>
  </si>
  <si>
    <t>f1_02_11m_other</t>
  </si>
  <si>
    <t>select_one staff1</t>
  </si>
  <si>
    <t>select_one data</t>
  </si>
  <si>
    <t>f1_02_32_other</t>
  </si>
  <si>
    <t>(3.07) How many villages are in your catchment area?</t>
  </si>
  <si>
    <t>(3.08) How many community health posts are in your catchment area?</t>
  </si>
  <si>
    <t>How many people will be included in the following roster?</t>
  </si>
  <si>
    <t>f1_04_07</t>
  </si>
  <si>
    <t>f1_04_08</t>
  </si>
  <si>
    <t>f1_04_09</t>
  </si>
  <si>
    <t>f1_04_10</t>
  </si>
  <si>
    <t>f1_04_11</t>
  </si>
  <si>
    <t>f1_04_12_other</t>
  </si>
  <si>
    <t>select_multiple prov</t>
  </si>
  <si>
    <t>f1_04_13</t>
  </si>
  <si>
    <t>f1_05_05_other</t>
  </si>
  <si>
    <t>f1_06_09</t>
  </si>
  <si>
    <t>f1_06_10</t>
  </si>
  <si>
    <t>f1_06_13</t>
  </si>
  <si>
    <t>(6.13) Are antenatal services provided at this facility?</t>
  </si>
  <si>
    <t>f1_06_14</t>
  </si>
  <si>
    <t>(6.14) Are pregnant women seen at specific times that are separate from times allocated to other patients consultations?</t>
  </si>
  <si>
    <t>f1_06_15</t>
  </si>
  <si>
    <t>(6.15) In the last 30 days, how many days has antenatal care been available to women?</t>
  </si>
  <si>
    <t>f1_06_17</t>
  </si>
  <si>
    <t>(6.17) In the last 6 months, on how many days did the facility staff do outreach in the community for antenatal care?</t>
  </si>
  <si>
    <t>f1_06_18</t>
  </si>
  <si>
    <t>(6.18) In the last 6 months, were iron folate routinely prescribed?</t>
  </si>
  <si>
    <t>f1_06_19</t>
  </si>
  <si>
    <t>(6.19) Do women who come to the facility for antenatal care get an antenatal or maternal health card?</t>
  </si>
  <si>
    <t>f1_06_22</t>
  </si>
  <si>
    <t>f1_06_24</t>
  </si>
  <si>
    <t>(6.24) Does this health facility have the capacity to manage emergency caesarian sections?</t>
  </si>
  <si>
    <t>f1_06_25</t>
  </si>
  <si>
    <t>(6.25) Are postpartum care services offered at the facility?</t>
  </si>
  <si>
    <t>f1_06_26</t>
  </si>
  <si>
    <t>(6.26) Are postpartum services offered at specific hours only, during general outpatient hours, or both at specific hours and during general outpatient hours?</t>
  </si>
  <si>
    <t>f1_06_27</t>
  </si>
  <si>
    <t>f1_06_28</t>
  </si>
  <si>
    <t>f1_06_29</t>
  </si>
  <si>
    <t>f1_06_30</t>
  </si>
  <si>
    <t>f1_06_31</t>
  </si>
  <si>
    <t>f1_06_32</t>
  </si>
  <si>
    <t>f1_06_33</t>
  </si>
  <si>
    <t>f1_06_34</t>
  </si>
  <si>
    <t>f1_06_35</t>
  </si>
  <si>
    <t>f1_06_36</t>
  </si>
  <si>
    <t>f1_06_37</t>
  </si>
  <si>
    <t>f1_06_38</t>
  </si>
  <si>
    <t>f1_06_39</t>
  </si>
  <si>
    <t>f1_06_40</t>
  </si>
  <si>
    <t>f1_06_41</t>
  </si>
  <si>
    <t>select_one tube</t>
  </si>
  <si>
    <t>f1_06_42</t>
  </si>
  <si>
    <t>f1_06_43</t>
  </si>
  <si>
    <t>f1_07_04_o</t>
  </si>
  <si>
    <t>f1_07_05_o</t>
  </si>
  <si>
    <t>(7.10) Monthly Integrated Activity Report</t>
  </si>
  <si>
    <t>(7.11) Facility Status Report</t>
  </si>
  <si>
    <t>(7.12) Notifiable Disease Report</t>
  </si>
  <si>
    <t>(7.13) Vaccination/immunization Coverage Report</t>
  </si>
  <si>
    <t>(7.14) Family Planning Register</t>
  </si>
  <si>
    <t>module8</t>
  </si>
  <si>
    <t>f1_08_01mn</t>
  </si>
  <si>
    <t>f1_08_01aan</t>
  </si>
  <si>
    <t>f1_08_01akn</t>
  </si>
  <si>
    <t>f1_08_01amn</t>
  </si>
  <si>
    <t>select_one drug</t>
  </si>
  <si>
    <t>select_one sce1</t>
  </si>
  <si>
    <t xml:space="preserve">(10.01) Scenario 1: The performance of your staff is improving. </t>
  </si>
  <si>
    <t>select_one sce2</t>
  </si>
  <si>
    <t>select_one sce3</t>
  </si>
  <si>
    <t>select_one sce4</t>
  </si>
  <si>
    <t>select_one sce5</t>
  </si>
  <si>
    <t>select_one seen</t>
  </si>
  <si>
    <t>select_one post</t>
  </si>
  <si>
    <t>f1_12_28b</t>
  </si>
  <si>
    <t>f1_12_28c</t>
  </si>
  <si>
    <t>f1_12_28d</t>
  </si>
  <si>
    <t>f1_12_28e</t>
  </si>
  <si>
    <t>select_one seennot</t>
  </si>
  <si>
    <t>f1_12_29</t>
  </si>
  <si>
    <t>f1_12_30</t>
  </si>
  <si>
    <t>f1_12_31</t>
  </si>
  <si>
    <t>f1_12_32</t>
  </si>
  <si>
    <t>f1_12_33</t>
  </si>
  <si>
    <t>f1_12_34</t>
  </si>
  <si>
    <t>f1_12_35</t>
  </si>
  <si>
    <t>select_one equipment</t>
  </si>
  <si>
    <t>(13.01) Where is the outpatient equipment located?</t>
  </si>
  <si>
    <t>f1_13_01_other</t>
  </si>
  <si>
    <t>f1_13_02i_1</t>
  </si>
  <si>
    <t>f1_13_02q_1</t>
  </si>
  <si>
    <t>select_one ste</t>
  </si>
  <si>
    <t>f1_13_04c</t>
  </si>
  <si>
    <t>select_one vac</t>
  </si>
  <si>
    <t>f1_13_05_other</t>
  </si>
  <si>
    <t>select_one ante</t>
  </si>
  <si>
    <t>f1_13_07_other</t>
  </si>
  <si>
    <t>f1_13_09_other</t>
  </si>
  <si>
    <t>select_one store</t>
  </si>
  <si>
    <t>select_one pharma</t>
  </si>
  <si>
    <t>select_one area</t>
  </si>
  <si>
    <t>select_one water</t>
  </si>
  <si>
    <t>select_one window</t>
  </si>
  <si>
    <t>f1_14_11a_note</t>
  </si>
  <si>
    <t>(14.14c) In the past 30 days, has the item been out of stock at any time?</t>
  </si>
  <si>
    <t>(14.15c) In the past 30 days, how many days has the item been out of stock?</t>
  </si>
  <si>
    <t>f1_14_11ae_note</t>
  </si>
  <si>
    <t>f1_14_16_l</t>
  </si>
  <si>
    <t>control</t>
  </si>
  <si>
    <t>LANGUAGE USED BY THE RESPONDENT?</t>
  </si>
  <si>
    <t>(8.02d) How many days per week is this service offered?</t>
  </si>
  <si>
    <t>(8.02y) How many days per week is this service offered?</t>
  </si>
  <si>
    <t>(8.03y) What is the total price in Dalasi charged for Deworming? INTERVIEWER: IF NO CHARGE, RECORD "0".</t>
  </si>
  <si>
    <t>Electrical mains/grid/NAWEC</t>
  </si>
  <si>
    <t>sterile</t>
  </si>
  <si>
    <t>staff1</t>
  </si>
  <si>
    <t>data</t>
  </si>
  <si>
    <t>frequency</t>
  </si>
  <si>
    <t>post</t>
  </si>
  <si>
    <t>seennot</t>
  </si>
  <si>
    <t>equipment</t>
  </si>
  <si>
    <t>ste</t>
  </si>
  <si>
    <t>vac</t>
  </si>
  <si>
    <t>ante</t>
  </si>
  <si>
    <t>neo</t>
  </si>
  <si>
    <t>store</t>
  </si>
  <si>
    <t>pharma</t>
  </si>
  <si>
    <t>area</t>
  </si>
  <si>
    <t>water</t>
  </si>
  <si>
    <t>window</t>
  </si>
  <si>
    <t>pop</t>
  </si>
  <si>
    <t>num</t>
  </si>
  <si>
    <t>marker</t>
  </si>
  <si>
    <r>
      <rPr>
        <sz val="11"/>
        <color rgb="FFFF0000"/>
        <rFont val="Arial"/>
        <family val="2"/>
      </rPr>
      <t>MOHSW/ Regiona</t>
    </r>
    <r>
      <rPr>
        <sz val="11"/>
        <rFont val="Arial"/>
        <family val="2"/>
      </rPr>
      <t>l Health Management Team</t>
    </r>
  </si>
  <si>
    <r>
      <t>d. Ministry of Health</t>
    </r>
    <r>
      <rPr>
        <sz val="11"/>
        <color rgb="FFFF0000"/>
        <rFont val="Arial"/>
        <family val="2"/>
      </rPr>
      <t xml:space="preserve"> and Social Welfare</t>
    </r>
    <r>
      <rPr>
        <sz val="11"/>
        <rFont val="Arial"/>
        <family val="2"/>
      </rPr>
      <t xml:space="preserve"> (Headquarters)</t>
    </r>
  </si>
  <si>
    <t>gg</t>
  </si>
  <si>
    <t>ggg</t>
  </si>
  <si>
    <t>gggg</t>
  </si>
  <si>
    <t>rr</t>
  </si>
  <si>
    <t>IF NONE, RECORD 00</t>
  </si>
  <si>
    <t>(5.01_2N) In the past 30 days, has the item been out of stock at any time?</t>
  </si>
  <si>
    <t>(5.01_3N) In the past 30 days, how many days has the item been out of stock?</t>
  </si>
  <si>
    <t xml:space="preserve">(9.01) Do patients pay for consultation or doctor’s fees? </t>
  </si>
  <si>
    <t>yesno6</t>
  </si>
  <si>
    <t>select_one yesno6</t>
  </si>
  <si>
    <t>select_one sce6</t>
  </si>
  <si>
    <t>f1_10_06</t>
  </si>
  <si>
    <t>(10.06) Scenario 6: You sense dissatisfaction amongst your staff in terms of their salaries and benefits.</t>
  </si>
  <si>
    <t>sce6</t>
  </si>
  <si>
    <t>You do nothing as the staff have to just understand that this situation can't change.</t>
  </si>
  <si>
    <t>You call a meeting with all staff to explain the situation.</t>
  </si>
  <si>
    <t>You discipline the staff who are complaining most about this.</t>
  </si>
  <si>
    <t>You call a meeting with all staff to discuss possible alternatives to the existing situation.</t>
  </si>
  <si>
    <t xml:space="preserve">(12.02) Is there a covered waiting area in this facility? That is, an area with seats for patients that is covered and protected from the sun and rain. </t>
  </si>
  <si>
    <t>(12.03) Is there a separate waiting area for women in this facility?</t>
  </si>
  <si>
    <t>(12.13) Is there a separate ward for women and infants after giving birth?</t>
  </si>
  <si>
    <t>NOT APPLICABLE, NO IN-PATIENT SERVICES</t>
  </si>
  <si>
    <t>Height measuring board</t>
  </si>
  <si>
    <t xml:space="preserve">Cold box </t>
  </si>
  <si>
    <t>F1_13_06b_1</t>
  </si>
  <si>
    <t xml:space="preserve"> Vaccine carrier </t>
  </si>
  <si>
    <t>Water packs/condition packs</t>
  </si>
  <si>
    <t>f1_13_06e</t>
  </si>
  <si>
    <t>f1_13_06f</t>
  </si>
  <si>
    <t>Syringes</t>
  </si>
  <si>
    <t>Safety boxes</t>
  </si>
  <si>
    <t>(14.06) INTERVIEWER: DOES THE DRUG STORAGE AREA LOOK CLEAN, PARTIALLY DIRTY, OR DIRTY?</t>
  </si>
  <si>
    <t>f1_14_07_1n</t>
  </si>
  <si>
    <t>(14.07_1N) INTERVIEWER: IS THERE A FUNCTIONAL FAN OR AIR CONDITIONER IN THE STORE?</t>
  </si>
  <si>
    <t>f1_14_n</t>
  </si>
  <si>
    <t xml:space="preserve">${f1_14_13b}&gt;0 </t>
  </si>
  <si>
    <t xml:space="preserve">(14.13ac) What quantity of Misoprostol are available at this time? </t>
  </si>
  <si>
    <t>CONSULT WITH THE LEPROSY AND TB OFFICER AND VISIT THE PLACE WHERE TB SERVICES ARE DELIVERED.</t>
  </si>
  <si>
    <t>f1_14_15ad_1</t>
  </si>
  <si>
    <t>f1_14_15ak_1n</t>
  </si>
  <si>
    <t>f1_14_14ak_1n</t>
  </si>
  <si>
    <t>f1_14_15ak_2n</t>
  </si>
  <si>
    <t>f1_14_14ak_2n</t>
  </si>
  <si>
    <t>f1_14_13ak_1n</t>
  </si>
  <si>
    <t>f1_14_13ak_2n</t>
  </si>
  <si>
    <t xml:space="preserve">(14.13ak_1n) What quantity of Hepatitis B are available at this time? </t>
  </si>
  <si>
    <t xml:space="preserve">(14.13ak_2n) What quantity of Yellow fever are available at this time? </t>
  </si>
  <si>
    <t>(14.14ak_1n) In the past 30 days, has the item been out of stock at any time?</t>
  </si>
  <si>
    <t>(14.15ak_1n) In the past 30 days, how many days has the item been out of stock?</t>
  </si>
  <si>
    <t>(14.14ak_2n) In the past 30 days, has the item been out of stock at any time?</t>
  </si>
  <si>
    <t>(14.15ak_2n) In the past 30 days, how many days has the item been out of stock?</t>
  </si>
  <si>
    <t>${f1_14_13ak_1n}&gt;0</t>
  </si>
  <si>
    <t>${f1_14_13ak_2n}&gt;0</t>
  </si>
  <si>
    <t>${f1_14_13ak_3n}&gt;0</t>
  </si>
  <si>
    <t>f1_14_13ak_3n</t>
  </si>
  <si>
    <t>f1_14_14ak_3n</t>
  </si>
  <si>
    <t>f1_14_15ak_3n</t>
  </si>
  <si>
    <t>CALL THE REGIONAL MEDICAL STORE/PHARMACY</t>
  </si>
  <si>
    <t>CALL RHD</t>
  </si>
  <si>
    <t>BUY MEDICINES LOCALLY IN THE PRIVATE MARKET/PHARMACY</t>
  </si>
  <si>
    <t>f1_06_09_n1</t>
  </si>
  <si>
    <t>(6.10) Are infant welfare card issued to every child starting his/her immunization schedule?</t>
  </si>
  <si>
    <t>(6.22) Are delivery services offered by the facility?</t>
  </si>
  <si>
    <t>f1_06_23_1n</t>
  </si>
  <si>
    <t>(6.23_1N) Who conducts deliveries in this facility?</t>
  </si>
  <si>
    <t>Doctor/medical officer</t>
  </si>
  <si>
    <t>Midwife (including all types)</t>
  </si>
  <si>
    <t>Nurse (including all types)</t>
  </si>
  <si>
    <t>deli</t>
  </si>
  <si>
    <t>select_one deli</t>
  </si>
  <si>
    <t>f1_06_23_1n_other</t>
  </si>
  <si>
    <t xml:space="preserve">(6.23_2N) What is the minimum length of time that you keep women in the health facility after they deliver? </t>
  </si>
  <si>
    <t>RECORD TIME IN HOURS</t>
  </si>
  <si>
    <t>f1_06_23_2n</t>
  </si>
  <si>
    <t>f1_06_54</t>
  </si>
  <si>
    <t>(6.54) In the last month, how many health education sessions were held in the facility?</t>
  </si>
  <si>
    <t>f1_06_55</t>
  </si>
  <si>
    <t>(6.55) In this period, which health topics were covered in the health education sessions?</t>
  </si>
  <si>
    <t>topic</t>
  </si>
  <si>
    <t>Birth preparedness</t>
  </si>
  <si>
    <t>Breastfeeding</t>
  </si>
  <si>
    <t>Immunisation</t>
  </si>
  <si>
    <t>Child health</t>
  </si>
  <si>
    <t>f1_06_55_other</t>
  </si>
  <si>
    <t>f1_14_13u</t>
  </si>
  <si>
    <t>Public Health Officer</t>
  </si>
  <si>
    <t>(1.05) In what year was the facility commissioned?</t>
  </si>
  <si>
    <t>(1.29) Are there any phone services available in the community apart from the staffs' personal phone that the health facility staff can use if needed?"</t>
  </si>
  <si>
    <t>KILOMETERS</t>
  </si>
  <si>
    <t>INTERVIEWER: DO NOT READ OPTIONS ALOUD. RECORD SINGLE RESPONSE. IF SEVERAL WASTE DISPOSAL METHODS, RECORD MOST USED ONE.</t>
  </si>
  <si>
    <t>RESPONSE</t>
  </si>
  <si>
    <t>f1_03_01o_1_g</t>
  </si>
  <si>
    <t>f1_03_01p_1_g</t>
  </si>
  <si>
    <t>f1_03_01q_1_g</t>
  </si>
  <si>
    <t>f1_03_01r_1_g</t>
  </si>
  <si>
    <t>f1_03_01s_1_g</t>
  </si>
  <si>
    <t>f1_03_01t_1_g</t>
  </si>
  <si>
    <t>f1_03_01u_1_g</t>
  </si>
  <si>
    <t>f1_04_13_00_g</t>
  </si>
  <si>
    <t>f1_05_n_1_g</t>
  </si>
  <si>
    <t>f1_05_03a</t>
  </si>
  <si>
    <t>f1_05_04a</t>
  </si>
  <si>
    <t>f1_06_001_g</t>
  </si>
  <si>
    <t>f1_06_06_00_g</t>
  </si>
  <si>
    <t>f1_06_13_00_g</t>
  </si>
  <si>
    <t>f1_06_22_00_g</t>
  </si>
  <si>
    <t>f1_06_25_00_g</t>
  </si>
  <si>
    <t>${f1_06_48}= 2 or ${f1_06_48}=3</t>
  </si>
  <si>
    <t>${f1_06_48}=96</t>
  </si>
  <si>
    <t>Health pregnancy</t>
  </si>
  <si>
    <t>f1_06_33_00_g</t>
  </si>
  <si>
    <t>f1_06_37_01_g</t>
  </si>
  <si>
    <t>f1_06_42_00_g</t>
  </si>
  <si>
    <t>f1_06_50_00_g</t>
  </si>
  <si>
    <t>f1_06_50_01_g</t>
  </si>
  <si>
    <t>f1_07n_02_g</t>
  </si>
  <si>
    <t>f1_07_03_00_g</t>
  </si>
  <si>
    <t>f1_07_03n_06n_1_g</t>
  </si>
  <si>
    <t>f1_07_08_00_g</t>
  </si>
  <si>
    <t>f1_07_11_00_g</t>
  </si>
  <si>
    <t>f1_08_00_g</t>
  </si>
  <si>
    <t>f1_08_04a_1_1_g</t>
  </si>
  <si>
    <t>f1_08_01b_1_1_g</t>
  </si>
  <si>
    <t xml:space="preserve">(8.04b) INTERVIEWER: FOR EACH SERVICE, RECORD THE MONTHLY TOTAL NUMBER OF INPATIENTS (IN) AND OUTPATIENTS (OUT) LISTED IN THE REGISTER, REGARDING THE LAST 3 MONTHS PRIOR TO THE MONTH OF THE SURVEY </t>
  </si>
  <si>
    <t>f1_08_04b_1_1_g</t>
  </si>
  <si>
    <t>f1_08_01c_1_1_g</t>
  </si>
  <si>
    <t>f1_08_01d_1_1_g</t>
  </si>
  <si>
    <t>f1_08_04d_1_1_g</t>
  </si>
  <si>
    <t>f1_08_04c_1_1_g</t>
  </si>
  <si>
    <t>f1_08_01e_1_1_g</t>
  </si>
  <si>
    <t>f1_08_01e_1</t>
  </si>
  <si>
    <t>f1_08_01e_2</t>
  </si>
  <si>
    <t>${f1_08_01e_1}=1 or ${f1_08_01e_2}=1</t>
  </si>
  <si>
    <t>f1_08_04e_1_1_g</t>
  </si>
  <si>
    <t>f1_08_01f_1_1_g</t>
  </si>
  <si>
    <t>f1_08_01f_1</t>
  </si>
  <si>
    <t>f1_08_01f_2</t>
  </si>
  <si>
    <t>${f1_08_01f_1}=1 or ${f1_08_01f_2}=1</t>
  </si>
  <si>
    <t>f1_08_01g_1</t>
  </si>
  <si>
    <t>f1_08_01g_2</t>
  </si>
  <si>
    <t>f1_08_04f_1_1_g</t>
  </si>
  <si>
    <t>f1_08_01g_1_1_g</t>
  </si>
  <si>
    <t>${f1_08_01g_1}=1 or ${f1_08_01g_2}=1</t>
  </si>
  <si>
    <t xml:space="preserve">(8.04d) INTERVIEWER: FOR EACH SERVICE, RECORD THE MONTHLY TOTAL NUMBER OF INPATIENTS (IN) AND OUTPATIENTS (OUT) LISTED IN THE REGISTER, REGARDING THE LAST 3 MONTHS PRIOR TO THE MONTH OF THE SURVEY </t>
  </si>
  <si>
    <t>f1_08_01h_1_n</t>
  </si>
  <si>
    <t>f1_08_01h_1_1_g</t>
  </si>
  <si>
    <t>f1_08_04g_1_1_g</t>
  </si>
  <si>
    <t>f1_08_04h_1_1_g</t>
  </si>
  <si>
    <t>f1_08_01i_1_1_g</t>
  </si>
  <si>
    <t>f1_08_04i_1_1_g</t>
  </si>
  <si>
    <t>${f1_08_01i_1}=1 or ${f1_08_01i_2}=1</t>
  </si>
  <si>
    <t>f1_08_01i_1</t>
  </si>
  <si>
    <t>f1_08_01i_2</t>
  </si>
  <si>
    <t>f1_08_01j_1_1_g</t>
  </si>
  <si>
    <t>f1_08_01j_1</t>
  </si>
  <si>
    <t>f1_08_01j_2</t>
  </si>
  <si>
    <t>${f1_08_01j_1}=1 or ${f1_08_01j_2}=1</t>
  </si>
  <si>
    <t>f1_08_04j_1_1_g</t>
  </si>
  <si>
    <t>f1_08_01k_1</t>
  </si>
  <si>
    <t>f1_08_01k_2</t>
  </si>
  <si>
    <t>${f1_08_01k_1}=1 or ${f1_08_01k_2}=1</t>
  </si>
  <si>
    <t>f1_08_01k_1_1_g</t>
  </si>
  <si>
    <t>f1_08_04k_1_1_g</t>
  </si>
  <si>
    <t>f1_08_01l_1_1_g</t>
  </si>
  <si>
    <t>f1_08_04l_1_1_g</t>
  </si>
  <si>
    <t>f1_08_01m_1_1_g</t>
  </si>
  <si>
    <t>f1_08_04m_1_1_g</t>
  </si>
  <si>
    <t>f1_08_01n_1_1_g</t>
  </si>
  <si>
    <t>f1_08_04n_1_1_g</t>
  </si>
  <si>
    <t>f1_08_01o_1_1_g</t>
  </si>
  <si>
    <t>f1_08_01p_1_1_g</t>
  </si>
  <si>
    <t>f1_08_04p_1_1_g</t>
  </si>
  <si>
    <t>f1_08_04o_1_1_g</t>
  </si>
  <si>
    <t>f1_08_01q_1_1_g</t>
  </si>
  <si>
    <t>f1_08_04q_1_1_g</t>
  </si>
  <si>
    <t>f1_08_01r_1_1_g</t>
  </si>
  <si>
    <t>f1_08_04r_1_1_g</t>
  </si>
  <si>
    <t>f1_08_01s_1_1_g</t>
  </si>
  <si>
    <t xml:space="preserve">(8.04r) INTERVIEWER: FOR EACH SERVICE, RECORD THE MONTHLY TOTAL NUMBER OF INPATIENTS (IN) AND OUTPATIENTS (OUT) LISTED IN THE REGISTER, REGARDING THE LAST 3 MONTHS PRIOR TO THE MONTH OF THE SURVEY </t>
  </si>
  <si>
    <t xml:space="preserve">(8.04s) INTERVIEWER: FOR EACH SERVICE, RECORD THE MONTHLY TOTAL NUMBER OF INPATIENTS (IN) AND OUTPATIENTS (OUT) LISTED IN THE REGISTER, REGARDING THE LAST 3 MONTHS PRIOR TO THE MONTH OF THE SURVEY </t>
  </si>
  <si>
    <t>f1_08_04s_1_1_g</t>
  </si>
  <si>
    <t>f1_08_01t_1_1_g</t>
  </si>
  <si>
    <t>f1_08_04t_1_1_g</t>
  </si>
  <si>
    <t xml:space="preserve">(8.04t) INTERVIEWER: FOR EACH SERVICE, RECORD THE MONTHLY TOTAL NUMBER OF INPATIENTS (IN) AND OUTPATIENTS (OUT) LISTED IN THE REGISTER, REGARDING THE LAST 3 MONTHS PRIOR TO THE MONTH OF THE SURVEY </t>
  </si>
  <si>
    <t>f1_08_01u_1_1_g</t>
  </si>
  <si>
    <t>(8.04u) INTERVIEWER: FOR EACH SERVICE, RECORD THE MONTHLY TOTAL NUMBER OF INPATIENTS (IN) AND OUTPATIENTS (OUT) LISTED IN THE REGISTER, REGARDING THE LAST 3 MONTHS PRIOR TO THE MONTH OF THE SURVEY</t>
  </si>
  <si>
    <t>f1_08_04u_1_1_g</t>
  </si>
  <si>
    <t>f1_08_01v_1_1_g</t>
  </si>
  <si>
    <t>(8.04v) INTERVIEWER: FOR EACH SERVICE, RECORD THE MONTHLY TOTAL NUMBER OF INPATIENTS (IN) AND OUTPATIENTS (OUT) LISTED IN THE REGISTER, REGARDING THE LAST 3 MONTHS PRIOR TO THE MONTH OF THE SURVEY</t>
  </si>
  <si>
    <t>f1_08_04v_1_1_g</t>
  </si>
  <si>
    <t>f1_08_01w_1_1_g</t>
  </si>
  <si>
    <t>f1_08_04w_1_1_g</t>
  </si>
  <si>
    <t xml:space="preserve">(8.04w) INTERVIEWER: FOR EACH SERVICE, RECORD THE MONTHLY TOTAL NUMBER OF INPATIENTS (IN) AND OUTPATIENTS (OUT) LISTED IN THE REGISTER, REGARDING THE LAST 3 MONTHS PRIOR TO THE MONTH OF THE SURVEY </t>
  </si>
  <si>
    <t>f1_08_01x_1_1_g</t>
  </si>
  <si>
    <t>f1_08_04x_1_1_g</t>
  </si>
  <si>
    <t>(8.04x) INTERVIEWER: FOR EACH SERVICE, RECORD THE MONTHLY TOTAL NUMBER OF INPATIENTS (IN) AND OUTPATIENTS (OUT) LISTED IN THE REGISTER, REGARDING THE LAST 3 MONTHS PRIOR TO THE MONTH OF THE SURVEY</t>
  </si>
  <si>
    <t xml:space="preserve">(8.04y) INTERVIEWER: FOR EACH SERVICE, RECORD THE MONTHLY TOTAL NUMBER OF INPATIENTS (IN) AND OUTPATIENTS (OUT) LISTED IN THE REGISTER, REGARDING THE LAST 3 MONTHS PRIOR TO THE MONTH OF THE SURVEY </t>
  </si>
  <si>
    <t>f1_08_01y_1_1_g</t>
  </si>
  <si>
    <t>f1_08_04y_1_1_g</t>
  </si>
  <si>
    <t>f1_08_01aa_1_1_g</t>
  </si>
  <si>
    <t>(8.04aa) INTERVIEWER: FOR EACH SERVICE, RECORD THE MONTHLY TOTAL NUMBER OF INPATIENTS (IN) AND OUTPATIENTS (OUT) LISTED IN THE REGISTER, REGARDING THE LAST 3 MONTHS PRIOR TO THE MONTH OF THE SURVEY</t>
  </si>
  <si>
    <t>f1_08_04aa_1_1_g</t>
  </si>
  <si>
    <t>f1_08_01ab_1_1_g</t>
  </si>
  <si>
    <t>f1_08_04ab_1_1_g</t>
  </si>
  <si>
    <t>f1_08_01ac_1_1_g</t>
  </si>
  <si>
    <t xml:space="preserve">(8.04ab) INTERVIEWER: FOR EACH SERVICE, RECORD THE MONTHLY TOTAL NUMBER OF INPATIENTS (IN) AND OUTPATIENTS (OUT) LISTED IN THE REGISTER, REGARDING THE LAST 3 MONTHS PRIOR TO THE MONTH OF THE SURVEY </t>
  </si>
  <si>
    <t xml:space="preserve">(8.04ac) INTERVIEWER: FOR EACH SERVICE, RECORD THE MONTHLY TOTAL NUMBER OF INPATIENTS (IN) AND OUTPATIENTS (OUT) LISTED IN THE REGISTER, REGARDING THE LAST 3 MONTHS PRIOR TO THE MONTH OF THE SURVEY </t>
  </si>
  <si>
    <t>f1_08_04ac_1_1_g</t>
  </si>
  <si>
    <t>f1_08_01ad_1_1_g</t>
  </si>
  <si>
    <t xml:space="preserve">(8.04ad) INTERVIEWER: FOR EACH SERVICE, RECORD THE MONTHLY TOTAL NUMBER OF INPATIENTS (IN) AND OUTPATIENTS (OUT) LISTED IN THE REGISTER, REGARDING THE LAST 3 MONTHS PRIOR TO THE MONTH OF THE SURVEY </t>
  </si>
  <si>
    <t>f1_08_04ad_1_1_g</t>
  </si>
  <si>
    <t>f1_08_01ae_1_1_g</t>
  </si>
  <si>
    <t>(8.04ae) INTERVIEWER: FOR EACH SERVICE, RECORD THE MONTHLY TOTAL NUMBER OF INPATIENTS (IN) AND OUTPATIENTS (OUT) LISTED IN THE REGISTER, REGARDING THE LAST 3 MONTHS PRIOR TO THE MONTH OF THE SURVEY</t>
  </si>
  <si>
    <t>f1_08_04ae_1_1_g</t>
  </si>
  <si>
    <t xml:space="preserve">(8.04af) INTERVIEWER: FOR EACH SERVICE, RECORD THE MONTHLY TOTAL NUMBER OF INPATIENTS (IN) AND OUTPATIENTS (OUT) LISTED IN THE REGISTER, REGARDING THE LAST 3 MONTHS PRIOR TO THE MONTH OF THE SURVEY </t>
  </si>
  <si>
    <t>f1_08_01af_1_1_g</t>
  </si>
  <si>
    <t>f1_08_04af_1_1_g</t>
  </si>
  <si>
    <t>f1_08_01aj_1_1_g</t>
  </si>
  <si>
    <t xml:space="preserve">(8.04aj) INTERVIEWER: FOR EACH SERVICE, RECORD THE MONTHLY TOTAL NUMBER OF INPATIENTS (IN) AND OUTPATIENTS (OUT) LISTED IN THE REGISTER, REGARDING THE LAST 3 MONTHS PRIOR TO THE MONTH OF THE SURVEY </t>
  </si>
  <si>
    <t>f1_08_04aj_1_1_g</t>
  </si>
  <si>
    <t>f1_08_01ak_1_1_g</t>
  </si>
  <si>
    <t xml:space="preserve">(8.04ak) INTERVIEWER: FOR EACH SERVICE, RECORD THE MONTHLY TOTAL NUMBER OF INPATIENTS (IN) AND OUTPATIENTS (OUT) LISTED IN THE REGISTER, REGARDING THE LAST 3 MONTHS PRIOR TO THE MONTH OF THE SURVEY </t>
  </si>
  <si>
    <t>f1_08_01al_1_1_g</t>
  </si>
  <si>
    <t>f1_08_04al_1_1_g</t>
  </si>
  <si>
    <t>(8.04al) INTERVIEWER: FOR EACH SERVICE, RECORD THE MONTHLY TOTAL NUMBER OF INPATIENTS (IN) AND OUTPATIENTS (OUT) LISTED IN THE REGISTER, REGARDING THE LAST 3 MONTHS PRIOR TO THE MONTH OF THE SURVEY</t>
  </si>
  <si>
    <t xml:space="preserve">(8.04am) INTERVIEWER: FOR EACH SERVICE, RECORD THE MONTHLY TOTAL NUMBER OF INPATIENTS (IN) AND OUTPATIENTS (OUT) LISTED IN THE REGISTER, REGARDING THE LAST 3 MONTHS PRIOR TO THE MONTH OF THE SURVEY </t>
  </si>
  <si>
    <t>f1_08_01am_1_1_g</t>
  </si>
  <si>
    <t>f1_08_04am_1_1_g</t>
  </si>
  <si>
    <t>f1_08_01an_1_1_g</t>
  </si>
  <si>
    <t>f1_08_01an_1</t>
  </si>
  <si>
    <t>f1_08_01an_2</t>
  </si>
  <si>
    <t>${f1_08_01an_1}=1 or ${f1_08_01an_2}=1</t>
  </si>
  <si>
    <t>f1_08_04an_1_1_g</t>
  </si>
  <si>
    <t>(8.04an) INTERVIEWER: FOR EACH SERVICE, RECORD THE MONTHLY TOTAL NUMBER OF INPATIENTS (IN) AND OUTPATIENTS (OUT) LISTED IN THE REGISTER, REGARDING THE LAST 3 MONTHS PRIOR TO THE MONTH OF THE SURVEY</t>
  </si>
  <si>
    <t>f1_08_01ao_1</t>
  </si>
  <si>
    <t>f1_08_01ao_2</t>
  </si>
  <si>
    <t>f1_08_01ao_1_1_g</t>
  </si>
  <si>
    <t>${f1_08_01ao_1}=1 or ${f1_08_01ao_2}=1</t>
  </si>
  <si>
    <t xml:space="preserve">(8.04ao)INTERVIEWER: FOR EACH SERVICE, RECORD THE MONTHLY TOTAL NUMBER OF INPATIENTS (IN) AND OUTPATIENTS (OUT) LISTED IN THE REGISTER, REGARDING THE LAST 3 MONTHS PRIOR TO THE MONTH OF THE SURVEY </t>
  </si>
  <si>
    <t>f1_08_04ao_1_1_g</t>
  </si>
  <si>
    <t>f1_09_01_1_g</t>
  </si>
  <si>
    <t>f1_09_06_00_g</t>
  </si>
  <si>
    <t>f1_09_09_1_00_g</t>
  </si>
  <si>
    <t>f1_09_09_1_gg</t>
  </si>
  <si>
    <t>f1_09_10_1_gg</t>
  </si>
  <si>
    <t>f1_09_11_1_gg</t>
  </si>
  <si>
    <t>f1_09_12_1_gg</t>
  </si>
  <si>
    <t>f1_09_13_00_g</t>
  </si>
  <si>
    <t>f1_09_17_1_g</t>
  </si>
  <si>
    <t>f1_10id_1_g</t>
  </si>
  <si>
    <t>f1_10_01_1_g</t>
  </si>
  <si>
    <t>f1_10_04_1_g</t>
  </si>
  <si>
    <t>f1_11id_1_g</t>
  </si>
  <si>
    <t>f1_11_00_g</t>
  </si>
  <si>
    <t>f1_11_05_1_g</t>
  </si>
  <si>
    <t>f1_12_00_g</t>
  </si>
  <si>
    <t>f1_12_07_00_g</t>
  </si>
  <si>
    <t>f1_12_12_00_g</t>
  </si>
  <si>
    <t>f1_12_20_00_g</t>
  </si>
  <si>
    <t>f1_12_29_00_g</t>
  </si>
  <si>
    <t>f1_12_28n_1_g</t>
  </si>
  <si>
    <t>f1_12_24_00_g</t>
  </si>
  <si>
    <t>f1_13_00_g</t>
  </si>
  <si>
    <t>f1_13_02_g</t>
  </si>
  <si>
    <t>f1_13_02a_gg</t>
  </si>
  <si>
    <t>f1_13_02i_gg</t>
  </si>
  <si>
    <t>f1_13_02q_gg</t>
  </si>
  <si>
    <t>f1_13_03n_g</t>
  </si>
  <si>
    <t>f1_13_05_00_g</t>
  </si>
  <si>
    <t>f1_13_07_00_g</t>
  </si>
  <si>
    <t>f1_13_10ao_1_g</t>
  </si>
  <si>
    <t>f1_13_10ag_1_g</t>
  </si>
  <si>
    <t>f1_13_10y_1_g</t>
  </si>
  <si>
    <t>f1_13_10q_1_g</t>
  </si>
  <si>
    <t>f1_13_10i_1_g</t>
  </si>
  <si>
    <t>f1_13_10a_1_g</t>
  </si>
  <si>
    <t>f1_13_09_00_g</t>
  </si>
  <si>
    <t>f1_14_01_1_g</t>
  </si>
  <si>
    <t>f1_14_03_1_1_g</t>
  </si>
  <si>
    <t>f1_14_07_1_g</t>
  </si>
  <si>
    <t>f1_14_11a_01_g</t>
  </si>
  <si>
    <t xml:space="preserve">IF NONE, RECORD 00 </t>
  </si>
  <si>
    <t>f1_14_11a_01_gg</t>
  </si>
  <si>
    <t>${f1_14_13a}&gt; 0</t>
  </si>
  <si>
    <t>f1_14_11j_00_gg</t>
  </si>
  <si>
    <t>f1_14_11i_00_gg</t>
  </si>
  <si>
    <t>f1_14_11h_00_gg</t>
  </si>
  <si>
    <t>f1_14_11g_00_gg</t>
  </si>
  <si>
    <t>f1_14_11f_00_gg</t>
  </si>
  <si>
    <t>f1_14_11ne_1_gg</t>
  </si>
  <si>
    <t>f1_14_11nd_gg</t>
  </si>
  <si>
    <t>f1_14_11nb_1_gg</t>
  </si>
  <si>
    <t>f1_14_11nc_1_gg</t>
  </si>
  <si>
    <t>f1_14_11k_01_g</t>
  </si>
  <si>
    <t>f1_14_11k_00_gg</t>
  </si>
  <si>
    <t>f1_14_11l_00_gg</t>
  </si>
  <si>
    <t>f1_14_11m_00_gg</t>
  </si>
  <si>
    <t>f1_14_11nn_1_gg</t>
  </si>
  <si>
    <t>f1_14_11on_1_gg</t>
  </si>
  <si>
    <t>f1_14_11np_1_gg</t>
  </si>
  <si>
    <t>f1_14_11q_01_g</t>
  </si>
  <si>
    <t>f1_14_11q_00_1_gg</t>
  </si>
  <si>
    <t>f1_14_11r_00_gg</t>
  </si>
  <si>
    <t>f1_14_11t_01_g</t>
  </si>
  <si>
    <t>f1_14_11t_00_1_gg</t>
  </si>
  <si>
    <t>f1_14_11u_00_g</t>
  </si>
  <si>
    <t>f1_14_11v_00_g</t>
  </si>
  <si>
    <t>f1_14_11w_00_g</t>
  </si>
  <si>
    <t>f1_14_11aa_01_g</t>
  </si>
  <si>
    <t>f1_14_11aw_00_gg</t>
  </si>
  <si>
    <t>f1_14_11z_00_gg</t>
  </si>
  <si>
    <t>f1_14_11y_00_gg</t>
  </si>
  <si>
    <t>f1_14_11x_00_gg</t>
  </si>
  <si>
    <t>f1_14_11ac_00_gg</t>
  </si>
  <si>
    <t>f1_14_11ab_00_gg</t>
  </si>
  <si>
    <t>f1_14_11aa_00_1_gg</t>
  </si>
  <si>
    <t>f1_14_11ae_01_g</t>
  </si>
  <si>
    <t>f1_14_11ae_00_1_gg</t>
  </si>
  <si>
    <t>f1_14_11af_00_gg</t>
  </si>
  <si>
    <t>f1_14_11ag_00_gg</t>
  </si>
  <si>
    <t>f1_14_11ah_00_gg</t>
  </si>
  <si>
    <t>f1_14_11ai_00_gg</t>
  </si>
  <si>
    <t>f1_14_11aj_00_gg</t>
  </si>
  <si>
    <t>f1_14_11ak_00_gg</t>
  </si>
  <si>
    <t>f1_14_ak_01_gg</t>
  </si>
  <si>
    <t>f1_14_13_ak_nn</t>
  </si>
  <si>
    <t>f1_14_ak_02_gg</t>
  </si>
  <si>
    <t>f1_14_13ak_nn</t>
  </si>
  <si>
    <t>f1_14_13ak_3n_nn</t>
  </si>
  <si>
    <t>f1_14_ak_03_gg</t>
  </si>
  <si>
    <t>${f1_14_13an}&gt;0</t>
  </si>
  <si>
    <t>f1_14_16_1_g</t>
  </si>
  <si>
    <t>f1_12_36_1_1_g</t>
  </si>
  <si>
    <t>${f1_01_23}=96</t>
  </si>
  <si>
    <t>${f1_01_54}=96</t>
  </si>
  <si>
    <t>${f1_06_44}=96</t>
  </si>
  <si>
    <t>.&gt; 0</t>
  </si>
  <si>
    <t>minimal</t>
  </si>
  <si>
    <t>gridformat&lt;row = 0, col = 0, colspan = 2, fill = fill/&gt;</t>
  </si>
  <si>
    <t>field-list grid(weight = 2)</t>
  </si>
  <si>
    <t>gridformat&lt;row = 1, col = 0, fill = fill/&gt;</t>
  </si>
  <si>
    <t>gridformat&lt;row = 2, col = 0, fill = fill/&gt;</t>
  </si>
  <si>
    <t>gridformat&lt;row = 3, col = 0, fill = fill/&gt;</t>
  </si>
  <si>
    <t>gridformat&lt;row = 4, col = 0, fill = fill/&gt;</t>
  </si>
  <si>
    <t>gridformat&lt;row = 4, col = 1, fill = fill/&gt;</t>
  </si>
  <si>
    <t>${f1_01_23}=4 or ${f1_01_23}=5 or ${f1_01_23}=6 or ${f1_01_23}=96</t>
  </si>
  <si>
    <t>${f1_06_01}=1</t>
  </si>
  <si>
    <t>embed</t>
  </si>
  <si>
    <t>gridformat&lt;row = 5, col = 0, fill = fill/&gt;</t>
  </si>
  <si>
    <t>gridformat&lt;row = 5, col = 1, fill = fill/&gt;</t>
  </si>
  <si>
    <t>position(..)</t>
  </si>
  <si>
    <t>DAYS</t>
  </si>
  <si>
    <t>f1_05_n_2_g</t>
  </si>
  <si>
    <t>f1_05_n_3_g</t>
  </si>
  <si>
    <t>f1_05_n_4_g</t>
  </si>
  <si>
    <t>f1_05_n_5_g</t>
  </si>
  <si>
    <t>TIMES</t>
  </si>
  <si>
    <t>CLINICS</t>
  </si>
  <si>
    <t>WOMEN</t>
  </si>
  <si>
    <t>(8.01an) Does this facility provide Inpatient stay within the facility  and/or as outreach?</t>
  </si>
  <si>
    <t>(8.01ao) Does this facility provide Ambulance ride to another facility for referral within the facility and/or as outreach?</t>
  </si>
  <si>
    <t xml:space="preserve">(8.01am) Does this facility provide 24-hour emergency care within the facility and/or as outreach? </t>
  </si>
  <si>
    <t>INTERVIEWER: RECORD FOR BOTH FACILITY AND OUTREACH</t>
  </si>
  <si>
    <t xml:space="preserve">(8.01al) Does this facility provide Treatment for STIs within the facility and/or as outreach? </t>
  </si>
  <si>
    <t>INTERVIEWER: RECORD FOR BOTH FACILITY AND OUTREACH.</t>
  </si>
  <si>
    <t>(8.01ak) Does this facility provide Diagnosis,  testing, and counseling for STIs within the facility and/or as outreach?</t>
  </si>
  <si>
    <t xml:space="preserve"> INTERVIEWER: RECORD FOR BOTH FACILITY AND OUTREACH.</t>
  </si>
  <si>
    <t>(8.01aj) Does this facility provide Tuberculosis treatment within the facility and/or as outreach?</t>
  </si>
  <si>
    <t xml:space="preserve">(8.01af) Does this facility provide Tuberculosis diagnosis within the facility and/or as outreach? </t>
  </si>
  <si>
    <t>(8.01ae) Does this facility provide Malaria treatment with Artemisinin-based Combination Therapy (ACT) within the facility and/or as outreach?</t>
  </si>
  <si>
    <t xml:space="preserve">(8.01ad) Does this facility provide Treatment for severe acute malnutrition within the facility and/or as outreach? </t>
  </si>
  <si>
    <t xml:space="preserve">(8.01ac) Does this facility provide Child growth monitoring and nutritional advice within the facility and/or as outreach? </t>
  </si>
  <si>
    <t xml:space="preserve">(8.01ab) Does this facility provide Curative care for children &gt;5 years and adults within the facility and/or as outreach? </t>
  </si>
  <si>
    <t xml:space="preserve">(8.01aa) Does this facility provide Curative care for children &lt; 5 years within the facility and/or as outreach? </t>
  </si>
  <si>
    <t xml:space="preserve">(8.01y) Does this facility provide Deworming within the facility and/or as outreach? </t>
  </si>
  <si>
    <t>(8.01x) Does this facility provide Vitamin A Supplement within the facility and/or as outreach?</t>
  </si>
  <si>
    <t xml:space="preserve">(8.01w) Does this facility provide Tetanus Toxoid to pregnant women within the facility and/or as outreach? </t>
  </si>
  <si>
    <t xml:space="preserve">(8.01v) Does this facility provide Pneumococcal Vaccine within the facility and/or as outreach? </t>
  </si>
  <si>
    <t xml:space="preserve">(8.01u) Does this facility provide Rotavirus Vaccine within the facility and/or as outreach? </t>
  </si>
  <si>
    <t xml:space="preserve">(8.01t) Does this facility provide Measles Dose 1 (&lt; 1 year) within the facility and/or as outreach? </t>
  </si>
  <si>
    <t xml:space="preserve">(8.01s) Does this facility provide Polio Dose 3 within the facility and/or as outreach? </t>
  </si>
  <si>
    <t xml:space="preserve">(8.01r) Does this facility provide Polio Dose 2 within the facility and/or as outreach? </t>
  </si>
  <si>
    <t>NOT APPLICABLE, NO LABORATORY</t>
  </si>
  <si>
    <r>
      <t>e.</t>
    </r>
    <r>
      <rPr>
        <sz val="11"/>
        <color rgb="FFFF0000"/>
        <rFont val="Arial"/>
        <family val="2"/>
      </rPr>
      <t xml:space="preserve"> VDC Chairman</t>
    </r>
  </si>
  <si>
    <t>(ANTENATAL CARE EQUIPMENT: FETOSCOPE, BLOOD PRESSURE INSTRUMENT, TAPE MEASURE, ADULT WEIGHING SCALE)</t>
  </si>
  <si>
    <t>(13.07) Where is the antenatal care equipment located?</t>
  </si>
  <si>
    <t>Guedel airways-neonatal, child, and adult</t>
  </si>
  <si>
    <t>f1_13_10at</t>
  </si>
  <si>
    <t>(14.09) INTERVIEWER: ARE THE DRUGS KEPT ON AN ELEVATED PLATFORM I.E. OFF THE FLOOR?</t>
  </si>
  <si>
    <t xml:space="preserve">(14.13k) What quantity of Male comdoms are available at this time? </t>
  </si>
  <si>
    <t xml:space="preserve">(14.13l) What quantity of Female condoms are available at this time? </t>
  </si>
  <si>
    <t>f1_14_14_ggg</t>
  </si>
  <si>
    <t>f1_14_14b_ggg</t>
  </si>
  <si>
    <t>f1_14_14c_ggg</t>
  </si>
  <si>
    <t>f1_14_14d_ggg</t>
  </si>
  <si>
    <t>f1_14_14e_ggg</t>
  </si>
  <si>
    <t>f1_14_14f_ggg</t>
  </si>
  <si>
    <t>f1_14_14g_ggg</t>
  </si>
  <si>
    <t>f1_14_14h_ggg</t>
  </si>
  <si>
    <t>f1_14_14i_ggg</t>
  </si>
  <si>
    <t>f1_14_14j_ggg</t>
  </si>
  <si>
    <t>f1_14_11k_ggg</t>
  </si>
  <si>
    <t>f1_14_11l_ggg</t>
  </si>
  <si>
    <t>f1_14_11m_ggg</t>
  </si>
  <si>
    <t>f1_14_11n_ggg</t>
  </si>
  <si>
    <t>f1_14_11o_ggg</t>
  </si>
  <si>
    <t>f1_14_11p_ggg</t>
  </si>
  <si>
    <t>f1_14_14q_ggg</t>
  </si>
  <si>
    <t>f1_14_14r_ggg</t>
  </si>
  <si>
    <t xml:space="preserve">(14.13aa) What quantity of Magnesium Sulfate are available at this time? </t>
  </si>
  <si>
    <t>f1_14_14aa_ggg</t>
  </si>
  <si>
    <t>f1_14_14ab_ggg</t>
  </si>
  <si>
    <t>f1_14_14ac_ggg</t>
  </si>
  <si>
    <t>f1_14_14ad_ggg</t>
  </si>
  <si>
    <t>f1_14_14t_ggg</t>
  </si>
  <si>
    <t>f1_14_14u_ggg</t>
  </si>
  <si>
    <t xml:space="preserve">(14.13v) What quantity of Isoniazid (INH) are available at this time? </t>
  </si>
  <si>
    <t>f1_14_14v_ggg</t>
  </si>
  <si>
    <t>f1_14_14x_ggg</t>
  </si>
  <si>
    <t>f1_14_14y_ggg</t>
  </si>
  <si>
    <t>f1_14_14z_ggg</t>
  </si>
  <si>
    <t>f1_14_14w_ggg</t>
  </si>
  <si>
    <t>f1_14_14ae_ggg</t>
  </si>
  <si>
    <t>f1_14_14af_ggg</t>
  </si>
  <si>
    <t>f1_14_14ag_ggg</t>
  </si>
  <si>
    <t>f1_14_14ah_ggg</t>
  </si>
  <si>
    <t>f1_14_14ai_ggg</t>
  </si>
  <si>
    <t>f1_14_14aj_ggg</t>
  </si>
  <si>
    <t>f1_14_14ak_ggg</t>
  </si>
  <si>
    <t>f1_14_14ak_1n_ggg</t>
  </si>
  <si>
    <t>f1_14_14ak_2n_ggg</t>
  </si>
  <si>
    <t>f1_14_14ak_3n_ggg</t>
  </si>
  <si>
    <t>f1_05_02_g</t>
  </si>
  <si>
    <t>f1_14_11al_01_g</t>
  </si>
  <si>
    <t>f1_14_11al_00_1_gg</t>
  </si>
  <si>
    <t>f1_14_11al_note</t>
  </si>
  <si>
    <t>f1_14_14al_3n_ggg</t>
  </si>
  <si>
    <t>f1_14_14am_3n_ggg</t>
  </si>
  <si>
    <t>f1_14_14ao_3n_ggg</t>
  </si>
  <si>
    <t>f1_14_14ap_3p_ggg</t>
  </si>
  <si>
    <t>f1_14_11nam_1_gg</t>
  </si>
  <si>
    <t>f1_14_11nan_1_gg</t>
  </si>
  <si>
    <t>f1_14_11nao_1_gg</t>
  </si>
  <si>
    <t>f1_14_11nap_1_gg</t>
  </si>
  <si>
    <t>f1_14_14an_3n_ggg</t>
  </si>
  <si>
    <t>gridformat&lt;row = 1, col = 0, colspan = 2, fill = fill/&gt;</t>
  </si>
  <si>
    <t>gridformat&lt;row = 3, col = 0, colspan = 2, fill = fill/&gt;</t>
  </si>
  <si>
    <t>gridformat&lt;row = 2, col = 0, colspan = 2, fill = fill/&gt;</t>
  </si>
  <si>
    <t>gridformat&lt;row = 5, col = 0, colspan = 2, fill = fill/&gt;</t>
  </si>
  <si>
    <t>gridformat&lt;row = 6, col = 0, fill = fill/&gt;</t>
  </si>
  <si>
    <t>gridformat&lt;row = 6, col = 1, fill = fill/&gt;</t>
  </si>
  <si>
    <t>gridformat&lt;row = 7, col = 0, colspan = 2, fill = fill/&gt;</t>
  </si>
  <si>
    <t>embed gridformat&lt;row = 2, col = 0, fill = fill/&gt;</t>
  </si>
  <si>
    <t>embed gridformat&lt;row = 4, col = 0, fill = fill/&gt;</t>
  </si>
  <si>
    <t xml:space="preserve">f. Contracted vehicle on call </t>
  </si>
  <si>
    <t>(eg. Riders for Health)</t>
  </si>
  <si>
    <t>f1_05_02_1_g</t>
  </si>
  <si>
    <t>f1_05_03_1_g</t>
  </si>
  <si>
    <t>f1_05_04_g</t>
  </si>
  <si>
    <t>f1_05_05_g</t>
  </si>
  <si>
    <t>${f1_01_39}=1</t>
  </si>
  <si>
    <t>f1_05_04_1_g</t>
  </si>
  <si>
    <t xml:space="preserve">embed text-nolabel gridformat&lt;row = 3, col = 0, colspan = 2, fill = fill/&gt;
</t>
  </si>
  <si>
    <t>gridformat&lt;row = 4, col = 0, colspan = 2, fill = fill/&gt;</t>
  </si>
  <si>
    <t>gridformat&lt;row = 8, col = 0, colspan = 2, fill = fill/&gt;</t>
  </si>
  <si>
    <t>gridformat&lt;row = 9, col = 0, colspan = 2, fill = fill/&gt;</t>
  </si>
  <si>
    <t>gridformat&lt;row = 10, col = 0, colspan = 2, fill = fill/&gt;</t>
  </si>
  <si>
    <t>d. Total female 15-49 years population</t>
  </si>
  <si>
    <t xml:space="preserve"> i.e. women of childbearing age</t>
  </si>
  <si>
    <t>gridformat&lt;row = 0, col = 0, colspan = 2, fill = fill, align = center/&gt;</t>
  </si>
  <si>
    <t>Now I would like to see the register that shows the total number of patients attended in this facility in the last completed calendar month</t>
  </si>
  <si>
    <t>Number of TOTAL:</t>
  </si>
  <si>
    <t>(7.06o) Male under 5 outpatients</t>
  </si>
  <si>
    <t>(7.06i) Male under 5 inpatients</t>
  </si>
  <si>
    <t>(7.07o) Female under 5 outpatients</t>
  </si>
  <si>
    <t>(7.07i) Female under 5 inpatients</t>
  </si>
  <si>
    <t xml:space="preserve">(9.06) What percentage of the drug cost is charged to patients? </t>
  </si>
  <si>
    <t>INTERVIEWER: RECORD PERCENTAGE WITHOUT "%" SIGN, AS A NUMBER. E.G. IF 5% IS CHARGED, RECORD 05. IF 80% IS CHARGED, RECORD 80.</t>
  </si>
  <si>
    <t>f1_10n2</t>
  </si>
  <si>
    <t xml:space="preserve">(12.07) INTERVIEWER: RECORD HOW MANY OBSERVATION BEDS ARE PRESENT. </t>
  </si>
  <si>
    <t>IF ZERO, RECORD "0".</t>
  </si>
  <si>
    <t xml:space="preserve">(12.12) INTERVIEWER: RECORD HOW MANY DELIVERY BEDS ARE PRESENT. </t>
  </si>
  <si>
    <t xml:space="preserve"> IF ZERO, RECORD "0".</t>
  </si>
  <si>
    <t>f1_12_36_1_2_g</t>
  </si>
  <si>
    <t>f1_13_n2</t>
  </si>
  <si>
    <t xml:space="preserve">(13.02) PLEASE RECORD THE QUANTITY FOR EACH TYPE OF EQUIPMENT. </t>
  </si>
  <si>
    <t xml:space="preserve">(13.04) PLEASE RECORD THE QUANTITY FOR EACH TYPE OF EQUIPMENT. </t>
  </si>
  <si>
    <t xml:space="preserve">(13.05) Where is the vaccination equipment located? </t>
  </si>
  <si>
    <t xml:space="preserve">(13.06) PLEASE RECORD THE QUANTITY FOR EACH TYPE OF EQUIPMENT.  </t>
  </si>
  <si>
    <t xml:space="preserve">(13.08) PLEASE RECORD THE QUANTITY FOR EACH TYPE OF EQUIPMENT. </t>
  </si>
  <si>
    <t xml:space="preserve">(13.10) PLEASE RECORD THE QUANTITY FOR EACH TYPE OF EQUIPMENT. </t>
  </si>
  <si>
    <t>(13.10) PLEASE RECORD THE QUANTITY FOR EACH TYPE OF EQUIPMENT.</t>
  </si>
  <si>
    <t xml:space="preserve">(14.10) Does the pharmacy maintain stock cards or stock register? </t>
  </si>
  <si>
    <t>INTERVIEWER: IF YES, ASK TO SEE CARDS/REGISTER.</t>
  </si>
  <si>
    <t>field-list grid(weight = 1)</t>
  </si>
  <si>
    <t>gridformat&lt;row = 0, col = 0, fill = fill/&gt;</t>
  </si>
  <si>
    <t>gridformat&lt;row = 0, col = 0, fill = fill, align = center/&gt;</t>
  </si>
  <si>
    <t>gridformat&lt;row = 1, col = 0, fill = fill, align = center/&gt;</t>
  </si>
  <si>
    <t>gridformat&lt;row = 2, col = 0, fill = fill, align = center/&gt;</t>
  </si>
  <si>
    <t>embed gridformat&lt;row = 1, col = 0, fill = fill/&gt;</t>
  </si>
  <si>
    <t>embed text-nolabel gridformat&lt;row = 2, col = 0, fill = fill/&gt;</t>
  </si>
  <si>
    <t>gridformat&lt;row = 7, col = 0, fill = fill/&gt;</t>
  </si>
  <si>
    <t>embed gridformat&lt;row = 5, col = 0, fill = fill/&gt;</t>
  </si>
  <si>
    <t>f1_12_07_01_g</t>
  </si>
  <si>
    <t>f1_09_01_00_g</t>
  </si>
  <si>
    <t>f1_08_04a_2_1_g</t>
  </si>
  <si>
    <t>list-nolabel gridformat&lt;row = 2, col = 0, fill = fill/&gt;</t>
  </si>
  <si>
    <t>list-nolabel gridformat&lt;row = 3, col = 0, fill = fill/&gt;</t>
  </si>
  <si>
    <t>label gridformat&lt;row = 1, col = 0, fill = fill/&gt;</t>
  </si>
  <si>
    <t>f1_06_06_01_g</t>
  </si>
  <si>
    <t>embed gridformat&lt;row = 3, col = 0, fill = fill/&gt;</t>
  </si>
  <si>
    <t>embed text-nolabel gridformat&lt;row = 3, col = 0, fill = fill/&gt;</t>
  </si>
  <si>
    <t xml:space="preserve">gridformat&lt;row = 1, col = 0, fill = fill/&gt;
</t>
  </si>
  <si>
    <t xml:space="preserve">embed gridformat&lt;row = 3, col = 0, fill = fill/&gt;
</t>
  </si>
  <si>
    <t>f1_07_03_01_g</t>
  </si>
  <si>
    <t xml:space="preserve">embed </t>
  </si>
  <si>
    <t>IF WATER IN FACILITY, RECORD "0".</t>
  </si>
  <si>
    <t>MEMBERS</t>
  </si>
  <si>
    <t>VILLAGES</t>
  </si>
  <si>
    <t>embed gridformat&lt;row = 1, col = 0, colspan = 2, fill = fill/&gt;</t>
  </si>
  <si>
    <t>PEOPLE</t>
  </si>
  <si>
    <t>embed text-nolabel gridformat&lt;row = 9, col = 0, fill = fill/&gt;</t>
  </si>
  <si>
    <t>f1_07_08_co_g</t>
  </si>
  <si>
    <r>
      <t xml:space="preserve">Children’s </t>
    </r>
    <r>
      <rPr>
        <sz val="11"/>
        <color rgb="FFFF0000"/>
        <rFont val="Arial"/>
        <family val="2"/>
      </rPr>
      <t>(Salter)</t>
    </r>
    <r>
      <rPr>
        <sz val="11"/>
        <rFont val="Arial"/>
        <family val="2"/>
      </rPr>
      <t xml:space="preserve"> </t>
    </r>
    <r>
      <rPr>
        <sz val="11"/>
        <color rgb="FFFF0000"/>
        <rFont val="Arial"/>
        <family val="2"/>
      </rPr>
      <t>hanging</t>
    </r>
    <r>
      <rPr>
        <sz val="11"/>
        <rFont val="Arial"/>
        <family val="2"/>
      </rPr>
      <t xml:space="preserve"> scale</t>
    </r>
  </si>
  <si>
    <t>embed text-nolabel gridformat&lt;row = 2, col = 0, colspan = 2, fill = fill/&gt;</t>
  </si>
  <si>
    <t>f1_14_01_n</t>
  </si>
  <si>
    <t xml:space="preserve">&lt;b&gt;&lt;font color='#610B0B'&gt;&lt;big&gt;DIAGNOSTIC KITS&lt;/big&gt;&lt;/font&gt;&lt;b&gt;
</t>
  </si>
  <si>
    <t xml:space="preserve">&lt;b&gt;&lt;font color='#610B0B'&gt;&lt;big&gt;TUBERCULOSIS&lt;/big&gt;&lt;/font&gt;&lt;b&gt;
</t>
  </si>
  <si>
    <t xml:space="preserve">&lt;b&gt;&lt;font color='#610B0B'&gt;&lt;big&gt;VACCINES&lt;/big&gt;&lt;/font&gt;&lt;b&gt;
</t>
  </si>
  <si>
    <t xml:space="preserve">&lt;b&gt;&lt;font color='#610B0B'&gt;&lt;big&gt;EMERGENCY OBSTETRIC CARE&lt;/big&gt;&lt;/font&gt;&lt;b&gt;
</t>
  </si>
  <si>
    <t xml:space="preserve">&lt;b&gt;&lt;font color='#610B0B'&gt;&lt;big&gt;MALARIA&lt;big&gt;&lt;/font&gt;&lt;b&gt;
</t>
  </si>
  <si>
    <t xml:space="preserve">&lt;b&gt;&lt;font color='#610B0B'&gt;&lt;big&gt;FAMILY PLANNING&lt;/big&gt;&lt;/font&gt;&lt;b&gt;
</t>
  </si>
  <si>
    <t>f1_14_01_n1</t>
  </si>
  <si>
    <t>(12.30) Integrated Management of Neonatal Childhood Illness (IMNCI) chart booklet or wall chart</t>
  </si>
  <si>
    <t>embed text-nolabel gridformat&lt;row =4, col = 0, fill = fill/&gt;</t>
  </si>
  <si>
    <t>PERSON IN CHARGE IS OUT  (STAFF THAT IS PRESENT IS NOT AUTHORIZED)</t>
  </si>
  <si>
    <t>Staff performing deliveries</t>
  </si>
  <si>
    <t>MINUTES</t>
  </si>
  <si>
    <t xml:space="preserve">OWNED REFERS TO OWNED BY THE FACILITY OR THE INDIVIDUAL.
</t>
  </si>
  <si>
    <t>(1.51) What procedure is used for STERILIZING medical equipment before reuse?</t>
  </si>
  <si>
    <t xml:space="preserve">(14.13a) What quantity of Tetracycline ophthalmic ointments are available at this time? </t>
  </si>
  <si>
    <t>Oral Rehydration Therapy (ORT) equipment (1 liter container, cups and spoons and rehydration guidelines)</t>
  </si>
  <si>
    <t>INTERVIEWER: RECORD YEAR IN YYYY FORMAT (E.G. 1941).</t>
  </si>
  <si>
    <t>${f1_01_42} = 1 or ${f1_01_42} = 2</t>
  </si>
  <si>
    <t>f1_05_02_g_1</t>
  </si>
  <si>
    <t>f1_05_n_3_g_1</t>
  </si>
  <si>
    <t>f1_05_n_2_g_1</t>
  </si>
  <si>
    <t>f1_05_n_4_g_1</t>
  </si>
  <si>
    <t>f1_05_n_5_g_1</t>
  </si>
  <si>
    <t>(5.03) How many of the following tests were conducted in the past 3 months?</t>
  </si>
  <si>
    <t xml:space="preserve">${consent}=1 </t>
  </si>
  <si>
    <t>select_multiple topic</t>
  </si>
  <si>
    <t xml:space="preserve">(14.13ak_3n) What quantity of Injectable polio vaccine (IPV) are available at this time? </t>
  </si>
  <si>
    <t>(14.14ak_3n) In the past 30 days, has the item been out of stock at any time?</t>
  </si>
  <si>
    <t>(14.15ak_3n) In the past 30 days, how many days has the item been out of stock?</t>
  </si>
  <si>
    <t>f1_03_10_sum</t>
  </si>
  <si>
    <t>.&gt;=1</t>
  </si>
  <si>
    <t>${f1_01_23} != 8</t>
  </si>
  <si>
    <t>${f1_06_07}= 1 or ${f1_06_07}= 2</t>
  </si>
  <si>
    <t>.&gt;=0 and .&lt;201</t>
  </si>
  <si>
    <t>.&gt;=0 and .&lt;41</t>
  </si>
  <si>
    <t>.&gt;=0 and .&lt;=30</t>
  </si>
  <si>
    <t>.&gt;=0 and .&lt;=7</t>
  </si>
  <si>
    <t>.&gt;=0 and .&lt;25</t>
  </si>
  <si>
    <t>.&gt;=0 and .&lt;13</t>
  </si>
  <si>
    <t>.&gt;=0 and .&lt;161</t>
  </si>
  <si>
    <t>.&gt;=0 and .&lt;31</t>
  </si>
  <si>
    <t>f1_14_faci</t>
  </si>
  <si>
    <t>Please select the Staff's name</t>
  </si>
  <si>
    <t>f1_03_02a</t>
  </si>
  <si>
    <t>f1_03_01a</t>
  </si>
  <si>
    <t>f1_14_01_0_g</t>
  </si>
  <si>
    <t>f1_14_01_0</t>
  </si>
  <si>
    <t>a.</t>
  </si>
  <si>
    <t>b.</t>
  </si>
  <si>
    <t>c.</t>
  </si>
  <si>
    <t>d.</t>
  </si>
  <si>
    <t>e.</t>
  </si>
  <si>
    <t>f.</t>
  </si>
  <si>
    <t>g.</t>
  </si>
  <si>
    <t>h.</t>
  </si>
  <si>
    <t>i.</t>
  </si>
  <si>
    <t>NOT HAVE</t>
  </si>
  <si>
    <t>${f1_03_02k}+${f1_03_04k}</t>
  </si>
  <si>
    <t>(7.08o) Male under 1 outpatients</t>
  </si>
  <si>
    <t>(7.08i) Male under 1 inpatients</t>
  </si>
  <si>
    <t>(7.09o) Female under 1 outpatients</t>
  </si>
  <si>
    <t>(7.09i) Female under 1 inpatients</t>
  </si>
  <si>
    <t>.&gt;=0 and .&lt;41 and .&lt;=${f1_03_01a}</t>
  </si>
  <si>
    <t>.&gt;=0 and .&lt;41 and .&lt;=${f1_03_01b}</t>
  </si>
  <si>
    <t>.&gt;=0 and .&lt;41 and .&lt;=${f1_03_01c}</t>
  </si>
  <si>
    <t>.&gt;=0 and .&lt;41 and .&lt;=${f1_03_01d}</t>
  </si>
  <si>
    <t>.&gt;=0 and .&lt;41 and .&lt;=${f1_03_01e}</t>
  </si>
  <si>
    <t>.&gt;=0 and .&lt;41 and .&lt;=${f1_03_01f}</t>
  </si>
  <si>
    <t>.&gt;=0 and .&lt;41 and .&lt;=${f1_03_01g}</t>
  </si>
  <si>
    <t>.&gt;=0 and .&lt;41 and .&lt;=${f1_03_01h}</t>
  </si>
  <si>
    <t>.&gt;=0 and .&lt;41 and .&lt;=${f1_03_01i}</t>
  </si>
  <si>
    <t>.&gt;=0 and .&lt;41 and .&lt;=${f1_03_01j}</t>
  </si>
  <si>
    <t>.&gt;=0 and .&lt;41 and .&lt;=${f1_03_01k}</t>
  </si>
  <si>
    <t>.&gt;=0 and .&lt;41 and .&lt;=${f1_03_01l}</t>
  </si>
  <si>
    <t>.&gt;=0 and .&lt;41 and .&lt;=${f1_03_01m}</t>
  </si>
  <si>
    <t>.&gt;=0 and .&lt;41 and .&lt;=${f1_03_01n}</t>
  </si>
  <si>
    <t>.&gt;=0 and .&lt;41 and .&lt;=${f1_03_01o}</t>
  </si>
  <si>
    <t>.&gt;=0 and .&lt;41 and .&lt;=${f1_03_01p}</t>
  </si>
  <si>
    <t>.&gt;=0 and .&lt;41 and .&lt;=${f1_03_01q}</t>
  </si>
  <si>
    <t>.&gt;=0 and .&lt;41 and .&lt;=${f1_03_01r}</t>
  </si>
  <si>
    <t>.&gt;=0 and .&lt;41 and .&lt;=${f1_03_01s}</t>
  </si>
  <si>
    <t>.&gt;=0 and .&lt;41 and .&lt;=${f1_03_01t}</t>
  </si>
  <si>
    <t>.&gt;=0 and .&lt;41 and .&lt;=${f1_03_01u}</t>
  </si>
  <si>
    <t xml:space="preserve">${f1_14_13a}=0 or ${f1_14_14a} = 1 </t>
  </si>
  <si>
    <t xml:space="preserve">${f1_14_13b}=0 or ${f1_14_14b} = 1 </t>
  </si>
  <si>
    <t xml:space="preserve">${f1_14_13c}=0 or ${f1_14_14c} = 1 </t>
  </si>
  <si>
    <t xml:space="preserve">${f1_14_13d}=0 or ${f1_14_14d} = 1 </t>
  </si>
  <si>
    <t xml:space="preserve">${f1_14_13e}=0 or ${f1_14_14e} = 1 </t>
  </si>
  <si>
    <t xml:space="preserve">${f1_14_13f}=0 or ${f1_14_14f} = 1 </t>
  </si>
  <si>
    <t xml:space="preserve">${f1_14_13g}=0 or ${f1_14_14g} = 1 </t>
  </si>
  <si>
    <t xml:space="preserve">${f1_14_13h}=0 or ${f1_14_14h} = 1 </t>
  </si>
  <si>
    <t xml:space="preserve">${f1_14_13i}=0 or ${f1_14_14i} = 1 </t>
  </si>
  <si>
    <t xml:space="preserve">${f1_14_13j}=0 or ${f1_14_14j} = 1 </t>
  </si>
  <si>
    <t xml:space="preserve">${f1_14_13k}=0 or ${f1_14_14k} = 1 </t>
  </si>
  <si>
    <t xml:space="preserve">${f1_14_13l}=0 or ${f1_14_14l} = 1 </t>
  </si>
  <si>
    <t xml:space="preserve">${f1_14_13m}=0 or ${f1_14_14m} = 1 </t>
  </si>
  <si>
    <t>${f1_14_13n}=0 or ${f1_14_14n} = 1</t>
  </si>
  <si>
    <t xml:space="preserve">${f1_14_13o}=0 or ${f1_14_14o} = 1 </t>
  </si>
  <si>
    <t>${f1_14_13p}=0 or ${f1_14_14p} = 1</t>
  </si>
  <si>
    <t>${f1_14_13q}=0 or ${f1_14_14q} = 1</t>
  </si>
  <si>
    <t>${f1_14_13r}=0 or ${f1_14_14r} = 1</t>
  </si>
  <si>
    <t>${f1_14_13aa}=0 or ${f1_14_14aa} = 1</t>
  </si>
  <si>
    <t>${f1_14_13ab}=0 or ${f1_14_14ab} = 1</t>
  </si>
  <si>
    <t>${f1_14_13ac}=0 or ${f1_14_14ac} = 1</t>
  </si>
  <si>
    <t>${f1_14_13ad}=0 or ${f1_14_14ad} = 1</t>
  </si>
  <si>
    <t>${f1_14_13t}=0 or ${f1_14_14t} = 1</t>
  </si>
  <si>
    <t>${f1_14_13u}=0 or ${f1_14_14u} = 1</t>
  </si>
  <si>
    <t>${f1_14_13v}=0 or ${f1_14_14v} = 1</t>
  </si>
  <si>
    <t>${f1_14_13w}=0 or ${f1_14_14w} = 1</t>
  </si>
  <si>
    <t>${f1_14_13x}=0 or ${f1_14_14x} = 1</t>
  </si>
  <si>
    <t>${f1_14_13y}=0 or ${f1_14_14y} = 1</t>
  </si>
  <si>
    <t>${f1_14_13z}=0 or ${f1_14_14z} = 1</t>
  </si>
  <si>
    <t>${f1_14_13ae}=0 or ${f1_14_14ae} = 1</t>
  </si>
  <si>
    <t>${f1_14_13af}=0 or ${f1_14_14af} = 1</t>
  </si>
  <si>
    <t>${f1_14_13ag}=0 or ${f1_14_14ag} = 1</t>
  </si>
  <si>
    <t>${f1_14_13ah}=0 or ${f1_14_14ah} = 1</t>
  </si>
  <si>
    <t>${f1_14_13ai}=0 or ${f1_14_14ai} = 1</t>
  </si>
  <si>
    <t>${f1_14_13aj}=0 or ${f1_14_14aj} = 1</t>
  </si>
  <si>
    <t>${f1_14_13ak}=0 or ${f1_14_14ak} = 1</t>
  </si>
  <si>
    <t>${f1_14_13ak_1n}=0 or ${f1_14_14ak_1n} = 1</t>
  </si>
  <si>
    <t>${f1_14_13ak_2n}=0 or ${f1_14_14ak_2n} = 1</t>
  </si>
  <si>
    <t>${f1_14_13ak_3n}=0 or ${f1_14_14ak_3n} = 1</t>
  </si>
  <si>
    <t>${f1_14_13al}=0 or ${f1_14_14al} = 1</t>
  </si>
  <si>
    <t>${f1_14_13am}=0 or ${f1_14_14am} = 1</t>
  </si>
  <si>
    <t>${f1_14_13an}=0 or ${f1_14_14an} = 1</t>
  </si>
  <si>
    <t>${f1_14_13ao}=0 or ${f1_14_14ao} = 1</t>
  </si>
  <si>
    <t>${f1_14_13ap}=0 or ${f1_14_14ap} = 1</t>
  </si>
  <si>
    <t>save_incomplete</t>
  </si>
  <si>
    <t>SAVE &amp; EXIT</t>
  </si>
  <si>
    <t>save_exit</t>
  </si>
  <si>
    <t>FINISH &amp; EXIT</t>
  </si>
  <si>
    <t>${f1_01_50}&lt;7 or ${f1_01_50}=96</t>
  </si>
  <si>
    <t xml:space="preserve">.&gt;=0 </t>
  </si>
  <si>
    <t>Go back and correct the figure</t>
  </si>
  <si>
    <t>f1_5id</t>
  </si>
  <si>
    <t>Sorrry, Staff's name is required!</t>
  </si>
  <si>
    <t>(1.14) PLEASE GO BACK AND CORRECT QUESTION (1.13)</t>
  </si>
  <si>
    <t>(1.17) CANNOT BE GREATER THAN THE TOTAL AMOUNT IN QUESTION (1.14)</t>
  </si>
  <si>
    <t>(1.22) MAXIMUM 168 HOUR</t>
  </si>
  <si>
    <t>(1.26) MAXIMUM 168 HOUR</t>
  </si>
  <si>
    <t>(1.27) MINIMUM 0</t>
  </si>
  <si>
    <t>(1.30) MINIMUM 0</t>
  </si>
  <si>
    <t>(1.32) MAXIMUM 168 HOUR</t>
  </si>
  <si>
    <t>(1.36) RANGE 0 - 201</t>
  </si>
  <si>
    <t>(1.40) MAXIMUM 7 DAY</t>
  </si>
  <si>
    <t>(1.48) MAXIMUM 30 DAY</t>
  </si>
  <si>
    <t>(2.04) MAXIMUM 52</t>
  </si>
  <si>
    <t>(2.12) MAXIMUM 24</t>
  </si>
  <si>
    <t>(2.14) MAXIMUM 24</t>
  </si>
  <si>
    <t>(2.15) MAXIMUM 24</t>
  </si>
  <si>
    <t>(2.17) MAXIMUM 24</t>
  </si>
  <si>
    <t>(2.18) MAXIMUM 24</t>
  </si>
  <si>
    <t>(2.19) MAXIMUM 12</t>
  </si>
  <si>
    <t>(2.20) MAXIMUM 12</t>
  </si>
  <si>
    <t>(2.22) MAXIMUM 12</t>
  </si>
  <si>
    <t>(2.24) MAXIMUM 12</t>
  </si>
  <si>
    <t>(3.01a) MAXIMUM 200</t>
  </si>
  <si>
    <t>(3.03a) MAXIMUM 40</t>
  </si>
  <si>
    <t>(3.04a) MAXIMUM 40</t>
  </si>
  <si>
    <t>(3.05a) MAXIMUM 40</t>
  </si>
  <si>
    <t>(3.01b) MAXIMUM 200</t>
  </si>
  <si>
    <t>(3.03b) MAXIMUM 40</t>
  </si>
  <si>
    <t>(3.04b) MAXIMUM 40</t>
  </si>
  <si>
    <t>(3.05b) MAXIMUM 40</t>
  </si>
  <si>
    <t>(3.01c) MAXIMUM 200</t>
  </si>
  <si>
    <t>(3.03c) MAXIMUM 40</t>
  </si>
  <si>
    <t>(3.04c) MAXIMUM 40</t>
  </si>
  <si>
    <t>(3.05c) MAXIMUM 40</t>
  </si>
  <si>
    <t>(3.01d) MAXIMUM 200</t>
  </si>
  <si>
    <t>(3.03d) MAXIMUM 40</t>
  </si>
  <si>
    <t>(3.04d) MAXIMUM 40</t>
  </si>
  <si>
    <t>(3.05d) MAXIMUM 40</t>
  </si>
  <si>
    <t>(3.01e) MAXIMUM 200</t>
  </si>
  <si>
    <t>(3.03e) MAXIMUM 40</t>
  </si>
  <si>
    <t>(3.04e) MAXIMUM 40</t>
  </si>
  <si>
    <t>(3.05e) MAXIMUM 40</t>
  </si>
  <si>
    <t>(3.01f) MAXIMUM 200</t>
  </si>
  <si>
    <t>(3.03f) MAXIMUM 40</t>
  </si>
  <si>
    <t>(3.04f) MAXIMUM 40</t>
  </si>
  <si>
    <t>(3.05f) MAXIMUM 40</t>
  </si>
  <si>
    <t>(3.01g) MAXIMUM 200</t>
  </si>
  <si>
    <t>(3.03g) MAXIMUM 40</t>
  </si>
  <si>
    <t>(3.04g) MAXIMUM 40</t>
  </si>
  <si>
    <t>(3.05g) MAXIMUM 40</t>
  </si>
  <si>
    <t>(3.01h) MAXIMUM 200</t>
  </si>
  <si>
    <t>(3.03h) MAXIMUM 40</t>
  </si>
  <si>
    <t>(3.04h) MAXIMUM 40</t>
  </si>
  <si>
    <t>(3.05h) MAXIMUM 40</t>
  </si>
  <si>
    <t>(3.01i) MAXIMUM 200</t>
  </si>
  <si>
    <t>(3.03i) MAXIMUM 40</t>
  </si>
  <si>
    <t>(3.04i) MAXIMUM 40</t>
  </si>
  <si>
    <t>(3.05i) MAXIMUM 40</t>
  </si>
  <si>
    <t>(3.01j) MAXIMUM 200</t>
  </si>
  <si>
    <t>(3.04j) MAXIMUM 40</t>
  </si>
  <si>
    <t>(3.03j) MAXIMUM 40</t>
  </si>
  <si>
    <t>(3.05j) MAXIMUM 40</t>
  </si>
  <si>
    <t>(3.01k) MAXIMUM 200</t>
  </si>
  <si>
    <t>(3.04k) MAXIMUM 40</t>
  </si>
  <si>
    <t>(3.03k) MAXIMUM 40</t>
  </si>
  <si>
    <t>(3.05k) MAXIMUM 40</t>
  </si>
  <si>
    <t>(3.01l) MAXIMUM 200</t>
  </si>
  <si>
    <t>(3.05l) MAXIMUM 40</t>
  </si>
  <si>
    <t>(3.04l) MAXIMUM 40</t>
  </si>
  <si>
    <t>(3.03l) MAXIMUM 40</t>
  </si>
  <si>
    <t>(3.01m) MAXIMUM 200</t>
  </si>
  <si>
    <t>(3.03m) MAXIMUM 40</t>
  </si>
  <si>
    <t>(3.04m) MAXIMUM 40</t>
  </si>
  <si>
    <t>(3.05m) MAXIMUM 40</t>
  </si>
  <si>
    <t>(3.01n) MAXIMUM 200</t>
  </si>
  <si>
    <t>(3.03n) MAXIMUM 40</t>
  </si>
  <si>
    <t>(3.04n) MAXIMUM 40</t>
  </si>
  <si>
    <t>(3.05n) MAXIMUM 40</t>
  </si>
  <si>
    <t>(3.01o) MAXIMUM 200</t>
  </si>
  <si>
    <t>(3.03o) MAXIMUM 40</t>
  </si>
  <si>
    <t>(3.04o) MAXIMUM 40</t>
  </si>
  <si>
    <t>(3.05o) MAXIMUM 40</t>
  </si>
  <si>
    <t>(3.01p) MAXIMUM 200</t>
  </si>
  <si>
    <t>(3.03p) MAXIMUM 40</t>
  </si>
  <si>
    <t>(3.04p) MAXIMUM 40</t>
  </si>
  <si>
    <t>(3.05p) MAXIMUM 40</t>
  </si>
  <si>
    <t>(3.01q) MAXIMUM 200</t>
  </si>
  <si>
    <t>(3.04q) MAXIMUM 40</t>
  </si>
  <si>
    <t>(3.05q) MAXIMUM 40</t>
  </si>
  <si>
    <t>(3.03q) MAXIMUM 40</t>
  </si>
  <si>
    <t>(3.01r) MAXIMUM 200</t>
  </si>
  <si>
    <t>(3.04r) MAXIMUM 40</t>
  </si>
  <si>
    <t>(3.03r) MAXIMUM 40</t>
  </si>
  <si>
    <t>(3.05r) MAXIMUM 40</t>
  </si>
  <si>
    <t>(3.01s) MAXIMUM 200</t>
  </si>
  <si>
    <t>(3.04s) MAXIMUM 40</t>
  </si>
  <si>
    <t>(3.05s) MAXIMUM 40</t>
  </si>
  <si>
    <t>(3.03s) MAXIMUM 40</t>
  </si>
  <si>
    <t>(3.01t) MAXIMUM 200</t>
  </si>
  <si>
    <t>(3.04t) MAXIMUM 40</t>
  </si>
  <si>
    <t>(3.03t) MAXIMUM 40</t>
  </si>
  <si>
    <t>(3.05t) MAXIMUM 40</t>
  </si>
  <si>
    <t>(3.01u) MAXIMUM 200</t>
  </si>
  <si>
    <t>(3.03u) MAXIMUM 40</t>
  </si>
  <si>
    <t>(3.04u) MAXIMUM 40</t>
  </si>
  <si>
    <t>(3.05u) MAXIMUM 40</t>
  </si>
  <si>
    <t>(3.07) MAXIMUM 160</t>
  </si>
  <si>
    <t>(3.10) MINIMUM TOTAL MALE &amp; FEMALE 1</t>
  </si>
  <si>
    <t>(3.10) MINIMUM FEMALE  0</t>
  </si>
  <si>
    <t>(3.10) MINIMUM MALE 0</t>
  </si>
  <si>
    <t>THE NUMBER CANNOT LESS THAN OR EQUAL TO ZERO</t>
  </si>
  <si>
    <t>(4.04) RANGE 18-70</t>
  </si>
  <si>
    <t>(4.07) MAXIMUM 7 DAYS</t>
  </si>
  <si>
    <t>(4.13) MAXIMUM 5 SERVICES</t>
  </si>
  <si>
    <t>(5.01_1N) MINIMUM 0</t>
  </si>
  <si>
    <t>(6.05) MAXIMUM 30</t>
  </si>
  <si>
    <t>(6.08) MAXIMUM 7</t>
  </si>
  <si>
    <t>(6.09) MAXIMUM 7</t>
  </si>
  <si>
    <t>(6.09_N1) MINIMUM 0</t>
  </si>
  <si>
    <t>(6.15) MAXIMUM 30 DAYS</t>
  </si>
  <si>
    <t>(6.17) MAXUMUM 25 DAYS</t>
  </si>
  <si>
    <t>(6.18) MAXIMUM 185</t>
  </si>
  <si>
    <t>(6.23_2N) MINIMUM 0</t>
  </si>
  <si>
    <t>(6.27) MAXIMUM 30</t>
  </si>
  <si>
    <t>(6.40) MAXIMUM 30 DAY</t>
  </si>
  <si>
    <t>(7.02d) CANNOT LARGER THAN THE NUMBER IN (7.02c)</t>
  </si>
  <si>
    <t>(7.02e) CANNOT LARGER THAN THE NUMBER IN (7.02a)</t>
  </si>
  <si>
    <t>(7.02f) CANNOT LARGER THAN THE NUMBER IN (7.02e)</t>
  </si>
  <si>
    <t xml:space="preserve">(8.02a) MAXIMUM 7 </t>
  </si>
  <si>
    <t>(8.04a) MONTH 1 - IN: MINIMUM 0</t>
  </si>
  <si>
    <t>(8.04a) MONTH 1 - OUT: MINIMUM 0</t>
  </si>
  <si>
    <t>(8.04a) MONTH 2 - IN: MINIMUM 0</t>
  </si>
  <si>
    <t>(8.04a) MONTH 2 - OUT: MINIMUM 0</t>
  </si>
  <si>
    <t>(8.02b) MAXIMUM 7</t>
  </si>
  <si>
    <t>(8.03b) MINIMUM 0</t>
  </si>
  <si>
    <t>(8.04b) MONTH 1 - IN: MINIMUM 0</t>
  </si>
  <si>
    <t>(8.04b) MONTH 1 - OUT: MINIMUM 0</t>
  </si>
  <si>
    <t>(8.04b) MONTH 2 - IN: MINIMUM 0</t>
  </si>
  <si>
    <t>(8.04b) MONTH 2 - OUT: MINIMUM 0</t>
  </si>
  <si>
    <t>(8.02c) MAXIMUM 7</t>
  </si>
  <si>
    <t>(8.03c) MINIMUM 0</t>
  </si>
  <si>
    <t>(8.04c) MONTH 2 - IN: MINIMUM 0</t>
  </si>
  <si>
    <t>(8.04c) MONTH 1 - IN: MINIMUM 0</t>
  </si>
  <si>
    <t>(8.04c) MONTH 1 - OUT: MINIMUM 0</t>
  </si>
  <si>
    <t>(8.04c) MONTH 2 - OUT: MINIMUM 0</t>
  </si>
  <si>
    <t>(8.02d) MAXIMUM 7</t>
  </si>
  <si>
    <t>(8.03d) MINIMUM 0</t>
  </si>
  <si>
    <t>(8.04d) MONTH 1 - IN: MINIMUM 0</t>
  </si>
  <si>
    <t>(8.04d) MONTH 1 - OUT: MINIMUM 0</t>
  </si>
  <si>
    <t>(8.04d) MONTH 2 - IN: MINIMUM 0</t>
  </si>
  <si>
    <t>(8.04d) MONTH 2 - OUT: MINIMUM 0</t>
  </si>
  <si>
    <t>(8.02e) MAXIMUM 7</t>
  </si>
  <si>
    <t>(8.03e) MINIMUM 0</t>
  </si>
  <si>
    <t>(8.04e) MONTH 1 - IN: MINIMUM 0</t>
  </si>
  <si>
    <t>(8.04e) MONTH 1 - OUT: MINIMUM 0</t>
  </si>
  <si>
    <t>(8.04e) MONTH 2 - IN: MINIMUM 0</t>
  </si>
  <si>
    <t>(8.04e) MONTH 2 - OUT: MINIMUM 0</t>
  </si>
  <si>
    <t>(8.02f) MAXIMUM 7</t>
  </si>
  <si>
    <t>(8.03f) MINIMUM 0</t>
  </si>
  <si>
    <t>(8.04f) MONTH 1 - IN: MINIMUM 0</t>
  </si>
  <si>
    <t>(8.04f) MONTH 1 - OUT: MINIMUM 0</t>
  </si>
  <si>
    <t>(8.04f) MONTH 2 - IN: MINIMUM 0</t>
  </si>
  <si>
    <t>(8.04f) MONTH 2 - OUT: MINIMUM 0</t>
  </si>
  <si>
    <t>(8.02g) MAXIMUM 7</t>
  </si>
  <si>
    <t>(8.03g) MINIMUM 0</t>
  </si>
  <si>
    <t>(8.04g) MONTH 1 - IN: MINIMUM 0</t>
  </si>
  <si>
    <t>(8.04g) MONTH 1 - OUT: MINIMUM 0</t>
  </si>
  <si>
    <t>(8.04g) MONTH 2 - IN: MINIMUM 0</t>
  </si>
  <si>
    <t>(8.04g) MONTH 2 - OUT: MINIMUM 0</t>
  </si>
  <si>
    <t>(8.02h) MAXIMUM 7</t>
  </si>
  <si>
    <t>(8.03h) MINIMUM 0</t>
  </si>
  <si>
    <t>(8.04h) MONTH 1 - IN: MINIMUM 0</t>
  </si>
  <si>
    <t>(8.04h) MONTH 1 - OUT: MINIMUM 0</t>
  </si>
  <si>
    <t>(8.04h) MONTH 2 - IN: MINIMUM 0</t>
  </si>
  <si>
    <t>(8.04h) MONTH 2 - OUT: MINIMUM 0</t>
  </si>
  <si>
    <t>(8.04i) MONTH 1 - IN: MINIMUM 0</t>
  </si>
  <si>
    <t>(8.04i) MONTH 1 - OUT: MINIMUM 0</t>
  </si>
  <si>
    <t>(8.04i) MONTH 2 - IN: MINIMUM 0</t>
  </si>
  <si>
    <t>(8.04i) MONTH 2 - OUT: MINIMUM 0</t>
  </si>
  <si>
    <t>(8.02i) MAXIMUM 7</t>
  </si>
  <si>
    <t>(8.03i) MINIMUM 0</t>
  </si>
  <si>
    <t>(8.04j) MONTH 1 - IN: MINIMUM 0</t>
  </si>
  <si>
    <t>(8.04j) MONTH 1 - OUT: MINIMUM 0</t>
  </si>
  <si>
    <t>(8.04j) MONTH 2 - IN: MINIMUM 0</t>
  </si>
  <si>
    <t>(8.04j) MONTH 2 - OUT: MINIMUM 0</t>
  </si>
  <si>
    <t>(8.02j) MAXIMUM 7</t>
  </si>
  <si>
    <t>(8.03j) MINIMUM 0</t>
  </si>
  <si>
    <t>(8.02k) MAXIMUM 7</t>
  </si>
  <si>
    <t>(8.03k) MINIMUM 0</t>
  </si>
  <si>
    <t>(8.04k) MONTH 1 - IN: MINIMUM 0</t>
  </si>
  <si>
    <t>(8.04k) MONTH 1 - OUT: MINIMUM 0</t>
  </si>
  <si>
    <t>(8.04k) MONTH 2 - IN: MINIMUM 0</t>
  </si>
  <si>
    <t>(8.04k) MONTH 2 - OUT: MINIMUM 0</t>
  </si>
  <si>
    <t>(8.02l) MAXIMUM 7</t>
  </si>
  <si>
    <t>(8.03l) MINIMUM 0</t>
  </si>
  <si>
    <t>(8.04l) MONTH 1 - IN: MINIMUM 0</t>
  </si>
  <si>
    <t>(8.04l) MONTH 1 - OUT: MINIMUM 0</t>
  </si>
  <si>
    <t>(8.04l) MONTH 2 - IN: MINIMUM 0</t>
  </si>
  <si>
    <t>(8.04l) MONTH 2 - OUT: MINIMUM 0</t>
  </si>
  <si>
    <t>(8.02m) MAXIMUM 7</t>
  </si>
  <si>
    <t>(8.03m) MINIMUM 0</t>
  </si>
  <si>
    <t>(8.04m) MONTH 1 - IN: MINIMUM 0</t>
  </si>
  <si>
    <t>(8.04m) MONTH 1 - OUT: MINIMUM 0</t>
  </si>
  <si>
    <t>(8.04m) MONTH 2 - IN: MINIMUM 0</t>
  </si>
  <si>
    <t>(8.04m) MONTH 2 - OUT: MINIMUM 0</t>
  </si>
  <si>
    <t>(8.02n) MAXIMUM 7</t>
  </si>
  <si>
    <t>(8.03n) MINIMUM 0</t>
  </si>
  <si>
    <t>(8.04n) MONTH 1 - IN: MINIMUM 0</t>
  </si>
  <si>
    <t>(8.04n) MONTH 1 - OUT: MINIMUM 0</t>
  </si>
  <si>
    <t>(8.04n) MONTH 2 - IN: MINIMUM 0</t>
  </si>
  <si>
    <t>(8.04n) MONTH 2 - OUT: MINIMUM 0</t>
  </si>
  <si>
    <t>(8.02o) MAXIMUM 7</t>
  </si>
  <si>
    <t>(8.03o) MINIMUM 0</t>
  </si>
  <si>
    <t>(8.04o) MONTH 1 - IN: MINIMUM 0</t>
  </si>
  <si>
    <t>(8.04o) MONTH 1 - OUT: MINIMUM 0</t>
  </si>
  <si>
    <t>(8.04o) MONTH 2 - IN: MINIMUM 0</t>
  </si>
  <si>
    <t>(8.04o) MONTH 2 - OUT: MINIMUM 0</t>
  </si>
  <si>
    <t>(8.02p) MAXIMUM 7</t>
  </si>
  <si>
    <t>(8.03p) MINIMUM 0</t>
  </si>
  <si>
    <t>(8.04p) MONTH 1 - IN: MINIMUM 0</t>
  </si>
  <si>
    <t>(8.04p) MONTH 1 - OUT: MINIMUM 0</t>
  </si>
  <si>
    <t>(8.04p) MONTH 2 - IN: MINIMUM 0</t>
  </si>
  <si>
    <t>(8.04p) MONTH 2 - OUT: MINIMUM 0</t>
  </si>
  <si>
    <t>(8.02q) MAXIMUM 7</t>
  </si>
  <si>
    <t>(8.03q) MINIMUM 0</t>
  </si>
  <si>
    <t>(8.04q) MONTH 1 - IN: MINIMUM 0</t>
  </si>
  <si>
    <t>(8.04q) MONTH 1 - OUT: MINIMUM 0</t>
  </si>
  <si>
    <t>(8.04q) MONTH 2 - IN: MINIMUM 0</t>
  </si>
  <si>
    <t>(8.04q) MONTH 2 - OUT: MINIMUM 0</t>
  </si>
  <si>
    <t>(8.02r) MAXIMUM 7</t>
  </si>
  <si>
    <t>(8.03r) MINIMUM 0</t>
  </si>
  <si>
    <t>(8.04r) MONTH 1 - IN: MINIMUM 0</t>
  </si>
  <si>
    <t>(8.04r) MONTH 1 - OUT: MINIMUM 0</t>
  </si>
  <si>
    <t>(8.04r) MONTH 2 - IN: MINIMUM 0</t>
  </si>
  <si>
    <t>(8.04r) MONTH 2 - OUT: MINIMUM 0</t>
  </si>
  <si>
    <t>(8.02s) MAXIMUM 7</t>
  </si>
  <si>
    <t>(8.03s) MINIMUM 0</t>
  </si>
  <si>
    <t>(8.04s) MONTH 1 - IN: MINIMUM 0</t>
  </si>
  <si>
    <t>(8.04s) MONTH 1 - OUT: MINIMUM 0</t>
  </si>
  <si>
    <t>(8.04s) MONTH 2 - IN: MINIMUM 0</t>
  </si>
  <si>
    <t>(8.04s) MONTH 2 - OUT: MINIMUM 0</t>
  </si>
  <si>
    <t>(8.02t) MAXIMUM 7</t>
  </si>
  <si>
    <t>(8.03t) MINIMUM 0</t>
  </si>
  <si>
    <t>(8.04t) MONTH 1 - IN: MINIMUM 0</t>
  </si>
  <si>
    <t>(8.04t) MONTH 1 - OUT: MINIMUM 0</t>
  </si>
  <si>
    <t>(8.04t) MONTH 2 - IN: MINIMUM 0</t>
  </si>
  <si>
    <t>(8.04t) MONTH 2 - OUT: MINIMUM 0</t>
  </si>
  <si>
    <t>(8.02u) MAXIMUM 7</t>
  </si>
  <si>
    <t>(8.03u) MINIMUM 0</t>
  </si>
  <si>
    <t>(8.04u) MONTH 1 - IN: MINIMUM 0</t>
  </si>
  <si>
    <t>(8.04u) MONTH 1 - OUT: MINIMUM 0</t>
  </si>
  <si>
    <t>(8.04u) MONTH 2 - IN: MINIMUM 0</t>
  </si>
  <si>
    <t>(8.04u) MONTH 2 - OUT: MINIMUM 0</t>
  </si>
  <si>
    <t>(8.04w) MONTH 1 - IN: MINIMUM 0</t>
  </si>
  <si>
    <t>(8.04w) MONTH 1 - OUT: MINIMUM 0</t>
  </si>
  <si>
    <t>(8.04w) MONTH 2 - IN: MINIMUM 0</t>
  </si>
  <si>
    <t>(8.04w) MONTH 2 - OUT: MINIMUM 0</t>
  </si>
  <si>
    <t>(8.04x) MONTH 1 - IN: MINIMUM 0</t>
  </si>
  <si>
    <t>(8.04x) MONTH 1 - OUT: MINIMUM 0</t>
  </si>
  <si>
    <t>(8.04x) MONTH 2 - IN: MINIMUM 0</t>
  </si>
  <si>
    <t>(8.04x) MONTH 2 - OUT: MINIMUM 0</t>
  </si>
  <si>
    <t>(8.04y) MONTH 1 - IN: MINIMUM 0</t>
  </si>
  <si>
    <t>(8.04y) MONTH 1 - OUT: MINIMUM 0</t>
  </si>
  <si>
    <t>(8.04y) MONTH 2 - IN: MINIMUM 0</t>
  </si>
  <si>
    <t>(8.04y) MONTH 2 - OUT: MINIMUM 0</t>
  </si>
  <si>
    <t>(8.04aa) MONTH 1 - IN: MINIMUM 0</t>
  </si>
  <si>
    <t>(8.04aa) MONTH 1 - OUT: MINIMUM 0</t>
  </si>
  <si>
    <t>(8.04aa) MONTH 2 - IN: MINIMUM 0</t>
  </si>
  <si>
    <t>(8.04aa) MONTH 2 - OUT: MINIMUM 0</t>
  </si>
  <si>
    <t>(8.04ab) MONTH 1 - IN: MINIMUM 0</t>
  </si>
  <si>
    <t>(8.04ab) MONTH 1 - OUT: MINIMUM 0</t>
  </si>
  <si>
    <t>(8.04ab) MONTH 2 - IN: MINIMUM 0</t>
  </si>
  <si>
    <t>(8.04ab) MONTH 2 - OUT: MINIMUM 0</t>
  </si>
  <si>
    <t>(8.04ac) MONTH 1 - IN: MINIMUM 0</t>
  </si>
  <si>
    <t>(8.04ac) MONTH 1 - OUT: MINIMUM 0</t>
  </si>
  <si>
    <t>(8.04ac) MONTH 2 - IN: MINIMUM 0</t>
  </si>
  <si>
    <t>(8.04ac) MONTH 2 - OUT: MINIMUM 0</t>
  </si>
  <si>
    <t>(8.04ad) MONTH 1 - IN: MINIMUM 0</t>
  </si>
  <si>
    <t>(8.04ad) MONTH 1 - OUT: MINIMUM 0</t>
  </si>
  <si>
    <t>(8.04ad) MONTH 2 - IN: MINIMUM 0</t>
  </si>
  <si>
    <t>(8.04ad) MONTH 2 - OUT: MINIMUM 0</t>
  </si>
  <si>
    <t>(8.04ae) MONTH 1 - IN: MINIMUM 0</t>
  </si>
  <si>
    <t>(8.04ae) MONTH 1 - OUT: MINIMUM 0</t>
  </si>
  <si>
    <t>(8.04ae) MONTH 2 - IN: MINIMUM 0</t>
  </si>
  <si>
    <t>(8.04ae) MONTH 2 - OUT: MINIMUM 0</t>
  </si>
  <si>
    <t>(8.04af) MONTH 1 - IN: MINIMUM 0</t>
  </si>
  <si>
    <t>(8.04af) MONTH 1 - OUT: MINIMUM 0</t>
  </si>
  <si>
    <t>(8.04af) MONTH 2 - IN: MINIMUM 0</t>
  </si>
  <si>
    <t>(8.04af) MONTH 2 - OUT: MINIMUM 0</t>
  </si>
  <si>
    <t>(8.04aj) MONTH 1 - IN: MINIMUM 0</t>
  </si>
  <si>
    <t>(8.04aj) MONTH 1 - OUT: MINIMUM 0</t>
  </si>
  <si>
    <t>(8.04aj) MONTH 2 - IN: MINIMUM 0</t>
  </si>
  <si>
    <t>(8.04aj) MONTH 2 - OUT: MINIMUM 0</t>
  </si>
  <si>
    <t>(8.04a) MONTH 3 - IN: MINIMUM 0</t>
  </si>
  <si>
    <t>(8.04a) MONTH 3 - OUT: MINIMUM 0</t>
  </si>
  <si>
    <t>(8.04b) MONTH 3 - IN: MINIMUM 0</t>
  </si>
  <si>
    <t>(8.04b) MONTH 3 - OUT: MINIMUM 0</t>
  </si>
  <si>
    <t>(8.04c) MONTH 3 - IN: MINIMUM 0</t>
  </si>
  <si>
    <t>(8.04c) MONTH 3 - OUT: MINIMUM 0</t>
  </si>
  <si>
    <t>(8.04d) MONTH 3 - IN: MINIMUM 0</t>
  </si>
  <si>
    <t>(8.04d) MONTH 3 - OUT: MINIMUM 0</t>
  </si>
  <si>
    <t>(8.04e) MONTH 3 - IN: MINIMUM 0</t>
  </si>
  <si>
    <t>(8.04e) MONTH 3 - OUT: MINIMUM 0</t>
  </si>
  <si>
    <t>(8.04f) MONTH 3 - IN: MINIMUM 0</t>
  </si>
  <si>
    <t>(8.04f) MONTH 3 - OUT: MINIMUM 0</t>
  </si>
  <si>
    <t>(8.04g) MONTH 3 - IN: MINIMUM 0</t>
  </si>
  <si>
    <t>(8.04g) MONTH 3 - OUT: MINIMUM 0</t>
  </si>
  <si>
    <t>(8.04h) MONTH 3 - IN: MINIMUM 0</t>
  </si>
  <si>
    <t>(8.04h) MONTH 3 - OUT: MINIMUM 0</t>
  </si>
  <si>
    <t>(8.04i) MONTH 3 - IN: MINIMUM 0</t>
  </si>
  <si>
    <t>(8.04i) MONTH 3 - OUT: MINIMUM 0</t>
  </si>
  <si>
    <t>(8.04j) MONTH 3 - IN: MINIMUM 0</t>
  </si>
  <si>
    <t>(8.04j) MONTH 3 - OUT: MINIMUM 0</t>
  </si>
  <si>
    <t>(8.04k) MONTH 3 - IN: MINIMUM 0</t>
  </si>
  <si>
    <t>(8.04k) MONTH 3 - OUT: MINIMUM 0</t>
  </si>
  <si>
    <t>(8.04l) MONTH 3 - IN: MINIMUM 0</t>
  </si>
  <si>
    <t>(8.04l) MONTH 3 - OUT: MINIMUM 0</t>
  </si>
  <si>
    <t>(8.04m) MONTH 3 - IN: MINIMUM 0</t>
  </si>
  <si>
    <t>(8.04m) MONTH 3 - OUT: MINIMUM 0</t>
  </si>
  <si>
    <t>(8.04n) MONTH 3 - IN: MINIMUM 0</t>
  </si>
  <si>
    <t>(8.04n) MONTH 3 - OUT: MINIMUM 0</t>
  </si>
  <si>
    <t>(8.04o) MONTH 3 - IN: MINIMUM 0</t>
  </si>
  <si>
    <t>(8.04o) MONTH 3 - OUT: MINIMUM 0</t>
  </si>
  <si>
    <t>(8.04p) MONTH 3 - IN: MINIMUM 0</t>
  </si>
  <si>
    <t>(8.04p) MONTH 3 - OUT: MINIMUM 0</t>
  </si>
  <si>
    <t>(8.04q) MONTH 3 - IN: MINIMUM 0</t>
  </si>
  <si>
    <t>(8.04q) MONTH 3 - OUT: MINIMUM 0</t>
  </si>
  <si>
    <t>(8.04r) MONTH 3 - IN: MINIMUM 0</t>
  </si>
  <si>
    <t>(8.04r) MONTH 3 - OUT: MINIMUM 0</t>
  </si>
  <si>
    <t>(8.04s) MONTH 3 - IN: MINIMUM 0</t>
  </si>
  <si>
    <t>(8.04s) MONTH 3 - OUT: MINIMUM 0</t>
  </si>
  <si>
    <t>(8.04t) MONTH 3 - IN: MINIMUM 0</t>
  </si>
  <si>
    <t>(8.04t) MONTH 3 - OUT: MINIMUM 0</t>
  </si>
  <si>
    <t>(8.04u) MONTH 3 - IN: MINIMUM 0</t>
  </si>
  <si>
    <t>(8.04u) MONTH 3 - OUT: MINIMUM 0</t>
  </si>
  <si>
    <t>(8.04w) MONTH 3 - IN: MINIMUM 0</t>
  </si>
  <si>
    <t>(8.04w) MONTH 3 - OUT: MINIMUM 0</t>
  </si>
  <si>
    <t>(8.04x) MONTH 3 - IN: MINIMUM 0</t>
  </si>
  <si>
    <t>(8.04x) MONTH 3 - OUT: MINIMUM 0</t>
  </si>
  <si>
    <t>(8.04y) MONTH 3 - IN: MINIMUM 0</t>
  </si>
  <si>
    <t>(8.04y) MONTH 3 - OUT: MINIMUM 0</t>
  </si>
  <si>
    <t>(8.04aa) MONTH 3 - IN: MINIMUM 0</t>
  </si>
  <si>
    <t>(8.04aa) MONTH 3 - OUT: MINIMUM 0</t>
  </si>
  <si>
    <t>(8.04ab) MONTH 3 - IN: MINIMUM 0</t>
  </si>
  <si>
    <t>(8.04ab) MONTH 3 - OUT: MINIMUM 0</t>
  </si>
  <si>
    <t>(8.04ac) MONTH 3 - IN: MINIMUM 0</t>
  </si>
  <si>
    <t>(8.04ac) MONTH 3 - OUT: MINIMUM 0</t>
  </si>
  <si>
    <t>(8.04ad) MONTH 3 - IN: MINIMUM 0</t>
  </si>
  <si>
    <t>(8.04ad) MONTH 3 - OUT: MINIMUM 0</t>
  </si>
  <si>
    <t>(8.04ae) MONTH 3 - IN: MINIMUM 0</t>
  </si>
  <si>
    <t>(8.04ae) MONTH 3 - OUT: MINIMUM 0</t>
  </si>
  <si>
    <t>(8.04af) MONTH 3 - IN: MINIMUM 0</t>
  </si>
  <si>
    <t>(8.04af) MONTH 3 - OUT: MINIMUM 0</t>
  </si>
  <si>
    <t>(8.04aj) MONTH 3 - IN: MINIMUM 0</t>
  </si>
  <si>
    <t>(8.04aj) MONTH 3 - OUT: MINIMUM 0</t>
  </si>
  <si>
    <t>(8.04ak) MONTH 1 - IN: MINIMUM 0</t>
  </si>
  <si>
    <t>(8.04ak) MONTH 1 - OUT: MINIMUM 0</t>
  </si>
  <si>
    <t>(8.04ak) MONTH 2 - IN: MINIMUM 0</t>
  </si>
  <si>
    <t>(8.04ak) MONTH 2 - OUT: MINIMUM 0</t>
  </si>
  <si>
    <t>(8.04ak) MONTH 3 - IN: MINIMUM 0</t>
  </si>
  <si>
    <t>(8.04ak) MONTH 3 - OUT: MINIMUM 0</t>
  </si>
  <si>
    <t>(8.04al) MONTH 1 - IN: MINIMUM 0</t>
  </si>
  <si>
    <t>(8.04al) MONTH 1 - OUT: MINIMUM 0</t>
  </si>
  <si>
    <t>(8.04al) MONTH 2 - IN: MINIMUM 0</t>
  </si>
  <si>
    <t>(8.04al) MONTH 2 - OUT: MINIMUM 0</t>
  </si>
  <si>
    <t>(8.04al) MONTH 3 - IN: MINIMUM 0</t>
  </si>
  <si>
    <t>(8.04al) MONTH 3 - OUT: MINIMUM 0</t>
  </si>
  <si>
    <t>(8.04am) MONTH 1 - IN: MINIMUM 0</t>
  </si>
  <si>
    <t>(8.04am) MONTH 1 - OUT: MINIMUM 0</t>
  </si>
  <si>
    <t>(8.04am) MONTH 2 - IN: MINIMUM 0</t>
  </si>
  <si>
    <t>(8.04am) MONTH 2 - OUT: MINIMUM 0</t>
  </si>
  <si>
    <t>(8.04am) MONTH 3 - IN: MINIMUM 0</t>
  </si>
  <si>
    <t>(8.04am) MONTH 3 - OUT: MINIMUM 0</t>
  </si>
  <si>
    <t>(8.04an) MONTH 1 - IN: MINIMUM 0</t>
  </si>
  <si>
    <t>(8.04an) MONTH 1 - OUT: MINIMUM 0</t>
  </si>
  <si>
    <t>(8.04an) MONTH 2 - IN: MINIMUM 0</t>
  </si>
  <si>
    <t>(8.04an) MONTH 2 - OUT: MINIMUM 0</t>
  </si>
  <si>
    <t>(8.04an) MONTH 3 - IN: MINIMUM 0</t>
  </si>
  <si>
    <t>(8.04an) MONTH 3 - OUT: MINIMUM 0</t>
  </si>
  <si>
    <t>(8.04ao) MONTH 1 - IN: MINIMUM 0</t>
  </si>
  <si>
    <t>(8.04ao) MONTH 1 - OUT: MINIMUM 0</t>
  </si>
  <si>
    <t>(8.04ao) MONTH 2 - IN: MINIMUM 0</t>
  </si>
  <si>
    <t>(8.04ao) MONTH 2 - OUT: MINIMUM 0</t>
  </si>
  <si>
    <t>(8.04ao) MONTH 3 - IN: MINIMUM 0</t>
  </si>
  <si>
    <t>(8.04ao) MONTH 3 - OUT: MINIMUM 0</t>
  </si>
  <si>
    <t>(9.06) MAXIMUM 100</t>
  </si>
  <si>
    <t>(12.09) MUST BE SMALLER THAN OR EQUAL TO THE NUMBER OF BEDS IN QUESTION (12.07)</t>
  </si>
  <si>
    <t>(12.10) CHECK THE VALUE OF THE BED IN QUESTION (12.07) (12.09) (12.10). SUM OF VALUE QUESTION (12.09) AND (12.10) MUST BE EQUAL TO VALUE QUESTION (12.07)</t>
  </si>
  <si>
    <t>(14.15a) MAXIMUM 30</t>
  </si>
  <si>
    <t>(14.15b) MAXIMUM 30</t>
  </si>
  <si>
    <t>(14.15c) MAXIMUM 30</t>
  </si>
  <si>
    <t>(14.15d) MAXIMUM 30</t>
  </si>
  <si>
    <t>(14.15e) MAXIMUM 30</t>
  </si>
  <si>
    <t>(14.15f) MAXIMUM 30</t>
  </si>
  <si>
    <t>(14.15g) MAXIMUM 30</t>
  </si>
  <si>
    <t>(14.15h) MAXIMUM 30</t>
  </si>
  <si>
    <t>(14.15i) MAXIMUM 30</t>
  </si>
  <si>
    <t>(14.15j) MAXIMUM 30</t>
  </si>
  <si>
    <t>(14.15k) MAXIMUM 30</t>
  </si>
  <si>
    <t>(14.15m) MAXIMUM 30</t>
  </si>
  <si>
    <t>(14.15l) MAXIMUM 30</t>
  </si>
  <si>
    <t>(14.15n) MAXIMUM 30</t>
  </si>
  <si>
    <t>(14.15o) MAXIMUM 30</t>
  </si>
  <si>
    <t>(14.15p) MAXIMUM 30</t>
  </si>
  <si>
    <t>(14.15q) MAXIMUM 30</t>
  </si>
  <si>
    <t>(14.15r) MAXIMUM 30</t>
  </si>
  <si>
    <t>(14.15aa) MAXIMUM 30</t>
  </si>
  <si>
    <t>(14.15ab) MAXIMUM 30</t>
  </si>
  <si>
    <t>(14.15ac) MAXIMUM 30</t>
  </si>
  <si>
    <t>(14.15ad) MAXIMUM 30</t>
  </si>
  <si>
    <t>(14.15t) MAXIMUM 30</t>
  </si>
  <si>
    <t>(14.15u) MAXIMUM 30</t>
  </si>
  <si>
    <t>(14.15v) MAXIMUM 30</t>
  </si>
  <si>
    <t>(14.15w) MAXIMUM 30</t>
  </si>
  <si>
    <t>(14.15x) MAXIMUM 30</t>
  </si>
  <si>
    <t>(14.15y) MAXIMUM 30</t>
  </si>
  <si>
    <t>(14.15z) MAXIMUM 30</t>
  </si>
  <si>
    <t>(14.15ae) MAXIMUM 30</t>
  </si>
  <si>
    <t>(14.15af) MAXIMUM 30</t>
  </si>
  <si>
    <t>(14.15ag) MAXIMUM 30</t>
  </si>
  <si>
    <t>(14.15ah) MAXIMUM 30</t>
  </si>
  <si>
    <t>(14.15ai) MAXIMUM 30</t>
  </si>
  <si>
    <t>(14.15aj) MAXIMUM 30</t>
  </si>
  <si>
    <t>(14.15ak) MAXIMUM 30</t>
  </si>
  <si>
    <t>(14.15ak_1n) MAXIMUM 30</t>
  </si>
  <si>
    <t>(14.15ak_2n) MAXIMUM 30</t>
  </si>
  <si>
    <t>(14.15ak_3n) MAXIMUM 30</t>
  </si>
  <si>
    <t>(14.15al) MAXIMUM 30</t>
  </si>
  <si>
    <t>(14.15am) MAXIMUM 30</t>
  </si>
  <si>
    <t>(14.15an) MAXIMUM 30</t>
  </si>
  <si>
    <t>(14.15ao) MAXIMUM 30</t>
  </si>
  <si>
    <t>(14.15ap) MAXIMUM 30</t>
  </si>
  <si>
    <t>endtime_str</t>
  </si>
  <si>
    <t>string(format-date-time(${endtime},'%d/%m/%Y %H:%M:%S'))</t>
  </si>
  <si>
    <t>Classified employee (TB/Leprosy Inspector)</t>
  </si>
  <si>
    <t>f1_02_32</t>
  </si>
  <si>
    <t>f1_03_06a</t>
  </si>
  <si>
    <t>${f1_04_05}=96</t>
  </si>
  <si>
    <t>If investment occurred more than 1 year ago, only record the most recent year of investment</t>
  </si>
  <si>
    <t>.&gt;0 and .&lt;=30</t>
  </si>
  <si>
    <t>FOR EACH TYPE OF POSITION LISTED BELOW, ASK QUESTIONS (3.01) TO (3.06). IF ZERO, RECORD 0.</t>
  </si>
  <si>
    <t xml:space="preserve">INTERVIEWER: READ ALL OPTIONS ALOUD. </t>
  </si>
  <si>
    <t>&lt;b&gt;&lt;font&gt;RESPONDENT: HEAD OF THE HEALTH FACILITY OR HIS/HER DEPUTY IF ABSENT OR UNAVAILABLE.&lt;/font&gt;&lt;b&gt;</t>
  </si>
  <si>
    <t>&lt;b&gt;&lt;font color='#0B3B24'&gt;&lt;big&gt;Section 2: ADMINISTRATION AND MANAGEMENT&lt;/big&gt;&lt;/font&gt;&lt;b&gt;</t>
  </si>
  <si>
    <t xml:space="preserve">&lt;b&gt;&lt;font color='#610B0B'&gt;RESPONDENT: HEAD OF THE HEALTH FACILITY OR HIS/HER DEPUTY IF ABSENT OR UNAVAILABLE.&lt;/font&gt;&lt;b&gt;
</t>
  </si>
  <si>
    <t>&lt;b&gt;&lt;font color='#0B3B24'&gt;&lt;big&gt;Section 3: HUMAN RESOURCES&lt;/big&gt;&lt;/font&gt;&lt;b&gt;</t>
  </si>
  <si>
    <t xml:space="preserve">&lt;b&gt;&lt;font color='#610B0B'&gt;RESPONDENT: HEAD OF HUMAN RESOURCES, HEAD OF THE FACILITY OR BEST INFORMED STAFF MEMBER&lt;/font&gt;&lt;b&gt;
</t>
  </si>
  <si>
    <t>&lt;b&gt;&lt;font color='#0B3B24'&gt;&lt;big&gt;Section 4: STAFF ROSTER&lt;/big&gt;&lt;/font&gt;&lt;b&gt;</t>
  </si>
  <si>
    <t>&lt;b&gt;&lt;font color='#610B0B'&gt;SUBJECT: ALL STAFF MEMBERS WORKING IN THE HEALTH FACILITY, WHETHER TEMPORARY OR PERMANENT, STARTING WITH THE HEAD OF THE FACILITY&lt;/font&gt;&lt;b&gt;&lt;p&gt;RESPONDENT: HEAD OF FACILITY OR BEST INFORMED STAFF MEMBER&lt;/p&gt;</t>
  </si>
  <si>
    <t>&lt;b&gt;&lt;font color='#0B3B24'&gt;&lt;big&gt;Section 5: LABORATORY&lt;/big&gt;&lt;/font&gt;&lt;b&gt;</t>
  </si>
  <si>
    <t>type</t>
  </si>
  <si>
    <t>f1_07_02_alert</t>
  </si>
  <si>
    <t>(5.01_3N) MUST BE LARGER THAN 0 AND CANNOT EXCEED 30 DAYS</t>
  </si>
  <si>
    <t>.&gt;0 and .&lt;=168</t>
  </si>
  <si>
    <t>.&gt;0 and .&lt;=7</t>
  </si>
  <si>
    <t>&lt;font color='#000000'&gt;&lt;b&gt;(A) General&lt;/b&gt;&lt;/font&gt;</t>
  </si>
  <si>
    <t>(5.01_3N) RANGE 1 - 30</t>
  </si>
  <si>
    <t>select_multiple staff</t>
  </si>
  <si>
    <t>&lt;b&gt;&lt;font color='#0B3B24'&gt;&lt;big&gt;Section 14: DRUG AND VACCINE STORAGE AND AVAILABILITY&lt;/big&gt;&lt;/font&gt;&lt;b&gt;</t>
  </si>
  <si>
    <t>&lt;b&gt;&lt;font color='#610B0B'&gt;RESPONDENT: PHARMACIST, PHARMACY ASSISTANT, PHARMACY TECHNICIAN, PUBLIC HEALTH OFFICER, OR BEST INFORMED STAFF MEMBER AND HEAD OF FACILITY. IF THE PHARMACIST OR PUBLIC HEALTH OFFICER IS NOT THERE AND THE HEAD OF FACILITY CANNOT ANSWER ALL THE QUESTIONS, PLEASE RETURN ON ANOTHER DAY TO FOLLOW UP WITH THEM.&lt;/font&gt;&lt;b&gt;</t>
  </si>
  <si>
    <t>&lt;b&gt;&lt;font&gt;Now I would like to ask you some questions about drug storage and availability in this facility.&lt;/font&gt;&lt;b&gt;</t>
  </si>
  <si>
    <t>&lt;b&gt;&lt;font&gt;INTERVIEWER: CHECK FOR SEPARATE VACCINE STORAGE AREA.  ENSURE THAT ALL DRUGS/COMMODITIES ARE INCLUDED.&lt;/font&gt;&lt;b&gt;</t>
  </si>
  <si>
    <t>&lt;b&gt;&lt;font color='#610B0B'&gt;&lt;big&gt;GENERAL DRUGS&lt;/big&gt;&lt;/font&gt;&lt;b&gt;</t>
  </si>
  <si>
    <t>&lt;font color='#000000'&gt;&lt;b&gt;Tetracycline ophthalmic ointment&lt;/b&gt;&lt;&lt;/f&gt;</t>
  </si>
  <si>
    <t>&lt;font color='#000000'&gt;&lt;b&gt;Paracetamol (Panadol) tabs&lt;/b&gt;&lt;/f&gt;</t>
  </si>
  <si>
    <t>&lt;font color='#000000'&gt;&lt;b&gt;Amoxicillin (tabs or capsule)&lt;/b&gt;&lt;/f&gt;</t>
  </si>
  <si>
    <t>&lt;font color='#000000'&gt;&lt;b&gt;Amoxicillin (syrup)&lt;/b&gt;&lt;/f&gt;</t>
  </si>
  <si>
    <t>&lt;font color='#000000'&gt;&lt;b&gt;Oral Rehydration Solution (ORS) packets&lt;/b&gt;&lt;/f&gt;</t>
  </si>
  <si>
    <t>&lt;font color='#000000'&gt;&lt;b&gt;Iron tabs (with or without folic acid)&lt;/b&gt;&lt;/f&gt;</t>
  </si>
  <si>
    <t>&lt;font color='#000000'&gt;&lt;b&gt;Folic acid tabs&lt;/b&gt;&lt;/f&gt;</t>
  </si>
  <si>
    <t>&lt;font color='#000000'&gt;&lt;b&gt;Other antibiotics besides Amoxicillin&lt;/b&gt;&lt;/f&gt;</t>
  </si>
  <si>
    <t>&lt;font color='#000000'&gt;&lt;b&gt;Vitamin A&lt;/b&gt;&lt;/f&gt;</t>
  </si>
  <si>
    <t>&lt;font color='#000000'&gt;&lt;b&gt;Mebendazole&lt;/b&gt;&lt;/f&gt;</t>
  </si>
  <si>
    <t>&lt;font color='#000000'&gt;&lt;b&gt;Condoms male&lt;/b&gt;&lt;/f&gt;</t>
  </si>
  <si>
    <t>&lt;font color='#000000'&gt;&lt;b&gt;Condoms female&lt;/b&gt;&lt;/f&gt;</t>
  </si>
  <si>
    <t>&lt;font color='#000000'&gt;&lt;b&gt;Oral contraceptive tablets&lt;/b&gt;&lt;/f&gt;</t>
  </si>
  <si>
    <t>&lt;font color='#000000'&gt;&lt;b&gt;Depot Medroxyprogesterone Acetate (DMPA)&lt;/b&gt;&lt;/f&gt;</t>
  </si>
  <si>
    <t>&lt;font color='#000000'&gt;&lt;b&gt;Implant - Jadelle&lt;/b&gt;&lt;/f&gt;</t>
  </si>
  <si>
    <t>&lt;font color='#000000'&gt;&lt;b&gt;Intrauterine Contraceptive Device (IUCD)&lt;/b&gt;&lt;/f&gt;</t>
  </si>
  <si>
    <t>&lt;font color='#000000'&gt;&lt;b&gt;Coartem&lt;/b&gt;&lt;/f&gt;</t>
  </si>
  <si>
    <t>&lt;font color='#000000'&gt;&lt;b&gt;Fansidar&lt;/b&gt;&lt;/f&gt;</t>
  </si>
  <si>
    <t>&lt;font color='#000000'&gt;&lt;b&gt;Magnesium Sulfate&lt;/b&gt;&lt;/f&gt;</t>
  </si>
  <si>
    <t>&lt;font color='#000000'&gt;&lt;b&gt;Diazepam Injection&lt;/b&gt;&lt;/f&gt;</t>
  </si>
  <si>
    <t>&lt;font color='#000000'&gt;&lt;b&gt;Misoprostol&lt;/b&gt;&lt;/f&gt;</t>
  </si>
  <si>
    <t>&lt;font color='#000000'&gt;&lt;b&gt;Oxytocin&lt;/b&gt;&lt;/f&gt;</t>
  </si>
  <si>
    <t>&lt;font color='#000000'&gt;&lt;b&gt;Rifampin&lt;/b&gt;&lt;/f&gt;</t>
  </si>
  <si>
    <t>&lt;font color='#000000'&gt;&lt;b&gt;Streptomycin&lt;/b&gt;&lt;/f&gt;</t>
  </si>
  <si>
    <t>&lt;font color='#000000'&gt;&lt;b&gt; Isoniazid (INH)&lt;/b&gt;&lt;/f&gt;</t>
  </si>
  <si>
    <t>&lt;font color='#000000'&gt;&lt;b&gt;Pyrazinamide&lt;/b&gt;&lt;/f&gt;</t>
  </si>
  <si>
    <t>&lt;font color='#000000'&gt;&lt;b&gt;Ethambutal&lt;/b&gt;&lt;/f&gt;</t>
  </si>
  <si>
    <t>&lt;font color='#000000'&gt;&lt;b&gt;Combitabs (Multidrug tabs)&lt;/b&gt;&lt;/f&gt;</t>
  </si>
  <si>
    <t>&lt;font color='#000000'&gt;&lt;b&gt;Diagnostic kits&lt;/b&gt;&lt;/f&gt;</t>
  </si>
  <si>
    <t>&lt;font color='#000000'&gt;&lt;b&gt;Bacille Calmette-Guérin (BCG)&lt;/b&gt;&lt;/f&gt;</t>
  </si>
  <si>
    <t>&lt;font color='#000000'&gt;&lt;b&gt;Oral Polio Vaccine (OPV)&lt;/b&gt;&lt;/f&gt;</t>
  </si>
  <si>
    <t>&lt;font color='#000000'&gt;&lt;b&gt;Tetanus Toxoid (TT)&lt;/b&gt;&lt;/f&gt;</t>
  </si>
  <si>
    <t>&lt;font color='#000000'&gt;&lt;b&gt;Measles vaccine&lt;/b&gt;&lt;/f&gt;</t>
  </si>
  <si>
    <t>&lt;font color='#000000'&gt;&lt;b&gt;Pentavalent (DPT, Hepatitis B, Hemophilus influenzae B)&lt;/b&gt;&lt;/f&gt;</t>
  </si>
  <si>
    <t>&lt;font color='#000000'&gt;&lt;b&gt;Rotavirus Vaccine&lt;/b&gt;&lt;/f&gt;</t>
  </si>
  <si>
    <t>&lt;font color='#000000'&gt;&lt;b&gt;Pneumococcal Vaccine&lt;/b&gt;&lt;/f&gt;</t>
  </si>
  <si>
    <t>&lt;font color='#000000'&gt;&lt;b&gt;Hepatitis BHepatitis B&lt;/b&gt;&lt;/f&gt;</t>
  </si>
  <si>
    <t>&lt;font color='#000000'&gt;&lt;b&gt;Yellow fever&lt;/b&gt;&lt;/f&gt;</t>
  </si>
  <si>
    <t>&lt;font color='#000000'&gt;&lt;b&gt;Injectable polio vaccine (IPV)&lt;/b&gt;&lt;/f&gt;</t>
  </si>
  <si>
    <t>&lt;font color='#000000'&gt;&lt;b&gt;Malaria rapid diagnostic kit&lt;/b&gt;&lt;/f&gt;</t>
  </si>
  <si>
    <t>&lt;font color='#000000'&gt;&lt;b&gt;HIV test kit&lt;/b&gt;&lt;/f&gt;</t>
  </si>
  <si>
    <t>&lt;font color='#000000'&gt;&lt;b&gt;Pregnancy testing kit&lt;/b&gt;&lt;/f&gt;</t>
  </si>
  <si>
    <t>&lt;font color='#000000'&gt;&lt;b&gt;Rapid plasma reagin (RPR) test for syphilis&lt;/b&gt;&lt;/f&gt;</t>
  </si>
  <si>
    <t>&lt;font color='#000000'&gt;&lt;b&gt;Urine protein &amp; glucose testing kit (dipstick test)&lt;/b&gt;&lt;/f&gt;</t>
  </si>
  <si>
    <t>RECORD GPS Coordinates</t>
  </si>
  <si>
    <t>&lt;b&gt;&lt;font color='#610B0B'&gt;RESPONDENT: HEAD OF THE HEALTH FACILITY OR HIS/HER DEPUTY IF ABSENT OR UNAVAILABLE.&lt;/font&gt;&lt;b&gt;</t>
  </si>
  <si>
    <t>&lt;b&gt;&lt;font&gt;INTERVIEWER: LIST FULL NAMES OF ALL STAFF WORKING IN THE FACILITY. FOR EACH STAFF, ASK ALL THE QUESTIONS OF THIS SECTION, THEN MOVE TO NEXT STAFF.&lt;/font&gt;&lt;b&gt;</t>
  </si>
  <si>
    <t>&lt;b&gt;&lt;font color='#0B3B24'&gt;&lt;big&gt;Section 6: SERVICE&lt;/big&gt;&lt;/font&gt;&lt;b&gt;</t>
  </si>
  <si>
    <t>&lt;b&gt;&lt;font color='#610B0B'&gt;RESPONDENT: HEAD OF THE FACILITY OR BEST INFORMED STAFF MEMBER&lt;/font&gt;&lt;b&gt;</t>
  </si>
  <si>
    <t>&lt;font color='#000000'&gt;&lt;b&gt;(G) Health Education Services&lt;/b&gt;&lt;/f&gt;</t>
  </si>
  <si>
    <t>&lt;b&gt;&lt;font color='#0B3B24'&gt;&lt;big&gt;Section 7: GENERAL HEALTH MANAGEMENT INFORMATION SYSTEM (HMIS)&lt;/big&gt;&lt;/font&gt;&lt;b&gt;</t>
  </si>
  <si>
    <t xml:space="preserve">&lt;b&gt;&lt;font color='#610B0B'&gt;RESPONDENT: HEAD OF THE FACILITY OR BEST INFORMED STAFF MEMBER&lt;/font&gt;&lt;b&gt;
</t>
  </si>
  <si>
    <t>&lt;b&gt;&lt;font color='#0B3B24'&gt;&lt;big&gt;Section 8: HEALTH SERVICES UTILIZATION BASED ON HEALTH MANAGEMENT INFORMATION SYSTEMS (HMIS)&lt;/big&gt;&lt;/font&gt;&lt;b&gt;</t>
  </si>
  <si>
    <t>&lt;font color='#000000'&gt;&lt;b&gt;Family planning/clinical&lt;/b&gt;&lt;/font&gt;</t>
  </si>
  <si>
    <t>&lt;font color='#000000'&gt;&lt;b&gt;Antenatal Care&lt;/b&gt;&lt;/font&gt;</t>
  </si>
  <si>
    <t>&lt;font color='#000000'&gt;&lt;b&gt;Facility based delivery&lt;/b&gt;&lt;/font&gt;</t>
  </si>
  <si>
    <t>&lt;font color='#000000'&gt;&lt;b&gt;Immunizations&lt;/b&gt;&lt;/font&gt;</t>
  </si>
  <si>
    <t>&lt;font color='#000000'&gt;&lt;b&gt;Curative and preventive care&lt;/b&gt;&lt;/font&gt;</t>
  </si>
  <si>
    <t>&lt;font color='#000000'&gt;&lt;b&gt;Sexually Transmitted Infections services&lt;/b&gt;&lt;/font&gt;</t>
  </si>
  <si>
    <t>&lt;font color='#000000'&gt;&lt;b&gt;Emergency Services&lt;/b&gt;&lt;/font&gt;</t>
  </si>
  <si>
    <t>&lt;b&gt;&lt;font color='#0B3B24'&gt;&lt;big&gt;Section 9: USER FEES&lt;/big&gt;&lt;/font&gt;&lt;b&gt;</t>
  </si>
  <si>
    <t>&lt;b&gt;&lt;font color='#610B0B'&gt;RESPONDENT: HEAD OF THE FACILITY OR BEST INFORMED STAFF MEMBER.&lt;/font&gt;&lt;b&gt;</t>
  </si>
  <si>
    <t>&lt;b&gt;&lt;font&gt;INTERVIEWER: READ ALL OPTIONS ALOUD&lt;/font&gt;&lt;b&gt;</t>
  </si>
  <si>
    <t>&lt;b&gt;&lt;font color='#610B0B'&gt;In this part of the questionnaire, I would like to know what you would do in certain situations regarding the facility. I will read you a series of scenarios. For each scenario, I will read 4 possible responses that you might have. Please select the response that most closely matches what you would do in this specific situation. You can only select one response for each scenario. There are no correct or incorrect answers - we just want to know how you would approach each situation. &lt;/font&gt;&lt;b&gt;</t>
  </si>
  <si>
    <t>&lt;b&gt;&lt;font color='#610B0B'&gt;In this part of the questionnaire I would like to ask you some questions regarding how work is organized and decisions are made in this facility. All answers are confidential. &lt;/font&gt;&lt;b&gt;</t>
  </si>
  <si>
    <t>&lt;font color='#000000'&gt;&lt;b&gt;I am now going to read you a series of statements about decision-making and authority in this facility. Please tell me whether you feel these are true most of the time, more than half of the time, less than half of the time, rarely or never. &lt;/b&gt;&lt;/font&gt;</t>
  </si>
  <si>
    <t>&lt;b&gt;&lt;font color='#0B3B24'&gt;&lt;big&gt;Section 12: DIRECT OBSERVATION&lt;/big&gt;&lt;/font&gt;&lt;b&gt;</t>
  </si>
  <si>
    <t>&lt;font color='#000000'&gt;&lt;b&gt;(B) Posting of User Fees&lt;/b&gt;&lt;/f&gt;</t>
  </si>
  <si>
    <t>&lt;font color='#000000'&gt;&lt;b&gt;(C) National Protocols&lt;/b&gt;&lt;/f&gt;</t>
  </si>
  <si>
    <t>&lt;b&gt;&lt;font&gt;INTERVIEWER: ASK THE FACILITY HEAD OR BEST INFORMED STAFF MEMBER TO SEE THE CLINICAL CARE PROTOCOLS. &lt;/font&gt;&lt;b&gt;</t>
  </si>
  <si>
    <t>&lt;b&gt;&lt;font color='#0B3B24'&gt;&lt;big&gt;Section 13: EQUIPMENT ( DIRECT OBSERVATION)&lt;/big&gt;&lt;/font&gt;&lt;b&gt;</t>
  </si>
  <si>
    <t>&lt;b&gt;&lt;font color='#610B0B'&gt;INTERVIEWER: THERE IS NO RESPONDENT FOR THIS SECTION OF THE QUESTIONNAIRE. AFTER SEEKING PERMISSION, YOU SHOULD WALK AROUND THE FACILITY AND OBSERVE THE ITEMS OUTLINED IN THIS SECTION.&lt;/font&gt;&lt;b&gt;</t>
  </si>
  <si>
    <t>&lt;font color='#000000'&gt;&lt;b&gt;General equipment&lt;/b&gt;&lt;/font&gt;</t>
  </si>
  <si>
    <t>&lt;font color='#000000'&gt;&lt;b&gt;Sterilizing Equipment&lt;/b&gt;&lt;/f&gt;</t>
  </si>
  <si>
    <t>&lt;font color='#000000'&gt;&lt;b&gt;Vaccination Equipment&lt;/b&gt;&lt;/f&gt;</t>
  </si>
  <si>
    <t>&lt;font color='#000000'&gt;&lt;b&gt;Antenatal Care Equipment&lt;/b&gt;&lt;/f&gt;</t>
  </si>
  <si>
    <t>&lt;font color='#000000'&gt;&lt;b&gt;Delivery and Neonatal Equipment&lt;/b&gt;&lt;/f&gt;</t>
  </si>
  <si>
    <t>&lt;b&gt;&lt;font&gt;INTERVIEWER: READ ALL OPTIONS ALOUD. FOR EACH OPTION, RECORD THE FOLLOWING CODES:&lt;/font&gt;&lt;b&gt;</t>
  </si>
  <si>
    <t>&lt;b&gt;&lt;font&gt;INTERVIEWER: READ OPTIONS ALOUD. FOR EACH OPTION, RECORD NUMBER OF WORKING VEHICLES AVAILABLE. IF ZERO, RECORD 00.&lt;/font&gt;&lt;b&gt;</t>
  </si>
  <si>
    <t>&lt;font color='#000000'&gt;&lt;b&gt;(B) Universal Precautions&lt;/b&gt;&lt;/f&gt;</t>
  </si>
  <si>
    <t xml:space="preserve">&lt;b&gt;&lt;font&gt;FOR QUESTIONS 2.14-2.19, VERIFY THE NUMBER OF VISITS IN THE VISITORS' BOOK.&lt;/font&gt;&lt;b&gt;
</t>
  </si>
  <si>
    <t xml:space="preserve">&lt;b&gt;&lt;font&gt;NOTE, RECALL PERIOD IS NOW 12 MONTHS&lt;/font&gt;&lt;b&gt;
</t>
  </si>
  <si>
    <t>&lt;font color='#000000'&gt;&lt;b&gt;(B) Community Health Workers&lt;/b&gt;&lt;/f&gt;</t>
  </si>
  <si>
    <t xml:space="preserve">&lt;b&gt;&lt;font&gt;INTERVIEWER: READ ALL OPTIONS ALOUD.&lt;/font&gt;&lt;b&gt;
</t>
  </si>
  <si>
    <t>&lt;font color='#000000'&gt;&lt;b&gt;(A) Lab Tests&lt;/b&gt;&lt;/f&gt;</t>
  </si>
  <si>
    <t xml:space="preserve">&lt;b&gt;&lt;font&gt;INTERVIEWER: RECORD ONE RESPONSE FOR EACH TEST.&lt;/font&gt;&lt;b&gt;
</t>
  </si>
  <si>
    <t xml:space="preserve">&lt;b&gt;&lt;font&gt;INTERVIEWER: IF NONE, RECORD "0". RECORD ONE RESPONSE FOR EACH TEST.&lt;/font&gt;&lt;b&gt;
</t>
  </si>
  <si>
    <t>&lt;font color='#000000'&gt;&lt;b&gt;(B) Lab Equipment&lt;/b&gt;&lt;/f&gt;</t>
  </si>
  <si>
    <t>&lt;b&gt;&lt;font&gt;I would like to ask you some questions about the health services available.&lt;/font&gt;&lt;b&gt;&lt;p&gt;</t>
  </si>
  <si>
    <t>FOR EACH OF THE FOLLOWING, RECORD IF YOU HAVE SEEN OR NOT SEEN THE PROTOCOL / GUIDELINES / MATERIALS.</t>
  </si>
  <si>
    <t>select_one region</t>
  </si>
  <si>
    <t>f1_region_lb</t>
  </si>
  <si>
    <t>region</t>
  </si>
  <si>
    <t>region_id</t>
  </si>
  <si>
    <t>f1_05_08_nt1</t>
  </si>
  <si>
    <t>&lt;font color='red'&gt;Please answer (3.02k) and (3.04k) before continuing!&lt;/font&gt;</t>
  </si>
  <si>
    <t>f1_05_08_nt2</t>
  </si>
  <si>
    <t>a. Participate in Community Health Workers meetings</t>
  </si>
  <si>
    <t>b. Supervise Community Health Workers activities (observe consultations, activities)</t>
  </si>
  <si>
    <t>c. Replace Community Health Workers kits</t>
  </si>
  <si>
    <t>d. Provide Community Health Workers training</t>
  </si>
  <si>
    <t>e. Support Community Health Workers training</t>
  </si>
  <si>
    <t>f. Collect and compile Monthly Activity Reports</t>
  </si>
  <si>
    <t>g. Meet with VHWs at health posts</t>
  </si>
  <si>
    <t>h. Promote specific health programs</t>
  </si>
  <si>
    <t xml:space="preserve">i. Organize vaccination campaign(s) </t>
  </si>
  <si>
    <t xml:space="preserve">j. Other, specify: </t>
  </si>
  <si>
    <t>if(.=2015 or .=2016,${f1_01_06m}!=null and ${f1_01_06m}!='-999999',.&gt;=${f1_01_05})</t>
  </si>
  <si>
    <t>Hospital Administrator/ CEO</t>
  </si>
  <si>
    <t>Lab Scientist</t>
  </si>
  <si>
    <t>NOTE: Check figures in RCH Register</t>
  </si>
  <si>
    <t>(8.02p_) How many days per week is this service offered?</t>
  </si>
  <si>
    <t>f1_08_02p0</t>
  </si>
  <si>
    <t>f1_08_03p0</t>
  </si>
  <si>
    <t>f1_08_01p0</t>
  </si>
  <si>
    <t>f1_08_04p0n</t>
  </si>
  <si>
    <t>f1_08_04p0_1</t>
  </si>
  <si>
    <t>f1_08_04p0_2</t>
  </si>
  <si>
    <t>f1_08_04p0_3</t>
  </si>
  <si>
    <t>${f1_08_01p0_1}=1 or ${f1_08_01p0_2}=1</t>
  </si>
  <si>
    <t>f1_08_01p0_1</t>
  </si>
  <si>
    <t>f1_08_01p0_2</t>
  </si>
  <si>
    <t>f1_08_01p0_g</t>
  </si>
  <si>
    <t>f1_08_04p0_g</t>
  </si>
  <si>
    <t>${f1_02_31} = 1</t>
  </si>
  <si>
    <t>INTERVIEWER: FOR QUESTIONS (0) TO (7.09), RECORD FOR THE LAST COMPLETED CALENDAR MONTH. FOR QUESTIONS (7.03) TO (7.09), IF SOME CATEGORIES CAN'T BE IDENTIFIED FROM REGISTER, RECORD '9998' FOR THESE CATEGORIES.</t>
  </si>
  <si>
    <t>&lt;b&gt;&lt;font color='#610B0B'&gt;RESPONDENT: LAB TECHNICIAN OR BEST INFORMED STAFF MEMBER&lt;/font&gt;&lt;b&gt; 
&lt;p&gt;&lt;b&gt;&lt;font color='#610B0B'&gt;IN THE PRESENCE OF HEAD OF HEALTH FACILITY&lt;/font&gt;&lt;b&gt;</t>
  </si>
  <si>
    <t>&lt;font color='#000000'&gt;&lt;b&gt;(B) Antenatal Care Services&lt;/b&gt;&lt;/font&gt;
&lt;p&gt;&lt;font color='#000000'&gt;&lt;b&gt;RESPONDENT: HEAD OF HEALTH FACILITY OR BEST INFORMED STAFF MEMBER &lt;/b&gt;&lt;/font&gt;</t>
  </si>
  <si>
    <t>&lt;font color='#000000'&gt;&lt;b&gt;(C) Delivery and Postpartum Services&lt;/b&gt;&lt;/f&gt; 
&lt;p&gt;&lt;font color='#000000'&gt;&lt;b&gt;RESPONDENT: HEAD OF HEALTH FACILITY OR BEST INFORMED STAFF MEMBER &lt;/b&gt;&lt;/font&gt;</t>
  </si>
  <si>
    <t>&lt;font color='#000000'&gt;&lt;b&gt;(D) Family Planning Services&lt;/b&gt;&lt;/big&gt;&lt;/big&gt;&lt;/font&gt;
&lt;p&gt;&lt;font color='#000000'&gt;&lt;b&gt;RESPONDENT: HEAD OF HEALTH FACILITY OR BEST INFORMED STAFF MEMBER &lt;/b&gt;&lt;/font&gt;</t>
  </si>
  <si>
    <t>&lt;font color='#000000'&gt;&lt;b&gt;(F) Malaria Services&lt;/b&gt;&lt;/f&gt;
&lt;p&gt;&lt;font color='#000000'&gt;&lt;b&gt;RESPONDENT: HEAD OF HEALTH FACILITY OR BEST INFORMED STAFF MEMBER &lt;/b&gt;&lt;/font&gt;</t>
  </si>
  <si>
    <t>&lt;font color='#000000'&gt;&lt;b&gt;(E) Tuberculosis Services&lt;/b&gt;&lt;/f&gt;
&lt;p&gt;&lt;font color='#000000'&gt;&lt;b&gt;RESPONDENT: HEAD OF HEALTH FACILITY OR BEST INFORMED STAFF MEMBER.  IF THE FACILITY IS A DOTS CENTER, THE LTI (LEPROSY and TB INSPECTOR) SHOULD BE ASKED IN PRESENCE OF HEAD OF HEALTH FACILITY.&lt;/b&gt;&lt;/font&gt;</t>
  </si>
  <si>
    <t>&lt;font color='#000000'&gt;&lt;b&gt;(A) Vaccination Services&lt;/b&gt;&lt;/font&gt;
&lt;p&gt;&lt;font color='#000000'&gt;&lt;b&gt;RESPONDENT: PUBLIC HEALTH OFFICER IN THE PRESENCE OF HEAD OF HEALTH FACILITY. &lt;/b&gt;&lt;/font&gt;</t>
  </si>
  <si>
    <t>&lt;b&gt;&lt;font color='#0B3B24'&gt;&lt;big&gt;Section 10: LEADERSHIP&lt;/big&gt;&lt;/font&gt;&lt;b&gt;
&lt;p&gt;&lt;b&gt;&lt;font color='#0B3B24'&gt;&lt;big&gt;RESPONDENT: HEAD OF THE HEALTH FACILITY ONLY.  IF HEAD NOT AVAILABLE, RETURN WHEN AVAILABLE.&lt;/big&gt;&lt;/font&gt;&lt;b&gt;</t>
  </si>
  <si>
    <t>&lt;b&gt;&lt;font color='#0B3B24'&gt;&lt;big&gt;Section 11: FLEXIBILITY&lt;/big&gt;&lt;/font&gt;&lt;b&gt;
&lt;p&gt;&lt;b&gt;&lt;font color='#0B3B24'&gt;&lt;big&gt;RESPONDENT: HEAD OF THE HEALTH FACILITY ONLY.  IF HEAD NOT AVAILABLE, RETURN WHEN AVAILABLE.&lt;/big&gt;&lt;/font&gt;&lt;b&gt;</t>
  </si>
  <si>
    <t xml:space="preserve">&lt;b&gt;&lt;font color='#610B0B'&gt;INTERVIEWER: THERE IS NO RESPONDENT FOR THIS SECTION OF THE QUESTIONNAIRE. AFTER SEEKING PERMISSION, YOU SHOULD WALK AROUND THE FACILITY AND OBSERVE THE ITEMS OUTLINED IN THIS SECTION.  WALK AROUND WITH THE HEAD OF HEALTH FACILITY.  (INTERVIEWER SHOULD HAVE A HEALTH BACKGROUND TO KNOW WHAT TO LOOK FOR)&lt;/font&gt;&lt;b&gt;
</t>
  </si>
  <si>
    <t>Regional Hospital</t>
  </si>
  <si>
    <t>(1.04) Is this facility a hospital, a health center?</t>
  </si>
  <si>
    <t>Health facility OIC</t>
  </si>
  <si>
    <t>(6.43) Is there a Tuberculosis Corner/DOTS Centre in the health facility?</t>
  </si>
  <si>
    <r>
      <t>h.</t>
    </r>
    <r>
      <rPr>
        <sz val="11"/>
        <color rgb="FFFF0000"/>
        <rFont val="Arial"/>
        <family val="2"/>
      </rPr>
      <t xml:space="preserve"> RHD </t>
    </r>
    <r>
      <rPr>
        <sz val="11"/>
        <rFont val="Arial"/>
        <family val="2"/>
      </rPr>
      <t>Health Committee</t>
    </r>
  </si>
  <si>
    <t>f1_10_c</t>
  </si>
  <si>
    <t>${f1_10_c}=1</t>
  </si>
  <si>
    <t>(11.03) The Regional Health Directorate supports my decisions and actions for doing a better job in my facility.</t>
  </si>
  <si>
    <r>
      <t xml:space="preserve">(11.09) The </t>
    </r>
    <r>
      <rPr>
        <sz val="11"/>
        <color rgb="FFFF0000"/>
        <rFont val="Arial"/>
        <family val="2"/>
      </rPr>
      <t>Regional Health Directorate</t>
    </r>
    <r>
      <rPr>
        <sz val="11"/>
        <rFont val="Arial"/>
        <family val="2"/>
      </rPr>
      <t xml:space="preserve"> provides adequate feedback to me about my job and the performance of my facility.</t>
    </r>
  </si>
  <si>
    <t>(12.14) INTERVIEWER: RECORD HOW MANY POST-PARTUM BEDS ARE PRESENT.</t>
  </si>
  <si>
    <t xml:space="preserve">(12.16) INTERVIEWER: RECORD HOW MANY BEDS ARE PRESENT. </t>
  </si>
  <si>
    <t>${f1_12_17}=1</t>
  </si>
  <si>
    <t>.&gt;-0</t>
  </si>
  <si>
    <t>${f1_12_08}=0</t>
  </si>
  <si>
    <t>(6.44) Who manages the Tuberculosis Corner/ DOTS Centre in this health facility?</t>
  </si>
  <si>
    <t>f1_12_10_1n</t>
  </si>
  <si>
    <t>(12.10_1n) Number of adult in-patient beds</t>
  </si>
  <si>
    <t xml:space="preserve">(VACCINATION EQUIPMENT: VACCINE FRIDGE SOLAR, ELECTRIC, COLD BOX, VACCINE CARRIERS) </t>
  </si>
  <si>
    <t>minilog</t>
  </si>
  <si>
    <t>log_action</t>
  </si>
  <si>
    <t>Action Code</t>
  </si>
  <si>
    <t>log_description</t>
  </si>
  <si>
    <t>Description</t>
  </si>
  <si>
    <t>log_date</t>
  </si>
  <si>
    <t>Date in milliseconds</t>
  </si>
  <si>
    <t>log_timestamp</t>
  </si>
  <si>
    <t>Date in text</t>
  </si>
  <si>
    <t>log_index</t>
  </si>
  <si>
    <t>Index</t>
  </si>
  <si>
    <t>pulldata('app-api','user.username')</t>
  </si>
  <si>
    <t>fullname</t>
  </si>
  <si>
    <t>pulldata('app-api','user.name')</t>
  </si>
  <si>
    <t>staffcode</t>
  </si>
  <si>
    <t>pulldata('app-api','staffCode')</t>
  </si>
  <si>
    <t>family_id</t>
  </si>
  <si>
    <t>family_path</t>
  </si>
  <si>
    <t>concat('resources/familyMedia/',${family_id})</t>
  </si>
  <si>
    <t>localdb_path</t>
  </si>
  <si>
    <t>concat('resources/localdb/',${family_id},'/',${family_id},'.db')</t>
  </si>
  <si>
    <t>f1_nt0</t>
  </si>
  <si>
    <t>f1_nt1</t>
  </si>
  <si>
    <t>f1_hf_number</t>
  </si>
  <si>
    <t>HF NUMBER</t>
  </si>
  <si>
    <t>gridformat&lt;row = 0, col = 0, colspan = 6, align = center/&gt;</t>
  </si>
  <si>
    <t>faci_key</t>
  </si>
  <si>
    <t>code_hf_id</t>
  </si>
  <si>
    <t>code_hf</t>
  </si>
  <si>
    <t>code_staff</t>
  </si>
  <si>
    <t>CRR</t>
  </si>
  <si>
    <t>74103.1</t>
  </si>
  <si>
    <t>Bansang RCH</t>
  </si>
  <si>
    <t>73101.1</t>
  </si>
  <si>
    <t>Brikamaba</t>
  </si>
  <si>
    <t>72204.1</t>
  </si>
  <si>
    <t>Kudang</t>
  </si>
  <si>
    <t>70109.1</t>
  </si>
  <si>
    <t>Dankunku</t>
  </si>
  <si>
    <t>60224.1</t>
  </si>
  <si>
    <t>Kaur</t>
  </si>
  <si>
    <t>62106.1</t>
  </si>
  <si>
    <t>Chamen</t>
  </si>
  <si>
    <t>63118.1</t>
  </si>
  <si>
    <t>Kuntaur</t>
  </si>
  <si>
    <t>70122.1</t>
  </si>
  <si>
    <t>Sami Karantaba</t>
  </si>
  <si>
    <t>75101.1</t>
  </si>
  <si>
    <t>Janjangbureh</t>
  </si>
  <si>
    <t>URR</t>
  </si>
  <si>
    <t>84233.1</t>
  </si>
  <si>
    <t>Yero Bawol</t>
  </si>
  <si>
    <t>86105.1</t>
  </si>
  <si>
    <t>Diabugu</t>
  </si>
  <si>
    <t>85101.1</t>
  </si>
  <si>
    <t>Baja Kunda</t>
  </si>
  <si>
    <t>80204.1</t>
  </si>
  <si>
    <t>Gambisara</t>
  </si>
  <si>
    <t>80201.1</t>
  </si>
  <si>
    <t>83205.1</t>
  </si>
  <si>
    <t>Fatoto</t>
  </si>
  <si>
    <t>83217.1</t>
  </si>
  <si>
    <t>Koina</t>
  </si>
  <si>
    <t>81102.1</t>
  </si>
  <si>
    <t>Basse</t>
  </si>
  <si>
    <t>51201.1</t>
  </si>
  <si>
    <t>Albreda</t>
  </si>
  <si>
    <t>52216.1</t>
  </si>
  <si>
    <t>Kuntaya</t>
  </si>
  <si>
    <t>51212.1</t>
  </si>
  <si>
    <t>Kerr Cherno</t>
  </si>
  <si>
    <t>51115.1</t>
  </si>
  <si>
    <t>50130.1</t>
  </si>
  <si>
    <t>Essau</t>
  </si>
  <si>
    <t>f1_lga_lb</t>
  </si>
  <si>
    <t>f1_lga_id</t>
  </si>
  <si>
    <t>f1_district_id</t>
  </si>
  <si>
    <t>f1_district_lb</t>
  </si>
  <si>
    <t>f1_village_id</t>
  </si>
  <si>
    <t>f1_village_lb</t>
  </si>
  <si>
    <t>GPS COORDINATES OF HEALTH FACILITY</t>
  </si>
  <si>
    <t>geopoint</t>
  </si>
  <si>
    <t>f1_gps</t>
  </si>
  <si>
    <t>inline gridformat&lt;row = 3, col = 0, colspan = 6, align = center/&gt;</t>
  </si>
  <si>
    <t>hide</t>
  </si>
  <si>
    <t>f1_intro_gg1</t>
  </si>
  <si>
    <t>f1_intro_gg2</t>
  </si>
  <si>
    <t>LOCATION OF HEALTH FACILITY</t>
  </si>
  <si>
    <t>NAME OF HEALTH FACILITY</t>
  </si>
  <si>
    <t>f1_hf_id</t>
  </si>
  <si>
    <t>f1_hf_lb</t>
  </si>
  <si>
    <t>select_one hf_number</t>
  </si>
  <si>
    <t>hf_number</t>
  </si>
  <si>
    <t>f1_region_id</t>
  </si>
  <si>
    <t>HEALTH REGION NAME</t>
  </si>
  <si>
    <t>HEALTH REGION CODE</t>
  </si>
  <si>
    <t>TYPE OF HEALTH FACILITY</t>
  </si>
  <si>
    <t>f1_hf_type</t>
  </si>
  <si>
    <t>rating_box-fill-f6f6f6-009688-737373-ffffff</t>
  </si>
  <si>
    <t>hf_type</t>
  </si>
  <si>
    <t>select_one hf_type</t>
  </si>
  <si>
    <t>Public Health Center</t>
  </si>
  <si>
    <t>Pubic Hospital</t>
  </si>
  <si>
    <t>f1_intro_gg3</t>
  </si>
  <si>
    <t>select_one visit</t>
  </si>
  <si>
    <t>VISITS</t>
  </si>
  <si>
    <t>visit</t>
  </si>
  <si>
    <t>Visit 1</t>
  </si>
  <si>
    <t>Visit 2</t>
  </si>
  <si>
    <t>Visit 3</t>
  </si>
  <si>
    <t xml:space="preserve">field-list </t>
  </si>
  <si>
    <t>date</t>
  </si>
  <si>
    <t>f1_date</t>
  </si>
  <si>
    <t>DATE</t>
  </si>
  <si>
    <t>f1_visit_lb</t>
  </si>
  <si>
    <t>f1_visit_id</t>
  </si>
  <si>
    <t>jr:choice-name(${f1_visit_id},'${f1_visit_id}')</t>
  </si>
  <si>
    <t>. &lt;= now()</t>
  </si>
  <si>
    <t>Sorry, this response is not valid!</t>
  </si>
  <si>
    <t>rating_box-fill-f6f6f6-009688-737373-ffffff gridformat&lt;row = 0, col = 0, colspan = 6, align = left/&gt;</t>
  </si>
  <si>
    <t>inline-1line gridformat&lt;row = 1, col = 0, colspan = 6, align = left/&gt;</t>
  </si>
  <si>
    <t>f1_enum_lb</t>
  </si>
  <si>
    <t>f1_enum_id</t>
  </si>
  <si>
    <t>INTERVIEWER</t>
  </si>
  <si>
    <t>CODE</t>
  </si>
  <si>
    <t>autopull(${fullname}) gridformat&lt;row = 2, col = 0, colspan = 3, align = left/&gt;</t>
  </si>
  <si>
    <t>autopull(${staffcode}) gridformat&lt;row = 2, col = 3, colspan = 3, align = left/&gt;</t>
  </si>
  <si>
    <t>f1_sup_lb</t>
  </si>
  <si>
    <t>f1_sup_id</t>
  </si>
  <si>
    <t>SUPERVISOR</t>
  </si>
  <si>
    <t>gridformat&lt;row = 3, col = 0, colspan = 3, align = left/&gt;</t>
  </si>
  <si>
    <t>gridformat&lt;row = 3, col = 3, colspan = 3, align = left/&gt;</t>
  </si>
  <si>
    <t>f1_sup_date</t>
  </si>
  <si>
    <t>VISIT DATE</t>
  </si>
  <si>
    <t>inline-1line gridformat&lt;row = 4, col = 0, colspan = 6, align = left/&gt;</t>
  </si>
  <si>
    <t>f1_result</t>
  </si>
  <si>
    <t>f1_01_nt1</t>
  </si>
  <si>
    <t>f1_01_nt2</t>
  </si>
  <si>
    <t>f1_01_nt3</t>
  </si>
  <si>
    <t>${f1_result} = 96</t>
  </si>
  <si>
    <t>f1_intro_gg5</t>
  </si>
  <si>
    <t>select_one tranlator</t>
  </si>
  <si>
    <t>tranlator</t>
  </si>
  <si>
    <t>f1_tranlator</t>
  </si>
  <si>
    <t>f1_lang</t>
  </si>
  <si>
    <t>${f1_lang} = 96</t>
  </si>
  <si>
    <t>f1_01_g1</t>
  </si>
  <si>
    <t>f1_01_g2</t>
  </si>
  <si>
    <t xml:space="preserve">rating_box-fill-f6f6f6-009688-737373-ffffff </t>
  </si>
  <si>
    <t>rating_box-fill-f6f6f6-009688-737373-ffffff  gridformat&lt;row = 2, col = 0, fill = fill/&gt;</t>
  </si>
  <si>
    <t>rating_box-fill-f6f6f6-009688-737373-ffffff  gridformat&lt;row = 3, col = 0, fill = fill/&gt;</t>
  </si>
  <si>
    <t>rating_box-fill-f6f6f6-009688-737373-ffffff  gridformat&lt;row = 4, col = 0, fill = fill/&gt;</t>
  </si>
  <si>
    <t>rating_box-fill-f6f6f6-009688-737373-ffffff  gridformat&lt;row = 5, col = 0, fill = fill/&gt;</t>
  </si>
  <si>
    <t>rating_box-fill-f6f6f6-009688-737373-ffffff  gridformat&lt;row = 3, col = 0, colspan = 2, fill = fill/&gt;</t>
  </si>
  <si>
    <t>rating_box-fill-f6f6f6-009688-737373-ffffff  gridformat&lt;row = 7, col = 0, colspan = 2, fill = fill/&gt;</t>
  </si>
  <si>
    <t>f1_lang_other</t>
  </si>
  <si>
    <t>f1_result_other</t>
  </si>
  <si>
    <t>f1_01_g3</t>
  </si>
  <si>
    <t>f1_01_g4</t>
  </si>
  <si>
    <t>.&gt;=1800 and .&lt;=2018</t>
  </si>
  <si>
    <t>(1.05) RANGE 1800 - 2018</t>
  </si>
  <si>
    <t>f1_01_06_nt</t>
  </si>
  <si>
    <t>select_one provide_care</t>
  </si>
  <si>
    <t>provide_care</t>
  </si>
  <si>
    <t>YES, ALL CARE IS AVAILABLE OFFICIALLY</t>
  </si>
  <si>
    <t>YES, SOME CARE IS AVAILABLE OFFICIALLY (E.G. EMERGENCY SERVICES)</t>
  </si>
  <si>
    <t>YES, SOME CARE IS AVAILABLE UNOFFICIALLY (E.G. EMERGENCY SERVICES)</t>
  </si>
  <si>
    <t>f1_01_08a</t>
  </si>
  <si>
    <t>field-list grid(weight = 5)</t>
  </si>
  <si>
    <t>f1_01_08b</t>
  </si>
  <si>
    <t>f1_01_08c</t>
  </si>
  <si>
    <t>f1_01_08d</t>
  </si>
  <si>
    <t>f1_01_08_nt</t>
  </si>
  <si>
    <t>f1_01_0809_nt</t>
  </si>
  <si>
    <t>At what time of the day does outpatient care start and care end?</t>
  </si>
  <si>
    <t>f1_01_09_nt</t>
  </si>
  <si>
    <t>(1.08) Care start</t>
  </si>
  <si>
    <t>(1.09) Care end</t>
  </si>
  <si>
    <t>gridformat&lt;row = 1, col = 1, colspan = 2, align = center/&gt;</t>
  </si>
  <si>
    <t>gridformat&lt;row = 1, col = 3, colspan = 2, align = center/&gt;</t>
  </si>
  <si>
    <t>f1_01_0809a_nt</t>
  </si>
  <si>
    <t>f1_01_0809b_nt</t>
  </si>
  <si>
    <t>f1_01_0809c_nt</t>
  </si>
  <si>
    <t>f1_01_0809d_nt</t>
  </si>
  <si>
    <t>gridformat&lt;row = 2, col = 0, colspan = 1, align = left/&gt;</t>
  </si>
  <si>
    <t>gridformat&lt;row = 3, col = 0, colspan = 1, align = left/&gt;</t>
  </si>
  <si>
    <t>gridformat&lt;row = 4, col = 0, colspan = 1, align = left/&gt;</t>
  </si>
  <si>
    <t>gridformat&lt;row = 5, col = 0, colspan = 1, align = left/&gt;</t>
  </si>
  <si>
    <t>f1_01_09a</t>
  </si>
  <si>
    <t>f1_01_09b</t>
  </si>
  <si>
    <t>f1_01_09c</t>
  </si>
  <si>
    <t>f1_01_09d</t>
  </si>
  <si>
    <t>text-nolabel gridformat&lt;row = 2, col = 1, colspan = 2, align = left/&gt;</t>
  </si>
  <si>
    <t>text-nolabel gridformat&lt;row = 3, col = 1, colspan = 2, align = left/&gt;</t>
  </si>
  <si>
    <t>text-nolabel gridformat&lt;row = 4, col = 1, colspan = 2, align = left/&gt;</t>
  </si>
  <si>
    <t>text-nolabel gridformat&lt;row = 5, col = 1, colspan = 2, align = left/&gt;</t>
  </si>
  <si>
    <t>text-nolabel gridformat&lt;row = 2, col = 3, colspan = 2, align = left/&gt;</t>
  </si>
  <si>
    <t>text-nolabel gridformat&lt;row = 3, col = 3, colspan = 2, align = left/&gt;</t>
  </si>
  <si>
    <t>text-nolabel gridformat&lt;row = 4, col = 3, colspan = 2, align = left/&gt;</t>
  </si>
  <si>
    <t>text-nolabel gridformat&lt;row = 5, col = 3, colspan = 2, align = left/&gt;</t>
  </si>
  <si>
    <t>&lt;font color =#ff0000&gt;INTERVIEWER: RECORD IN MILITARY TIME THROUGHOUT. E.G. IF IT STARTS AT 7AM, RECORD 0700. IF IT STARTS AT 7PM, RECORD 1900.&lt;/font&gt;</t>
  </si>
  <si>
    <t>${f1_01_07} != 1</t>
  </si>
  <si>
    <t>f1_01_g5</t>
  </si>
  <si>
    <t>f1_01_12_nt</t>
  </si>
  <si>
    <t>f1_01_12_1</t>
  </si>
  <si>
    <t>f1_01_12_1_other</t>
  </si>
  <si>
    <t>f1_01_12_2</t>
  </si>
  <si>
    <t>f1_01_12_2_other</t>
  </si>
  <si>
    <t>f1_01_12_3</t>
  </si>
  <si>
    <t>select_one incom_facility</t>
  </si>
  <si>
    <t>f1_01_12_3_other</t>
  </si>
  <si>
    <t>(1.12.1) The first choose</t>
  </si>
  <si>
    <t>(1.12.1ot) Other, specify</t>
  </si>
  <si>
    <t>(1.12.2) The second choose</t>
  </si>
  <si>
    <t>(1.12.2ot) Other, specify</t>
  </si>
  <si>
    <t>(1.12.3) The third choose</t>
  </si>
  <si>
    <t>(1.12.3ot) Other, specify</t>
  </si>
  <si>
    <t>incom_facility</t>
  </si>
  <si>
    <t>${f1_01_12_1} = 96</t>
  </si>
  <si>
    <t>${f1_01_12_2} = 96</t>
  </si>
  <si>
    <t>${f1_01_12_3} = 96</t>
  </si>
  <si>
    <t>string-length(${f1_01_12_1}) &gt; 0 or string-length(${f1_01_12_1_other}) &gt; 0</t>
  </si>
  <si>
    <t>string-length(${f1_01_12_2}) &gt; 0 or string-length(${f1_01_12_2_other}) &gt; 0</t>
  </si>
  <si>
    <t>if(. != 96, . != ${f1_01_12_1},true())</t>
  </si>
  <si>
    <t>. &gt;= ${f1_01_08a} and .&lt; 2400</t>
  </si>
  <si>
    <t>. &gt;= ${f1_01_08b} and .&lt; 2400</t>
  </si>
  <si>
    <t>. &gt;= ${f1_01_08c} and .&lt; 2400</t>
  </si>
  <si>
    <t>. &gt;= ${f1_01_08d} and .&lt; 2400</t>
  </si>
  <si>
    <t>. &gt;=0 and .&lt; 2400</t>
  </si>
  <si>
    <t>if(. != 96, . != ${f1_01_12_1} and . != ${f1_01_12_2},true())</t>
  </si>
  <si>
    <t>The third option must be different with the first option and the second option</t>
  </si>
  <si>
    <t>The second option must be different with the first option</t>
  </si>
  <si>
    <t>f1_01_g6</t>
  </si>
  <si>
    <t xml:space="preserve">(1.13) Can you please tell me the amount received from each of the following sources in 2017/2018 in Dalasi? </t>
  </si>
  <si>
    <t>a.MOHSW / REGIONAL HEALTH MANAGEMENT TEAM</t>
  </si>
  <si>
    <t>b.USER FEES</t>
  </si>
  <si>
    <t>c.DRUG SALES</t>
  </si>
  <si>
    <t>d.FAITH BASED ORGANIZATIONS</t>
  </si>
  <si>
    <t>e.PRIVATE COMPANY</t>
  </si>
  <si>
    <t>f.DONOR</t>
  </si>
  <si>
    <t>g.INSURANCE PAYMENTS</t>
  </si>
  <si>
    <t>h.OTHER</t>
  </si>
  <si>
    <t>&lt;font color='#ff0000'&gt;INTERVIEWER: FOR EACH SOURSE, NOT ONLY THE 3 MAIN ONES, RECORD AMOUNT RECEIVED IN DALASI. IF ZERO, RECORD "0000"&lt;/font&gt;</t>
  </si>
  <si>
    <t xml:space="preserve">horizontal(50) </t>
  </si>
  <si>
    <t xml:space="preserve">horizontal(50) thousandsep </t>
  </si>
  <si>
    <t xml:space="preserve">embed text-nolabel </t>
  </si>
  <si>
    <t>${f1_01_13_h} &gt; 0</t>
  </si>
  <si>
    <t>f1_01_14_cal</t>
  </si>
  <si>
    <t>(1.16) Can you please tell me whether the facility paid out any performance bonuses or salary top ups to staff in 2017/2018, in addition to salary/regular allowances?</t>
  </si>
  <si>
    <t>f1_01_g7</t>
  </si>
  <si>
    <t>f1_01_g8</t>
  </si>
  <si>
    <t>(1.17) How much did the facility pay for performance bonuses or salary top ups to staff in 2017/2018 in Dalasi?</t>
  </si>
  <si>
    <t>thousandsep</t>
  </si>
  <si>
    <t>f1_01_g9</t>
  </si>
  <si>
    <t>select_one infor_consult</t>
  </si>
  <si>
    <t>infor_consult</t>
  </si>
  <si>
    <t>${f1_01_20} = 96</t>
  </si>
  <si>
    <t>${f1_01_21} = 1</t>
  </si>
  <si>
    <t>${f1_01_20} &lt; 4 or ${f1_01_20} = 96</t>
  </si>
  <si>
    <t>select_one pri_electric</t>
  </si>
  <si>
    <t>pri_electric</t>
  </si>
  <si>
    <t>pri_water</t>
  </si>
  <si>
    <t>select_one pri_water</t>
  </si>
  <si>
    <t>f1_01_g10</t>
  </si>
  <si>
    <t>${f1_01_25} = 1</t>
  </si>
  <si>
    <t>${f1_01_28}=0</t>
  </si>
  <si>
    <t>${f1_01_29} = 1</t>
  </si>
  <si>
    <t>f1_01_g11</t>
  </si>
  <si>
    <t xml:space="preserve">${f1_01_31} = 1 </t>
  </si>
  <si>
    <t>f1_01_g12</t>
  </si>
  <si>
    <t>&lt;b&gt;&lt;font color='#610B0B'&gt;"1" is Hospital; "2" is Major Health Center;  "3" is Minor Health Center; "4" is Other, Specify place; "0" is Do not refer&lt;/font&gt;&lt;b&gt;</t>
  </si>
  <si>
    <t>f1_01_g13</t>
  </si>
  <si>
    <t>f1_01_38_nt1</t>
  </si>
  <si>
    <t>f1_01_38_nt2</t>
  </si>
  <si>
    <t xml:space="preserve">horizontal(50) embed </t>
  </si>
  <si>
    <t>horizontal(50) embed</t>
  </si>
  <si>
    <t>f1_01_g14</t>
  </si>
  <si>
    <t>f1_01_g15</t>
  </si>
  <si>
    <t>f1_01_42_nt1</t>
  </si>
  <si>
    <t>f1_01_42_nt2</t>
  </si>
  <si>
    <t>f1_01_g16</t>
  </si>
  <si>
    <t>f1_01_46_nt1</t>
  </si>
  <si>
    <t>&lt;b&gt;&lt;font&gt;INTERVIEWER: READ OPTIONS ALOUD. FOR EACH OPTION, RECORD "1" IF THE DISINFECTANT IS BEING USED, "2" IF NOT.&lt;/font&gt;&lt;b&gt;</t>
  </si>
  <si>
    <t>f1_01_46_lb</t>
  </si>
  <si>
    <t>f1_01_46e_other</t>
  </si>
  <si>
    <t>${f1_01_46e} = 1</t>
  </si>
  <si>
    <t>f1_01_g17</t>
  </si>
  <si>
    <t>select_one sterile</t>
  </si>
  <si>
    <t>f1_02_g1</t>
  </si>
  <si>
    <t>f1_02_nt1</t>
  </si>
  <si>
    <t>f1_02_nt2</t>
  </si>
  <si>
    <t>(2.01) Is there a HCMC/CAC (health center management committee/catchment area committee) for this health facility?</t>
  </si>
  <si>
    <t>f1_02_g2</t>
  </si>
  <si>
    <t>f1_02_03_nt</t>
  </si>
  <si>
    <t>f1_02_03_lb</t>
  </si>
  <si>
    <t>&lt;b&gt;&lt;font&gt;INTERVIEWER: READ ALL OPTIONS ALOUD. FOR EACH OPTION, RECORD "1" IF YES, "0" IF NO.&lt;/font&gt;&lt;b&gt;</t>
  </si>
  <si>
    <t>f1_02_03g_other</t>
  </si>
  <si>
    <t>f1_02_gg2_1</t>
  </si>
  <si>
    <t>f1_02_gg2_2</t>
  </si>
  <si>
    <t>f1_02_06_nt</t>
  </si>
  <si>
    <t>f1_02_06_lb</t>
  </si>
  <si>
    <t>${f1_02_06u} = 1</t>
  </si>
  <si>
    <t>f1_02_g3</t>
  </si>
  <si>
    <t>INTERVIEWER: ASK TO SEE THE WORKPLAN.</t>
  </si>
  <si>
    <t>f1_02_g4</t>
  </si>
  <si>
    <t>f1_02_g4_1</t>
  </si>
  <si>
    <t>${f1_02_08} = 1 or ${f1_02_08} = 2</t>
  </si>
  <si>
    <t>f1_02_09_nt</t>
  </si>
  <si>
    <t>f1_02_09_lb</t>
  </si>
  <si>
    <t xml:space="preserve">&lt;b&gt;&lt;font&gt;INTERVIEWER: READ ALL OPTIONS ALOUD. FOR EACH OPTION, RECORD "1" IF YES, "0" IF NO.&lt;/font&gt;&lt;b&gt;
</t>
  </si>
  <si>
    <t>f1_02_09l_other</t>
  </si>
  <si>
    <t>f1_02_gg5</t>
  </si>
  <si>
    <t>f1_02_11_nt</t>
  </si>
  <si>
    <t>f1_02_11_lb</t>
  </si>
  <si>
    <t>${f1_02_11m} = 1</t>
  </si>
  <si>
    <t>f1_02_g6</t>
  </si>
  <si>
    <t>f1_02_13_nt</t>
  </si>
  <si>
    <t>f1_02_g7</t>
  </si>
  <si>
    <t>f1_02_19_1NN</t>
  </si>
  <si>
    <t>(2.19_1NN) Was there any feedback available in the visitor's book from any of the visits just counted?</t>
  </si>
  <si>
    <t>f1_02_g8</t>
  </si>
  <si>
    <t>f1_02_20_nt</t>
  </si>
  <si>
    <t>f1_02_g9</t>
  </si>
  <si>
    <t>f1_02_g10</t>
  </si>
  <si>
    <t>f1_02_g11</t>
  </si>
  <si>
    <t>select_one infor_patient</t>
  </si>
  <si>
    <t>infor_patient</t>
  </si>
  <si>
    <t>Yes: The facility has a complaint/suggestion box</t>
  </si>
  <si>
    <t>Yes, the facility conducts client surveys</t>
  </si>
  <si>
    <t>Yes, The facility solicits feedback through another option {SPECIFY}</t>
  </si>
  <si>
    <t>(2.28) &lt;u&gt;In the last 12 months&lt;/u&gt;, have any changes occurred as a result of patient opinion?</t>
  </si>
  <si>
    <t>(2.29) &lt;u&gt;In the last 12 months&lt;/u&gt;, has there been a formal review of HMIS data?</t>
  </si>
  <si>
    <t>(2.31) &lt;u&gt;In the last 12 months&lt;/u&gt;, has HMIS data been analyzed within this facility?</t>
  </si>
  <si>
    <t>f1_03_g1</t>
  </si>
  <si>
    <t>f1_03_nt1</t>
  </si>
  <si>
    <t>f1_03_nt2</t>
  </si>
  <si>
    <t>f1_03_g2</t>
  </si>
  <si>
    <t>(3.01a) How many authorized positions are there in the facility for &lt;b&gt;[Doctors or medical officers]&lt;/b&gt;?</t>
  </si>
  <si>
    <t>(3.02a) How many authorized positions for &lt;b&gt;[Doctors or medical officers]&lt;/b&gt; are currently filled?</t>
  </si>
  <si>
    <t>(3.03a) In the last 12 months, how many &lt;b&gt;[Doctors or medical officers]&lt;/b&gt; have left the facility permanently?</t>
  </si>
  <si>
    <t>(3.04a) How many &lt;b&gt;[Doctors or medical officers]&lt;/b&gt; work regularly in this facility without being in an authorized position?</t>
  </si>
  <si>
    <t>(3.05a) In the last 12 months, how many &lt;b&gt;[Doctors or medical officers]&lt;/b&gt; have been hired?</t>
  </si>
  <si>
    <t>f1_03_g3</t>
  </si>
  <si>
    <t>f1_03a_nt</t>
  </si>
  <si>
    <t>f1_03b_nt</t>
  </si>
  <si>
    <t>(3.01b) How many authorized positions are there in the facility for &lt;b&gt;[Clinical officers]&lt;/b&gt;?</t>
  </si>
  <si>
    <t>(3.02b) How many authorized positions for &lt;b&gt;[Clinical officers]&lt;/b&gt; are currently filled?</t>
  </si>
  <si>
    <t>(3.03b) In the last 12 months, how many &lt;b&gt;[Clinical officers]&lt;/b&gt; have left the facility permanently?</t>
  </si>
  <si>
    <t>(3.04b) How many &lt;b&gt;[Clinical officers]&lt;/b&gt; work regularly in this facility without being in an authorized position?</t>
  </si>
  <si>
    <t>(3.05b) In the last 12 months, how many &lt;b&gt;[Clinical officers]&lt;/b&gt; have been hired?</t>
  </si>
  <si>
    <t>f1_03_g4</t>
  </si>
  <si>
    <t>f1_03_g5</t>
  </si>
  <si>
    <t>f1_03c_nt</t>
  </si>
  <si>
    <t>(3.01c) How many authorized positions are there in the facility for &lt;b&gt;[Hospital administrators/ Executive directors]&lt;/b&gt;?</t>
  </si>
  <si>
    <t>(3.02c) How many authorized positions for &lt;b&gt;[Hospital administrators/ Executive directors]&lt;/b&gt; are currently filled?</t>
  </si>
  <si>
    <t>(3.03c) In the last 12 months, how many &lt;b&gt;[Hospital administrators/ Executive directors]&lt;/b&gt; have left the facility permanently?</t>
  </si>
  <si>
    <t>(3.04c) How many &lt;b&gt;[Hospital administrators/ Executive directors]&lt;/b&gt; work regularly in this facility without being in an authorized position?</t>
  </si>
  <si>
    <t>(3.05c) In the last 12 months, how many &lt;b&gt;[Hospital administrators/ Executive directors]&lt;/b&gt; have been hired?</t>
  </si>
  <si>
    <t>f1_03d_nt</t>
  </si>
  <si>
    <t>(3.01d) How many authorized positions are there in the facility for &lt;b&gt;[Nurses]&lt;/b&gt;?</t>
  </si>
  <si>
    <t>(3.02d) How many authorized positions for &lt;b&gt;[Nurses]&lt;/b&gt; are currently filled?</t>
  </si>
  <si>
    <t>(3.03d) In the last 12 months, how many &lt;b&gt;[Nurses]&lt;/b&gt; have left the facility permanently?</t>
  </si>
  <si>
    <t>(3.04d) How many &lt;b&gt;[Nurses]&lt;/b&gt; work regularly in this facility without being in an authorized position?</t>
  </si>
  <si>
    <t>(3.05d) In the last 12 months, how many &lt;b&gt;[Nurses]&lt;/b&gt; have been hired?</t>
  </si>
  <si>
    <t>f1_03_g6</t>
  </si>
  <si>
    <t>f1_03e_nt</t>
  </si>
  <si>
    <t>(3.01e) How many authorized positions are there in the facility for &lt;b&gt;[Midwives]&lt;/b&gt;?</t>
  </si>
  <si>
    <t>(3.02e) How many authorized positions for &lt;b&gt;[Midwives]&lt;/b&gt;  are currently filled?</t>
  </si>
  <si>
    <t>(3.03e) In the last 12 months, how many &lt;b&gt;[Midwives]&lt;/b&gt;  have left the facility permanently?</t>
  </si>
  <si>
    <t>(3.04e) How many &lt;b&gt;[Midwives]&lt;/b&gt;  work regularly in this facility without being in an authorized position?</t>
  </si>
  <si>
    <t>(3.05e) In the last 12 months, how many &lt;b&gt;[Midwives]&lt;/b&gt;  have been hired?</t>
  </si>
  <si>
    <t>f1_03_g7</t>
  </si>
  <si>
    <t>f1_03f_nt</t>
  </si>
  <si>
    <t>(3.01f) How many authorized positions are there in the facility for &lt;b&gt;[Pharmacists]&lt;/b&gt;?</t>
  </si>
  <si>
    <t>(3.02f) How many authorized positions for &lt;b&gt;[Pharmacists]&lt;/b&gt;  are currently filled?</t>
  </si>
  <si>
    <t>(3.03f) In the last 12 months, how many &lt;b&gt;[Pharmacists]&lt;/b&gt;  have left the facility permanently?</t>
  </si>
  <si>
    <t>(3.04f) How many &lt;b&gt;[Pharmacists]&lt;/b&gt;  work regularly in this facility without being in an authorized position?</t>
  </si>
  <si>
    <t>(3.05f) In the last 12 months, how many &lt;b&gt;[Pharmacists]&lt;/b&gt;  have been hired?</t>
  </si>
  <si>
    <t>f1_03_g8</t>
  </si>
  <si>
    <t>f1_03g_nt</t>
  </si>
  <si>
    <t>(3.01g) How many authorized positions are there in the facility for &lt;b&gt;[PHO]&lt;/b&gt;?</t>
  </si>
  <si>
    <t>(3.02g) How many authorized positions for &lt;b&gt;[PHO]&lt;/b&gt; are currently filled?</t>
  </si>
  <si>
    <t>(3.03g) In the last 12 months, how many &lt;b&gt;[PHO]&lt;/b&gt; have left the facility permanently?</t>
  </si>
  <si>
    <t>(3.04g) How many &lt;b&gt;[PHO]&lt;/b&gt; work regularly in this facility without being in an authorized position?</t>
  </si>
  <si>
    <t>(3.05g) In the last 12 months, how many &lt;b&gt;[PHO]&lt;/b&gt; have been hired?</t>
  </si>
  <si>
    <t>(3.01h) How many authorized positions are there in the facility for &lt;b&gt;[Pharmacy technicians]&lt;/b&gt;?</t>
  </si>
  <si>
    <t>(3.02h) How many authorized positions for &lt;b&gt;[Pharmacy technicians]&lt;/b&gt; are currently filled?</t>
  </si>
  <si>
    <t>(3.03h) In the last 12 months, how many &lt;b&gt;[Pharmacy technicians]&lt;/b&gt; have left the facility permanently?</t>
  </si>
  <si>
    <t>(3.04h) How many &lt;b&gt;[Pharmacy technicians]&lt;/b&gt; work regularly in this facility without being in an authorized position?</t>
  </si>
  <si>
    <t>(3.05h) In the last 12 months, how many &lt;b&gt;[Pharmacy technicians]&lt;/b&gt; have been hired?</t>
  </si>
  <si>
    <t>(3.01i) How many authorized positions are there in the facility for &lt;b&gt;[Pharmacy assistants]&lt;/b&gt;?</t>
  </si>
  <si>
    <t>(3.02i) How many authorized positions for &lt;b&gt;[Pharmacy assistants]&lt;/b&gt; are currently filled?</t>
  </si>
  <si>
    <t>(3.03i) In the last 12 months, how many &lt;b&gt;[Pharmacy assistants]&lt;/b&gt; have left the facility permanently?</t>
  </si>
  <si>
    <t>(3.04i) How many &lt;b&gt;[Pharmacy assistants]&lt;/b&gt; work regularly in this facility without being in an authorized position?</t>
  </si>
  <si>
    <t>(3.05i) In the last 12 months, how many &lt;b&gt;[Pharmacy assistants]&lt;/b&gt; have been hired?</t>
  </si>
  <si>
    <t>(3.01j) How many authorized positions are there in the facility for &lt;b&gt;[Lab technologists]&lt;/b&gt;?</t>
  </si>
  <si>
    <t>(3.02j) How many authorized positions for &lt;b&gt;[Lab technologists]&lt;/b&gt; are currently filled?</t>
  </si>
  <si>
    <t>(3.03j) In the last 12 months, how many &lt;b&gt;[Lab technologists]&lt;/b&gt; have left the facility permanently?</t>
  </si>
  <si>
    <t>(3.04j) How many &lt;b&gt;[Lab technologists]&lt;/b&gt; work regularly in this facility without being in an authorized position?</t>
  </si>
  <si>
    <t>(3.05j) In the last 12 months, how many &lt;b&gt;[Lab technologists]&lt;/b&gt; have been hired?</t>
  </si>
  <si>
    <t>(3.01k) How many authorized positions are there in the facility for &lt;b&gt;[Lab technicians]&lt;/b&gt;?</t>
  </si>
  <si>
    <t>(3.02k) How many authorized positions for &lt;b&gt;[Lab technicians]&lt;/b&gt; are currently filled?</t>
  </si>
  <si>
    <t>(3.03k) In the last 12 months, how many &lt;b&gt;[Lab technicians]&lt;/b&gt; have left the facility permanently?</t>
  </si>
  <si>
    <t>(3.04k) How many &lt;b&gt;[Lab technicians]&lt;/b&gt; work regularly in this facility without being in an authorized position?</t>
  </si>
  <si>
    <t>(3.05k) In the last 12 months, how many &lt;b&gt;[Lab technicians]&lt;/b&gt; have been hired?</t>
  </si>
  <si>
    <t>(3.01l) How many authorized positions are there in the facility for &lt;b&gt;[Classified Daily Employees (CDEs)]&lt;/b&gt;?</t>
  </si>
  <si>
    <t>(3.02l) How many authorized positions for &lt;b&gt;[Classified Daily Employees (CDEs)]&lt;/b&gt; are currently filled?</t>
  </si>
  <si>
    <t>(3.03l) In the last 12 months, how many &lt;b&gt;[Classified Daily Employees (CDEs)]&lt;/b&gt; have left the facility permanently?</t>
  </si>
  <si>
    <t>(3.04l) How many &lt;b&gt;[Classified Daily Employees (CDEs)]&lt;/b&gt; work regularly in this facility without being in an authorized position?</t>
  </si>
  <si>
    <t>(3.05l) In the last 12 months, how many &lt;b&gt;[Classified Daily Employees (CDEs)]&lt;/b&gt; have been hired?</t>
  </si>
  <si>
    <t>(3.01m) How many authorized positions are there in the facility for &lt;b&gt;[State Enrolled Nurses]&lt;/b&gt;?</t>
  </si>
  <si>
    <t>(3.02m) How many authorized positions for &lt;b&gt;[State Enrolled Nurses]&lt;/b&gt; are currently filled?</t>
  </si>
  <si>
    <t>(3.03m) In the last 12 months, how many &lt;b&gt;[State Enrolled Nurses]&lt;/b&gt; have left the facility permanently?</t>
  </si>
  <si>
    <t>(3.04m) How many &lt;b&gt;[State Enrolled Nurses]&lt;/b&gt; work regularly in this facility without being in an authorized position?</t>
  </si>
  <si>
    <t>(3.05m) In the last 12 months, how many &lt;b&gt;[State Enrolled Nurses]&lt;/b&gt; have been hired?</t>
  </si>
  <si>
    <t>(3.01n) How many authorized positions are there in the facility for &lt;b&gt;[State Registered Nurses]&lt;/b&gt;?</t>
  </si>
  <si>
    <t>(3.02n) How many authorized positions for &lt;b&gt;[State Registered Nurses]&lt;/b&gt; are currently filled?</t>
  </si>
  <si>
    <t>(3.03n) In the last 12 months, how many &lt;b&gt;[State Registered Nurses]&lt;/b&gt; have left the facility permanently?</t>
  </si>
  <si>
    <t>(3.04n) How many &lt;b&gt;[State Registered Nurses]&lt;/b&gt; work regularly in this facility without being in an authorized position?</t>
  </si>
  <si>
    <t>(3.05n) In the last 12 months, how many &lt;b&gt;[State Registered Nurses]&lt;/b&gt; have been hired?</t>
  </si>
  <si>
    <t>(3.01o) How many authorized positions are there in the facility for &lt;b&gt;[State Certified Midwives]&lt;/b&gt;?</t>
  </si>
  <si>
    <t>(3.02o) How many authorized positions for &lt;b&gt;[State Certified Midwives]&lt;/b&gt; are currently filled?</t>
  </si>
  <si>
    <t>(3.03o) In the last 12 months, how many &lt;b&gt;[State Certified Midwives]&lt;/b&gt; have left the facility permanently?</t>
  </si>
  <si>
    <t>(3.04o) How many &lt;b&gt;[State Certified Midwives]&lt;/b&gt; work regularly in this facility without being in an authorized position?</t>
  </si>
  <si>
    <t>(3.05o) In the last 12 months, how many &lt;b&gt;[State Certified Midwives]&lt;/b&gt; have been hired?</t>
  </si>
  <si>
    <t>(3.01p) How many authorized positions are there in the facility for &lt;b&gt;[State Enrolled Midwives]&lt;/b&gt;?</t>
  </si>
  <si>
    <t>(3.02p) How many authorized positions for &lt;b&gt;[State Enrolled Midwives]&lt;/b&gt; are currently filled?</t>
  </si>
  <si>
    <t>(3.03p) In the last 12 months, how many &lt;b&gt;[State Enrolled Midwives]&lt;/b&gt; have left the facility permanently?</t>
  </si>
  <si>
    <t>(3.04p) How many &lt;b&gt;[State Enrolled Midwives]&lt;/b&gt; work regularly in this facility without being in an authorized position?</t>
  </si>
  <si>
    <t>(3.05p) In the last 12 months, how many &lt;b&gt;[State Enrolled Midwives]&lt;/b&gt; have been hired?</t>
  </si>
  <si>
    <t>(3.01q) How many authorized positions are there in the facility for &lt;b&gt;[Community Health Nurses]&lt;/b&gt;?</t>
  </si>
  <si>
    <t>(3.02q) How many authorized positions for &lt;b&gt;[Community Health Nurses]&lt;/b&gt; are currently filled?</t>
  </si>
  <si>
    <t>(3.03q) In the last 12 months, how many &lt;b&gt;[Community Health Nurses]&lt;/b&gt; have left the facility permanently?</t>
  </si>
  <si>
    <t>(3.04q) How many &lt;b&gt;[Community Health Nurses]&lt;/b&gt; work regularly in this facility without being in an authorized position?</t>
  </si>
  <si>
    <t>(3.05q) In the last 12 months, how many &lt;b&gt;[Community Health Nurses]&lt;/b&gt; have been hired?</t>
  </si>
  <si>
    <t>(3.14) How many &lt;b&gt;[Community Health Nurses]&lt;/b&gt; work from this facility?</t>
  </si>
  <si>
    <t>(3.01s) How many authorized positions are there in the facility for &lt;b&gt;[Nurse Attendants]&lt;/b&gt;?</t>
  </si>
  <si>
    <t>(3.02s) How many authorized positions for &lt;b&gt;[Nurse Attendants]&lt;/b&gt; are currently filled?</t>
  </si>
  <si>
    <t>(3.03s) In the last 12 months, how many &lt;b&gt;[Nurse Attendants]&lt;/b&gt; have left the facility permanently?</t>
  </si>
  <si>
    <t>(3.04s) How many &lt;b&gt;[Nurse Attendants]&lt;/b&gt; work regularly in this facility without being in an authorized position?</t>
  </si>
  <si>
    <t>(3.05s) In the last 12 months, how many &lt;b&gt;[Nurse Attendants]&lt;/b&gt; have been hired?</t>
  </si>
  <si>
    <t>(3.01t) How many authorized positions are there in the facility for &lt;b&gt;[Ordelies]&lt;/b&gt;?</t>
  </si>
  <si>
    <t>(3.02t) How many authorized positions for &lt;b&gt;[Ordelies]&lt;/b&gt; are currently filled?</t>
  </si>
  <si>
    <t>(3.03t) In the last 12 months, how many &lt;b&gt;[Ordelies]&lt;/b&gt; have left the facility permanently?</t>
  </si>
  <si>
    <t>(3.04t) How many &lt;b&gt;[Ordelies]&lt;/b&gt; work regularly in this facility without being in an authorized position?</t>
  </si>
  <si>
    <t>(3.05t) In the last 12 months, how many &lt;b&gt;[Ordelies]&lt;/b&gt; have been hired?</t>
  </si>
  <si>
    <t>f1_03u_nt</t>
  </si>
  <si>
    <t>f1_03_g9</t>
  </si>
  <si>
    <t>f1_03_g10</t>
  </si>
  <si>
    <t>f1_03_g11</t>
  </si>
  <si>
    <t>f1_03_g12</t>
  </si>
  <si>
    <t>f1_03_g13</t>
  </si>
  <si>
    <t>f1_03_g14</t>
  </si>
  <si>
    <t>f1_03_g15</t>
  </si>
  <si>
    <t>f1_03_g25</t>
  </si>
  <si>
    <t>f1_03_07_nt</t>
  </si>
  <si>
    <t>f1_03_g26</t>
  </si>
  <si>
    <t>f1_03_10a</t>
  </si>
  <si>
    <t>f1_03_10b</t>
  </si>
  <si>
    <t>f1_03_12a</t>
  </si>
  <si>
    <t>f1_03_12b</t>
  </si>
  <si>
    <t>f1_03_12_2a</t>
  </si>
  <si>
    <t>f1_03_12_2b</t>
  </si>
  <si>
    <t>f1_03_12_2sum</t>
  </si>
  <si>
    <t>f1_03_12_1</t>
  </si>
  <si>
    <t>${f1_03_09}=1 and ${f1_03_12_1}=1</t>
  </si>
  <si>
    <t>f1_03_12_2_nt</t>
  </si>
  <si>
    <t>${f1_03_13} = 1</t>
  </si>
  <si>
    <t>f1_03_g27</t>
  </si>
  <si>
    <t>f1_03_15_nt</t>
  </si>
  <si>
    <t>f1_03_15_lb</t>
  </si>
  <si>
    <t>f1_03_15_a</t>
  </si>
  <si>
    <t>f1_03_15_b</t>
  </si>
  <si>
    <t>f1_03_15_c</t>
  </si>
  <si>
    <t>f1_03_15_d</t>
  </si>
  <si>
    <t>f1_03_15_e</t>
  </si>
  <si>
    <t>f1_03_15_f</t>
  </si>
  <si>
    <t>f1_03_15_g</t>
  </si>
  <si>
    <t>f1_03_15_h</t>
  </si>
  <si>
    <t>f1_03_15_i</t>
  </si>
  <si>
    <t>f1_03_15_j</t>
  </si>
  <si>
    <t>f1_03_15_j_other</t>
  </si>
  <si>
    <t>${f1_03_15_j}=1</t>
  </si>
  <si>
    <t>f1_04_g1</t>
  </si>
  <si>
    <t>f1_04_nt1</t>
  </si>
  <si>
    <t>f1_04_nt2</t>
  </si>
  <si>
    <t>f1_04_roster</t>
  </si>
  <si>
    <t>int(${f1_04_roster})</t>
  </si>
  <si>
    <t>f1_04_rr</t>
  </si>
  <si>
    <t>f1_04_g2</t>
  </si>
  <si>
    <t>orig_inst</t>
  </si>
  <si>
    <t>pulldata('instanceid')</t>
  </si>
  <si>
    <t>Staff_id</t>
  </si>
  <si>
    <t>Staff name</t>
  </si>
  <si>
    <t>gender</t>
  </si>
  <si>
    <t>select_one gender</t>
  </si>
  <si>
    <t>f1_04_g3</t>
  </si>
  <si>
    <t>f1_04_12</t>
  </si>
  <si>
    <t xml:space="preserve">${f1_04_11}=0 </t>
  </si>
  <si>
    <t>${f1_04_12} = 96</t>
  </si>
  <si>
    <t>count-selected(.) &lt;=5</t>
  </si>
  <si>
    <t>f1_05_02_nt</t>
  </si>
  <si>
    <t>f1_05_01_nt</t>
  </si>
  <si>
    <t>f1_05_01_1n_a</t>
  </si>
  <si>
    <t>f1_05_01_2n_a</t>
  </si>
  <si>
    <t>f1_05_01_3n_a</t>
  </si>
  <si>
    <t>f1_05_01_4n_a</t>
  </si>
  <si>
    <t>f1_05_01_1n_b</t>
  </si>
  <si>
    <t>f1_05_01_2n_b</t>
  </si>
  <si>
    <t>f1_05_01_3n_b</t>
  </si>
  <si>
    <t>f1_05_01_4n_b</t>
  </si>
  <si>
    <t>f1_05_01_1n_c</t>
  </si>
  <si>
    <t>f1_05_01_2n_c</t>
  </si>
  <si>
    <t>f1_05_01_3n_c</t>
  </si>
  <si>
    <t>f1_05_01_4n_c</t>
  </si>
  <si>
    <t>f1_05_01_1n_d</t>
  </si>
  <si>
    <t>f1_05_01_2n_d</t>
  </si>
  <si>
    <t>f1_05_01_3n_d</t>
  </si>
  <si>
    <t>f1_05_01_4n_d</t>
  </si>
  <si>
    <t>f1_05_01_1n_e</t>
  </si>
  <si>
    <t>f1_05_01_2n_e</t>
  </si>
  <si>
    <t>f1_05_01_3n_e</t>
  </si>
  <si>
    <t>f1_05_01_4n_e</t>
  </si>
  <si>
    <t>${f1_05_01_1n_a} &gt;0</t>
  </si>
  <si>
    <t>${f1_05_01_1n_a} = 0 or ${f1_05_01_2n_a} = 1</t>
  </si>
  <si>
    <t>${f1_05_01_1n_b} &gt;0</t>
  </si>
  <si>
    <t xml:space="preserve">${f1_05_01_1n_b}=0  or ${f1_05_01_2n_b}=1 </t>
  </si>
  <si>
    <t>${f1_05_01_1n_c} &gt;0</t>
  </si>
  <si>
    <t>${f1_05_01_1n_c} = 0 or ${f1_05_01_2n_c} = 1</t>
  </si>
  <si>
    <t>${f1_05_01_1n_d} &gt;0</t>
  </si>
  <si>
    <t>${f1_05_01_1n_d} = 0 or ${f1_05_01_2n_d} = 1</t>
  </si>
  <si>
    <t>${f1_05_01_1n_e} &gt;0</t>
  </si>
  <si>
    <t>${f1_05_01_1n_e} = 0 or ${f1_05_01_2n_e} = 1</t>
  </si>
  <si>
    <t>f1_05_02_nt2</t>
  </si>
  <si>
    <t>f1_05_02_nt3</t>
  </si>
  <si>
    <t>f1_05_02_lb2</t>
  </si>
  <si>
    <t>f1_05_02_lb1</t>
  </si>
  <si>
    <t>f1_05_03a_nt2</t>
  </si>
  <si>
    <t>f1_05_03a_nt1</t>
  </si>
  <si>
    <t>${f1_05_02a} &lt; 3</t>
  </si>
  <si>
    <t>${f1_05_02b} &lt; 3</t>
  </si>
  <si>
    <t>${f1_05_02c} &lt; 3</t>
  </si>
  <si>
    <t>${f1_05_02d} &lt; 3</t>
  </si>
  <si>
    <t>${f1_05_02e} &lt; 3</t>
  </si>
  <si>
    <t>${f1_05_02f} &lt; 3</t>
  </si>
  <si>
    <t>${f1_05_02g} &lt; 3</t>
  </si>
  <si>
    <t>${f1_05_02h} &lt; 3</t>
  </si>
  <si>
    <t>${f1_05_02i} &lt; 3</t>
  </si>
  <si>
    <t>${f1_05_02j} &lt; 3</t>
  </si>
  <si>
    <t>${f1_05_02k} &lt; 3</t>
  </si>
  <si>
    <t>${f1_05_02l} &lt; 3</t>
  </si>
  <si>
    <t>${f1_05_02m} &lt; 3</t>
  </si>
  <si>
    <t>${f1_05_02n} &lt; 3</t>
  </si>
  <si>
    <t>${f1_05_02o} &lt; 3</t>
  </si>
  <si>
    <t>${f1_05_02p} &lt; 3</t>
  </si>
  <si>
    <t>f1_05_04_nt0</t>
  </si>
  <si>
    <t>f1_05_05_nt</t>
  </si>
  <si>
    <t>f1_05_06_nt</t>
  </si>
  <si>
    <t>f1_06_nt1</t>
  </si>
  <si>
    <t>f1_06_nt2</t>
  </si>
  <si>
    <t>f1_06_06_nt</t>
  </si>
  <si>
    <t>&lt;b&gt;&lt;font&gt;INTERVIEWER: READ EACH OPTION ALOUD. FOR EACH OPTION, RECORD "1" IF THE FACILITY HAS THE CITED STORAGE METHOD, "0" IF NOT. .&lt;/font&gt;&lt;b&gt;</t>
  </si>
  <si>
    <t>f1_06_06_lb</t>
  </si>
  <si>
    <t>f1_05_06a</t>
  </si>
  <si>
    <t>f1_05_06b</t>
  </si>
  <si>
    <t>f1_05_06c</t>
  </si>
  <si>
    <t>f1_05_06d</t>
  </si>
  <si>
    <t>f1_06_13_nt</t>
  </si>
  <si>
    <t>f1_06_16</t>
  </si>
  <si>
    <t>(6.16) In the last 6 months, how many times did the facility hold meetings with Traditional Birth Attendants?</t>
  </si>
  <si>
    <t>(6.16) MAXIMUM 185</t>
  </si>
  <si>
    <t>f1_06_22_nt</t>
  </si>
  <si>
    <t>(6.27) In the &lt;u&gt;last 30 days&lt;/u&gt;, on how many days was postpartum care available to women?</t>
  </si>
  <si>
    <t>(6.28) In the &lt;u&gt;last 6 months&lt;/u&gt;, how many outreach clinics were held by this facility that included postpartum services?</t>
  </si>
  <si>
    <t>(6.29) In the &lt;u&gt;last 6 months&lt;/u&gt;, how many women were referred to another facility due to complications during delivery?</t>
  </si>
  <si>
    <t>(6.30) In the &lt;u&gt;last 6 months&lt;/u&gt;, how many women/infants were referred to another facility due to neo-natal complications?</t>
  </si>
  <si>
    <t xml:space="preserve">(6.31) In the &lt;u&gt;last 12 months&lt;/u&gt;, how many maternal deaths were recorded at the facility? </t>
  </si>
  <si>
    <t>f1_06_37_nt</t>
  </si>
  <si>
    <t>f1_06_42_nt</t>
  </si>
  <si>
    <t>f1_06_50_nt</t>
  </si>
  <si>
    <t>f1_06_50_nt2</t>
  </si>
  <si>
    <t>Health pregnancy covered in health education sessions in this period</t>
  </si>
  <si>
    <t>f1_07_nt1</t>
  </si>
  <si>
    <t>f1_07_nt2</t>
  </si>
  <si>
    <t>f1_07_02_nt</t>
  </si>
  <si>
    <t>f1_07_02a</t>
  </si>
  <si>
    <t>f1_07_02b</t>
  </si>
  <si>
    <t>f1_07_02c</t>
  </si>
  <si>
    <t>f1_07_02d</t>
  </si>
  <si>
    <t>f1_07_02e</t>
  </si>
  <si>
    <t>f1_07_02f</t>
  </si>
  <si>
    <t xml:space="preserve">rating_box-fill-f6f6f6-009688-737373-ffffff  </t>
  </si>
  <si>
    <t>horizontal(50)</t>
  </si>
  <si>
    <t>if((${f1_07_02b} + ${f1_07_02c}) = ${f1_07_02a}, 1, 0)</t>
  </si>
  <si>
    <t>${f1_07_01} = 1 and ${f1_07_02_cal} = 0</t>
  </si>
  <si>
    <t>f1_07_02_cal</t>
  </si>
  <si>
    <t>f1_07_03_nt1</t>
  </si>
  <si>
    <t>f1_07_03_nt2</t>
  </si>
  <si>
    <t>selection_one_hide::dk gridformat&lt;row = 2, col = 0, fill = fill/&gt;</t>
  </si>
  <si>
    <t>selection_one_hide::dk gridformat&lt;row = 2, col = 1, fill = fill/&gt;</t>
  </si>
  <si>
    <t>selection_one_hide::dk gridformat&lt;row = 3, col = 0, fill = fill/&gt;</t>
  </si>
  <si>
    <t>selection_one_hide::dk gridformat&lt;row = 3, col = 1, fill = fill/&gt;</t>
  </si>
  <si>
    <t>stata::English</t>
  </si>
  <si>
    <t>dk</t>
  </si>
  <si>
    <t>Don't Know</t>
  </si>
  <si>
    <t>f1_07_06_nt</t>
  </si>
  <si>
    <t>f1_07_06_nt2</t>
  </si>
  <si>
    <t>selection_one_hide::dk  gridformat&lt;row = 4, col = 0, fill = fill/&gt;</t>
  </si>
  <si>
    <t>selection_one_hide::dk  gridformat&lt;row = 4, col = 1, fill = fill/&gt;</t>
  </si>
  <si>
    <t>selection_one_hide::dk  gridformat&lt;row = 2, col = 0, fill = fill/&gt;</t>
  </si>
  <si>
    <t>selection_one_hide::dk  gridformat&lt;row = 2, col = 1, fill = fill/&gt;</t>
  </si>
  <si>
    <t>selection_one_hide::dk  gridformat&lt;row = 3, col = 0, fill = fill/&gt;</t>
  </si>
  <si>
    <t>selection_one_hide::dk  gridformat&lt;row = 3, col = 1, fill = fill/&gt;</t>
  </si>
  <si>
    <t xml:space="preserve">if(${f1_07_06_i} = - 99, 0,${f1_07_06_i}) + if(${f1_07_07_i} = - 99, 0,${f1_07_07_i}) </t>
  </si>
  <si>
    <t>f1_07_08_nt1</t>
  </si>
  <si>
    <t>f1_07_08_nt2</t>
  </si>
  <si>
    <t>(7.03o) Male outpatients</t>
  </si>
  <si>
    <t>(7.03i) Male inpatients</t>
  </si>
  <si>
    <t>(7.04o) Female outpatients</t>
  </si>
  <si>
    <t>(7.04i) Female inpatients</t>
  </si>
  <si>
    <t>(7.05o) Pregnant women outpatients</t>
  </si>
  <si>
    <t>(7.05i) Pregnant women inpatients</t>
  </si>
  <si>
    <t xml:space="preserve">Number of TOTAL under 1 patients - PROGRAM GENERATE THIS FROM male AND female BELOW </t>
  </si>
  <si>
    <t xml:space="preserve">Number of TOTAL under 5 patients - PROGRAM GENERATE THIS FROM male AND female BELOW </t>
  </si>
  <si>
    <t xml:space="preserve">if(${f1_07_08_o} = - 99, 0,${f1_07_08_o}) + if(${f1_07_09_o} = - 99, 0,${f1_07_09_o}) </t>
  </si>
  <si>
    <t xml:space="preserve">if(${f1_07_08_i} = - 99, 0,${f1_07_08_i}) + if(${f1_07_09_i} = - 99, 0,${f1_07_09_i}) </t>
  </si>
  <si>
    <t>f1_08_01a_1</t>
  </si>
  <si>
    <t>f1_08_01a_2</t>
  </si>
  <si>
    <t>f1_08_nt1</t>
  </si>
  <si>
    <t>f1_08_nt2</t>
  </si>
  <si>
    <t>f1_08_nt3</t>
  </si>
  <si>
    <t>f1_08_04a_nt</t>
  </si>
  <si>
    <t>f1_08_04a_1_nt</t>
  </si>
  <si>
    <t>f1_08_04a_2_nt</t>
  </si>
  <si>
    <t>f1_08_04a_3_nt</t>
  </si>
  <si>
    <t xml:space="preserve">(8.01b) Does this facility provide &lt;b&gt;Injection&lt;/b&gt; within the facility and/or as outreach? </t>
  </si>
  <si>
    <t>f1_08_04b_nt</t>
  </si>
  <si>
    <t>f1_08_04b_1_nt</t>
  </si>
  <si>
    <t>f1_08_04b_2_nt</t>
  </si>
  <si>
    <t>f1_08_04b_3_nt</t>
  </si>
  <si>
    <t>f1_08_04b_2i</t>
  </si>
  <si>
    <t>f1_08_04b_2o</t>
  </si>
  <si>
    <t>f1_08_04b_3i</t>
  </si>
  <si>
    <t>f1_08_04b_3o</t>
  </si>
  <si>
    <t>f1_08_04c_nt</t>
  </si>
  <si>
    <t>f1_08_04c_1_nt</t>
  </si>
  <si>
    <t>f1_08_04c_1i</t>
  </si>
  <si>
    <t>f1_08_04c_1o</t>
  </si>
  <si>
    <t>f1_08_04c_2_nt</t>
  </si>
  <si>
    <t>f1_08_04c_2i</t>
  </si>
  <si>
    <t>f1_08_04c_2o</t>
  </si>
  <si>
    <t>f1_08_04c_3_nt</t>
  </si>
  <si>
    <t>f1_08_04c_3i</t>
  </si>
  <si>
    <t>f1_08_04c_3o</t>
  </si>
  <si>
    <t>f1_08_04d_nt</t>
  </si>
  <si>
    <t xml:space="preserve">(8.01d) Does this facility provide &lt;b&gt;Male condoms&lt;/b&gt; within the facility and/or as outreach? </t>
  </si>
  <si>
    <t>f1_08_04d_1_nt</t>
  </si>
  <si>
    <t>f1_08_04d_2_nt</t>
  </si>
  <si>
    <t>f1_08_04d_3_nt</t>
  </si>
  <si>
    <t>f1_08_04d_1i</t>
  </si>
  <si>
    <t>f1_08_04d_1o</t>
  </si>
  <si>
    <t>f1_08_04d_2i</t>
  </si>
  <si>
    <t>f1_08_04d_2o</t>
  </si>
  <si>
    <t>f1_08_04d_3i</t>
  </si>
  <si>
    <t>f1_08_04d_3o</t>
  </si>
  <si>
    <t>f1_08_04e_nt</t>
  </si>
  <si>
    <t>f1_08_04e_1_nt</t>
  </si>
  <si>
    <t>f1_08_04e_1i</t>
  </si>
  <si>
    <t>f1_08_04e_1o</t>
  </si>
  <si>
    <t>f1_08_04e_2_nt</t>
  </si>
  <si>
    <t>f1_08_04e_2i</t>
  </si>
  <si>
    <t>f1_08_04e_2o</t>
  </si>
  <si>
    <t>f1_08_04e_3_nt</t>
  </si>
  <si>
    <t>f1_08_04e_3i</t>
  </si>
  <si>
    <t>f1_08_04e_3o</t>
  </si>
  <si>
    <t>f1_08_04f_1o</t>
  </si>
  <si>
    <t>f1_08_04g_1o</t>
  </si>
  <si>
    <t>f1_08_04h_1o</t>
  </si>
  <si>
    <t>f1_08_04i_1o</t>
  </si>
  <si>
    <t>f1_08_04j_1o</t>
  </si>
  <si>
    <t>f1_08_04k_1o</t>
  </si>
  <si>
    <t>f1_08_04l_1o</t>
  </si>
  <si>
    <t>f1_08_04m_1o</t>
  </si>
  <si>
    <t>f1_08_04n_1o</t>
  </si>
  <si>
    <t>f1_08_04o_1o</t>
  </si>
  <si>
    <t>f1_08_04p_1o</t>
  </si>
  <si>
    <t>f1_08_04p0_1o</t>
  </si>
  <si>
    <t>f1_08_04q_1o</t>
  </si>
  <si>
    <t>f1_08_04r_1o</t>
  </si>
  <si>
    <t>f1_08_04s_1o</t>
  </si>
  <si>
    <t>f1_08_04t_1o</t>
  </si>
  <si>
    <t>f1_08_04u_1o</t>
  </si>
  <si>
    <t>f1_08_04v_1o</t>
  </si>
  <si>
    <t>f1_08_04w_1o</t>
  </si>
  <si>
    <t>f1_08_04x_1o</t>
  </si>
  <si>
    <t>f1_08_04y_1o</t>
  </si>
  <si>
    <t>f1_08_04f_1i</t>
  </si>
  <si>
    <t>f1_08_04g_1i</t>
  </si>
  <si>
    <t>f1_08_04h_1i</t>
  </si>
  <si>
    <t>f1_08_04i_1i</t>
  </si>
  <si>
    <t>f1_08_04j_1i</t>
  </si>
  <si>
    <t>f1_08_04k_1i</t>
  </si>
  <si>
    <t>f1_08_04l_1i</t>
  </si>
  <si>
    <t>f1_08_04m_1i</t>
  </si>
  <si>
    <t>f1_08_04n_1i</t>
  </si>
  <si>
    <t>f1_08_04o_1i</t>
  </si>
  <si>
    <t>f1_08_04p_1i</t>
  </si>
  <si>
    <t>f1_08_04p0_1i</t>
  </si>
  <si>
    <t>f1_08_04q_1i</t>
  </si>
  <si>
    <t>f1_08_04r_1i</t>
  </si>
  <si>
    <t>f1_08_04s_1i</t>
  </si>
  <si>
    <t>f1_08_04t_1i</t>
  </si>
  <si>
    <t>f1_08_04u_1i</t>
  </si>
  <si>
    <t>f1_08_04v_1i</t>
  </si>
  <si>
    <t>f1_08_04w_1i</t>
  </si>
  <si>
    <t>f1_08_04x_1i</t>
  </si>
  <si>
    <t>f1_08_04y_1i</t>
  </si>
  <si>
    <t>f1_08_04f_2o</t>
  </si>
  <si>
    <t>f1_08_04g_2o</t>
  </si>
  <si>
    <t>f1_08_04h_2o</t>
  </si>
  <si>
    <t>f1_08_04i_2o</t>
  </si>
  <si>
    <t>f1_08_04j_2o</t>
  </si>
  <si>
    <t>f1_08_04k_2o</t>
  </si>
  <si>
    <t>f1_08_04l_2o</t>
  </si>
  <si>
    <t>f1_08_04m_2o</t>
  </si>
  <si>
    <t>f1_08_04n_2o</t>
  </si>
  <si>
    <t>f1_08_04o_2o</t>
  </si>
  <si>
    <t>f1_08_04p_2o</t>
  </si>
  <si>
    <t>f1_08_04p0_2o</t>
  </si>
  <si>
    <t>f1_08_04q_2o</t>
  </si>
  <si>
    <t>f1_08_04r_2o</t>
  </si>
  <si>
    <t>f1_08_04s_2o</t>
  </si>
  <si>
    <t>f1_08_04t_2o</t>
  </si>
  <si>
    <t>f1_08_04u_2o</t>
  </si>
  <si>
    <t>f1_08_04v_2o</t>
  </si>
  <si>
    <t>f1_08_04w_2o</t>
  </si>
  <si>
    <t>f1_08_04x_2o</t>
  </si>
  <si>
    <t>f1_08_04y_2o</t>
  </si>
  <si>
    <t>f1_08_04f_2i</t>
  </si>
  <si>
    <t>f1_08_04g_2i</t>
  </si>
  <si>
    <t>f1_08_04h_2i</t>
  </si>
  <si>
    <t>f1_08_04i_2i</t>
  </si>
  <si>
    <t>f1_08_04j_2i</t>
  </si>
  <si>
    <t>f1_08_04k_2i</t>
  </si>
  <si>
    <t>f1_08_04l_2i</t>
  </si>
  <si>
    <t>f1_08_04m_2i</t>
  </si>
  <si>
    <t>f1_08_04n_2i</t>
  </si>
  <si>
    <t>f1_08_04o_2i</t>
  </si>
  <si>
    <t>f1_08_04p_2i</t>
  </si>
  <si>
    <t>f1_08_04p0_2i</t>
  </si>
  <si>
    <t>f1_08_04q_2i</t>
  </si>
  <si>
    <t>f1_08_04r_2i</t>
  </si>
  <si>
    <t>f1_08_04s_2i</t>
  </si>
  <si>
    <t>f1_08_04t_2i</t>
  </si>
  <si>
    <t>f1_08_04u_2i</t>
  </si>
  <si>
    <t>f1_08_04v_2i</t>
  </si>
  <si>
    <t>f1_08_04w_2i</t>
  </si>
  <si>
    <t>f1_08_04x_2i</t>
  </si>
  <si>
    <t>f1_08_04y_2i</t>
  </si>
  <si>
    <t>f1_08_04f_3i</t>
  </si>
  <si>
    <t>f1_08_04g_3i</t>
  </si>
  <si>
    <t>f1_08_04h_3i</t>
  </si>
  <si>
    <t>f1_08_04i_3i</t>
  </si>
  <si>
    <t>f1_08_04j_3i</t>
  </si>
  <si>
    <t>f1_08_04k_3i</t>
  </si>
  <si>
    <t>f1_08_04l_3i</t>
  </si>
  <si>
    <t>f1_08_04m_3i</t>
  </si>
  <si>
    <t>f1_08_04n_3i</t>
  </si>
  <si>
    <t>f1_08_04o_3i</t>
  </si>
  <si>
    <t>f1_08_04p_3i</t>
  </si>
  <si>
    <t>f1_08_04p0_3i</t>
  </si>
  <si>
    <t>f1_08_04q_3i</t>
  </si>
  <si>
    <t>f1_08_04r_3i</t>
  </si>
  <si>
    <t>f1_08_04s_3i</t>
  </si>
  <si>
    <t>f1_08_04t_3i</t>
  </si>
  <si>
    <t>f1_08_04u_3i</t>
  </si>
  <si>
    <t>f1_08_04v_3i</t>
  </si>
  <si>
    <t>f1_08_04w_3i</t>
  </si>
  <si>
    <t>f1_08_04x_3i</t>
  </si>
  <si>
    <t>f1_08_04y_3i</t>
  </si>
  <si>
    <t>f1_08_04f_3o</t>
  </si>
  <si>
    <t>f1_08_04g_3o</t>
  </si>
  <si>
    <t>f1_08_04h_3o</t>
  </si>
  <si>
    <t>f1_08_04i_3o</t>
  </si>
  <si>
    <t>f1_08_04j_3o</t>
  </si>
  <si>
    <t>f1_08_04k_3o</t>
  </si>
  <si>
    <t>f1_08_04l_3o</t>
  </si>
  <si>
    <t>f1_08_04m_3o</t>
  </si>
  <si>
    <t>f1_08_04n_3o</t>
  </si>
  <si>
    <t>f1_08_04o_3o</t>
  </si>
  <si>
    <t>f1_08_04p_3o</t>
  </si>
  <si>
    <t>f1_08_04p0_3o</t>
  </si>
  <si>
    <t>f1_08_04q_3o</t>
  </si>
  <si>
    <t>f1_08_04r_3o</t>
  </si>
  <si>
    <t>f1_08_04s_3o</t>
  </si>
  <si>
    <t>f1_08_04t_3o</t>
  </si>
  <si>
    <t>f1_08_04u_3o</t>
  </si>
  <si>
    <t>f1_08_04v_3o</t>
  </si>
  <si>
    <t>f1_08_04w_3o</t>
  </si>
  <si>
    <t>f1_08_04x_3o</t>
  </si>
  <si>
    <t>f1_08_04y_3o</t>
  </si>
  <si>
    <t>f1_08_04aa_3o</t>
  </si>
  <si>
    <t>f1_08_04ab_3o</t>
  </si>
  <si>
    <t>f1_08_04ac_3o</t>
  </si>
  <si>
    <t>f1_08_04ad_3o</t>
  </si>
  <si>
    <t>f1_08_04ae_3o</t>
  </si>
  <si>
    <t>f1_08_04af_3o</t>
  </si>
  <si>
    <t>f1_08_04aj_3o</t>
  </si>
  <si>
    <t>f1_08_04ak_3o</t>
  </si>
  <si>
    <t>f1_08_04al_3o</t>
  </si>
  <si>
    <t>f1_08_04am_3o</t>
  </si>
  <si>
    <t>f1_08_04_an_3o</t>
  </si>
  <si>
    <t>f1_08_04ao_3o</t>
  </si>
  <si>
    <t>f1_08_04aa_3i</t>
  </si>
  <si>
    <t>f1_08_04ab_3i</t>
  </si>
  <si>
    <t>f1_08_04ac_3i</t>
  </si>
  <si>
    <t>f1_08_04ad_3i</t>
  </si>
  <si>
    <t>f1_08_04ae_3i</t>
  </si>
  <si>
    <t>f1_08_04af_3i</t>
  </si>
  <si>
    <t>f1_08_04aj_3i</t>
  </si>
  <si>
    <t>f1_08_04ak_3i</t>
  </si>
  <si>
    <t>f1_08_04al_3i</t>
  </si>
  <si>
    <t>f1_08_04am_3i</t>
  </si>
  <si>
    <t>f1_08_04an_3i</t>
  </si>
  <si>
    <t>f1_08_04ao_3i</t>
  </si>
  <si>
    <t>f1_08_04aa_2i</t>
  </si>
  <si>
    <t>f1_08_04ab_2i</t>
  </si>
  <si>
    <t>f1_08_04ac_2i</t>
  </si>
  <si>
    <t>f1_08_04ad_2i</t>
  </si>
  <si>
    <t>f1_08_04ae_2i</t>
  </si>
  <si>
    <t>f1_08_04af_2i</t>
  </si>
  <si>
    <t>f1_08_04aj_2i</t>
  </si>
  <si>
    <t>f1_08_04ak_2i</t>
  </si>
  <si>
    <t>f1_08_04al_2i</t>
  </si>
  <si>
    <t>f1_08_04am_2i</t>
  </si>
  <si>
    <t>f1_08_04an_2i</t>
  </si>
  <si>
    <t>f1_08_04ao_2i</t>
  </si>
  <si>
    <t>f1_08_04aa_2o</t>
  </si>
  <si>
    <t>f1_08_04ab_2o</t>
  </si>
  <si>
    <t>f1_08_04ac_2o</t>
  </si>
  <si>
    <t>f1_08_04ad_2o</t>
  </si>
  <si>
    <t>f1_08_04ae_2o</t>
  </si>
  <si>
    <t>f1_08_04af_2o</t>
  </si>
  <si>
    <t>f1_08_04aj_2o</t>
  </si>
  <si>
    <t>f1_08_04ak_2o</t>
  </si>
  <si>
    <t>f1_08_04al_2o</t>
  </si>
  <si>
    <t>f1_08_04am_2o</t>
  </si>
  <si>
    <t>f1_08_04_an_2o</t>
  </si>
  <si>
    <t>f1_08_04ao_2o</t>
  </si>
  <si>
    <t>f1_08_04aa_1o</t>
  </si>
  <si>
    <t>f1_08_04ab_1o</t>
  </si>
  <si>
    <t>f1_08_04ac_1o</t>
  </si>
  <si>
    <t>f1_08_04ad_1o</t>
  </si>
  <si>
    <t>f1_08_04ae_1o</t>
  </si>
  <si>
    <t>f1_08_04af_1o</t>
  </si>
  <si>
    <t>f1_08_04aj_1o</t>
  </si>
  <si>
    <t>f1_08_04ak_1o</t>
  </si>
  <si>
    <t>f1_08_04al_1o</t>
  </si>
  <si>
    <t>f1_08_04am_1o</t>
  </si>
  <si>
    <t>f1_08_04_an_1o</t>
  </si>
  <si>
    <t>f1_08_04ao_1o</t>
  </si>
  <si>
    <t>f1_08_04aa_1i</t>
  </si>
  <si>
    <t>f1_08_04ab_1i</t>
  </si>
  <si>
    <t>f1_08_04ac_1i</t>
  </si>
  <si>
    <t>f1_08_04ad_1i</t>
  </si>
  <si>
    <t>f1_08_04ae_1i</t>
  </si>
  <si>
    <t>f1_08_04af_1i</t>
  </si>
  <si>
    <t>f1_08_04aj_1i</t>
  </si>
  <si>
    <t>f1_08_04ak_1i</t>
  </si>
  <si>
    <t>f1_08_04al_1i</t>
  </si>
  <si>
    <t>f1_08_04am_1i</t>
  </si>
  <si>
    <t>f1_08_04an_1i</t>
  </si>
  <si>
    <t>f1_08_04ao_1i</t>
  </si>
  <si>
    <t>f1_09_nt1</t>
  </si>
  <si>
    <t>f1_09_nt2</t>
  </si>
  <si>
    <t>f1_09_08</t>
  </si>
  <si>
    <t>(9.08) The facility charge any fees from (9.01), (9.02), (9.03), (9.04) And (9.05). Please confirm?</t>
  </si>
  <si>
    <t>(9.08) Please check fees from (9.01), (9.02), (9.03), (9.04) And (9.05)</t>
  </si>
  <si>
    <t>f1_09_09_nt1</t>
  </si>
  <si>
    <t>f1_09_09_nt2</t>
  </si>
  <si>
    <t>f1_09_10_nt1</t>
  </si>
  <si>
    <t>f1_09_10_nt2</t>
  </si>
  <si>
    <t>(9.10) In the &lt;u&gt;last 3 months&lt;/u&gt;, where did the facility direct revenue from user fees?</t>
  </si>
  <si>
    <t>f1_09_11_nt1</t>
  </si>
  <si>
    <t>f1_09_11_nt2</t>
  </si>
  <si>
    <t>f1_09_12_nt1</t>
  </si>
  <si>
    <t>f1_09_12_nt2</t>
  </si>
  <si>
    <t xml:space="preserve">${f1_09_08} = 1 </t>
  </si>
  <si>
    <t>f1_09_16_nt1</t>
  </si>
  <si>
    <t>f1_09_16_nt2</t>
  </si>
  <si>
    <t>f1_09_17_nt1</t>
  </si>
  <si>
    <t>f1_09_17_nt2</t>
  </si>
  <si>
    <t>f1_09_17_lb</t>
  </si>
  <si>
    <t>f1_11_nt1</t>
  </si>
  <si>
    <t>f1_11_nt2</t>
  </si>
  <si>
    <t>f1_11_nt0</t>
  </si>
  <si>
    <t>f1_12_nt1</t>
  </si>
  <si>
    <t>f1_12_nt2</t>
  </si>
  <si>
    <t>f1_12_nt3</t>
  </si>
  <si>
    <t>f1_12_20_nt</t>
  </si>
  <si>
    <t>f1_12_28_nt1</t>
  </si>
  <si>
    <t>f1_12_28_nt2</t>
  </si>
  <si>
    <t>f1_12_29_nt1</t>
  </si>
  <si>
    <t>f1_12_29_nt2</t>
  </si>
  <si>
    <t>f1_12_36_lb</t>
  </si>
  <si>
    <t>f1_12_43_lb</t>
  </si>
  <si>
    <t xml:space="preserve"> gridformat&lt;row = 1, col = 0, colspan = 2, fill = fill/&gt;</t>
  </si>
  <si>
    <t>f1_13_10a_nt</t>
  </si>
  <si>
    <t>f1_13_10f_nt</t>
  </si>
  <si>
    <t>f1_13_10i_nt</t>
  </si>
  <si>
    <t>f1_13_10q_nt</t>
  </si>
  <si>
    <t>Facility's name: ${f1_hf_lb}</t>
  </si>
  <si>
    <t xml:space="preserve">D8D8D8-097541-FF8000-tagging-choices-noshow search(concat(${family_path},'/F1_Health_Facility.db::externalData'),'matches','code_hf',${f1_hf_id}) </t>
  </si>
  <si>
    <t>f1_14_11a_nt</t>
  </si>
  <si>
    <t>f1_14_11b_nt</t>
  </si>
  <si>
    <t>f1_14_11c_nt</t>
  </si>
  <si>
    <t>f1_14_11d_nt</t>
  </si>
  <si>
    <t>f1_14_11e_nt</t>
  </si>
  <si>
    <t>f1_14_11f_nt</t>
  </si>
  <si>
    <t>f1_14_11g_nt</t>
  </si>
  <si>
    <t>f1_14_11h_nt</t>
  </si>
  <si>
    <t>f1_14_11i_nt</t>
  </si>
  <si>
    <t>f1_14_11j_nt</t>
  </si>
  <si>
    <t>f1_14_11k_nt1</t>
  </si>
  <si>
    <t>f1_14_11k_nt2</t>
  </si>
  <si>
    <t>f1_14_11l_nt</t>
  </si>
  <si>
    <t>f1_14_11m_nt</t>
  </si>
  <si>
    <t>f1_14_11n_nt</t>
  </si>
  <si>
    <t>f1_14_11o_nt</t>
  </si>
  <si>
    <t>f1_14_11p_nt</t>
  </si>
  <si>
    <t>f1_14_11q_nt1</t>
  </si>
  <si>
    <t>f1_14_11q_nt2</t>
  </si>
  <si>
    <t>f1_14_11r_nt</t>
  </si>
  <si>
    <t>f1_14_11aa_nt1</t>
  </si>
  <si>
    <t>f1_14_11aa_nt2</t>
  </si>
  <si>
    <t>f1_14_11ab_nt</t>
  </si>
  <si>
    <t>f1_14_11ac_nt</t>
  </si>
  <si>
    <t>f1_14_11ad_nt</t>
  </si>
  <si>
    <t>SaveIncompleteExit&lt;#00aeef/&gt;</t>
  </si>
  <si>
    <t>SaveFinalizedExit&lt;#ff8000/&gt;</t>
  </si>
  <si>
    <t>select_one accord</t>
    <phoneticPr fontId="6"/>
  </si>
  <si>
    <t>consent</t>
    <phoneticPr fontId="6"/>
  </si>
  <si>
    <t>Do you agree to participate and answer the following survey questions?</t>
  </si>
  <si>
    <t>f1_01_35_a</t>
  </si>
  <si>
    <t>f1_01_35_b</t>
  </si>
  <si>
    <t>f1_01_35_c</t>
  </si>
  <si>
    <t>f1_01_35_d</t>
  </si>
  <si>
    <t>f1_01_35_e</t>
  </si>
  <si>
    <t>f1_01_35_f</t>
  </si>
  <si>
    <t>f1_01_35_g</t>
  </si>
  <si>
    <t>f1_01_35_h</t>
  </si>
  <si>
    <t>f1_01_35_i</t>
  </si>
  <si>
    <t>f1_01_35_a_other</t>
  </si>
  <si>
    <t>f1_01_35_b_other</t>
  </si>
  <si>
    <t>f1_01_35_c_other</t>
  </si>
  <si>
    <t>f1_01_35_d_other</t>
  </si>
  <si>
    <t>f1_01_35_e_other</t>
  </si>
  <si>
    <t>f1_01_35_f_other</t>
  </si>
  <si>
    <t>f1_01_35_g_other</t>
  </si>
  <si>
    <t>f1_01_35_h_other</t>
  </si>
  <si>
    <t>f1_01_35_i_other1</t>
  </si>
  <si>
    <t>f1_01_35_i_other</t>
  </si>
  <si>
    <t>f1_01_38_a</t>
  </si>
  <si>
    <t>f1_01_38_b</t>
  </si>
  <si>
    <t>f1_01_38_c</t>
  </si>
  <si>
    <t>f1_01_38_d</t>
  </si>
  <si>
    <t>f1_01_38_e</t>
  </si>
  <si>
    <t>f1_01_38_f</t>
  </si>
  <si>
    <t>f1_01_38_g</t>
  </si>
  <si>
    <t>f1_01_38_h</t>
  </si>
  <si>
    <t>f1_01_38_i</t>
  </si>
  <si>
    <t>f1_01_38_j</t>
  </si>
  <si>
    <t>f1_01_38_j_other</t>
  </si>
  <si>
    <t>${f1_01_38_j} &gt; 0</t>
  </si>
  <si>
    <t>concat(${uuid_ssname})</t>
  </si>
  <si>
    <t>f1_5lb</t>
  </si>
  <si>
    <t>h_facility_id</t>
  </si>
  <si>
    <t>h_facility</t>
  </si>
  <si>
    <t>pulldata(concat(${family_path},'/F1_Health_Facility.db::externalData'),'h_facility','h_facility_id',${f1_hf_id})</t>
  </si>
  <si>
    <t>f1_01_13_h_other</t>
  </si>
  <si>
    <t>${f1_01_13_a}+${f1_01_13_b}+${f1_01_13_c}+${f1_01_13_d}+${f1_01_13_e}+${f1_01_13_f}+${f1_01_13_g}+${f1_01_13_h}</t>
  </si>
  <si>
    <t>${f1_01_35_a}=4</t>
  </si>
  <si>
    <t>${f1_01_35_b}=4</t>
  </si>
  <si>
    <t>${f1_01_35_c}=4</t>
  </si>
  <si>
    <t>${f1_01_35_d}=4</t>
  </si>
  <si>
    <t>${f1_01_35_e}=4</t>
  </si>
  <si>
    <t>${f1_01_35_f}=4</t>
  </si>
  <si>
    <t>${f1_01_35_g}=4</t>
  </si>
  <si>
    <t>${f1_01_35_h}=4</t>
  </si>
  <si>
    <t>${f1_01_35_i} != 0 and ${f1_01_35_i} = 4</t>
  </si>
  <si>
    <t xml:space="preserve">${f1_03_10a} + ${f1_03_10b} </t>
  </si>
  <si>
    <t>${f1_03_11}=1</t>
  </si>
  <si>
    <t>.&gt;=0 and .&lt;= ${f1_07_02c}</t>
  </si>
  <si>
    <t>.&gt;=0 and .&lt;= ${f1_07_02a}</t>
  </si>
  <si>
    <t>.&gt;=0 and .&lt;= ${f1_07_02e}</t>
  </si>
  <si>
    <t>${f1_08_01a_1}=1 or ${f1_08_01a_2}=1</t>
  </si>
  <si>
    <t>concat('GAMBIA_EL_F1_HF_TEST')</t>
  </si>
  <si>
    <t>pulldata(concat(${family_path},'/F1_Health_Facility.db::externalData'),'region','region_id',${f1_region_id})</t>
  </si>
  <si>
    <t>gridformat&lt;row = 1, col = 0, colspan = 6, align = center/&gt;</t>
  </si>
  <si>
    <t>&lt;b&gt;&lt;big&gt;&lt;font color='#0B3B24'&gt;Section 1. GENERAL INFORMATION&lt;/font&gt;&lt;/big&gt;&lt;/b&gt;</t>
  </si>
  <si>
    <t>MM</t>
  </si>
  <si>
    <t>gridformat&lt;row = 0, col = 0, colspan = 5, align = left/&gt;</t>
  </si>
  <si>
    <t>&lt;b&gt;Weekdays&lt;/b&gt;</t>
  </si>
  <si>
    <t>&lt;b&gt;Saturday&lt;/b&gt;</t>
  </si>
  <si>
    <t>&lt;b&gt;Sunday&lt;/b&gt;</t>
  </si>
  <si>
    <t>&lt;b&gt;Holidays&lt;/b&gt;</t>
  </si>
  <si>
    <t>&lt;font color =#ff0000&gt;INTERVIEWER: DO NOT READ OPTIONS ALOUD. FOR EACH OF THE 3 SOURCES OF FUNDING CITED BY THE RESPONDENT (AND 3 ONLY)&lt;/font&gt;</t>
  </si>
  <si>
    <t>MAXIMUM 168 HOURS</t>
  </si>
  <si>
    <t xml:space="preserve">(1.27) How long does it take to fetch water from the primary source for the health facility, &lt;u&gt;&lt;b&gt;one way on foot in minutes&lt;/b&gt;&lt;/u&gt;? </t>
  </si>
  <si>
    <t xml:space="preserve">${f1_01_35_i} != 0 and ${f1_01_35_i} != null </t>
  </si>
  <si>
    <t>(1.36) How far is the main referral facility from this facility &lt;u&gt;&lt;b&gt;one way in kilometers&lt;/b&gt;&lt;/u&gt;?</t>
  </si>
  <si>
    <t>j.[Specify other vehicle]</t>
  </si>
  <si>
    <t>MAXIMUM 7 DAYS</t>
  </si>
  <si>
    <t>(1.50) What procedure is used for &lt;u&gt;DECONTAMINATING&lt;/u&gt; medical equipment after &lt;u&gt;INITIAL&lt;/u&gt; use?</t>
  </si>
  <si>
    <t>(2.04) &lt;u&gt;In the last 12 months&lt;/u&gt;, how many Hospital/Health Center Executive Committee meetings were held?</t>
  </si>
  <si>
    <t>(2.06) What initiatives were taken by the Hospital/Health Center Executive Committee and implemented &lt;u&gt;in the last 12 months&lt;/u&gt;?</t>
  </si>
  <si>
    <t>INTERVIEWER: ASK TO SEE THE BUDGET</t>
  </si>
  <si>
    <t>(2.12) How many health facility staff meetings were held &lt;u&gt;in the last 3 months&lt;/u&gt;?</t>
  </si>
  <si>
    <t>(2.14) &lt;u&gt;In the last 3 months&lt;/u&gt;, how many visits were made to the health facility by the Regional Health Directorate (RHD) for supervision or technical support?</t>
  </si>
  <si>
    <t xml:space="preserve">(2.15) &lt;u&gt;In the last 3 months&lt;/u&gt;, how many visits were made by a central monitoring team (MOHSW) for supervision or technical assistance? </t>
  </si>
  <si>
    <t xml:space="preserve">(2.17) &lt;u&gt;In the last 3 months&lt;/u&gt;, how many visits were made by the local government for supervision or technical support? </t>
  </si>
  <si>
    <t>(2.18) &lt;u&gt;In the last 3 months&lt;/u&gt;, how many visits were made by a donor for supervision or technical support?</t>
  </si>
  <si>
    <t xml:space="preserve">(2.19) &lt;u&gt;In the last 3 months&lt;/u&gt;, how many visits were made by this health facility to Community Health Workers for supervision or technical support? </t>
  </si>
  <si>
    <t>${f1_02_26} &gt;= 1</t>
  </si>
  <si>
    <t>&lt;b&gt;FOR EACH TYPE OF POSITION LISTED BELOW, ASK QUESTIONS (3.01) TO (3.06). IF ZERO, RECORD 0.&lt;/b&gt;</t>
  </si>
  <si>
    <t>u. Is there any other position not mentioned in this list?</t>
  </si>
  <si>
    <t>(3.11) Is there any Community Health Worker who has stopped working &lt;u&gt;in the last 12 months&lt;/u&gt;?</t>
  </si>
  <si>
    <t>(3.12) How many Community Health Workers have stopped working &lt;u&gt;in the last 12 months&lt;/u&gt;?</t>
  </si>
  <si>
    <t>(3.12.1) Have you hired any new Community Health Workers &lt;u&gt;in the last 12 months&lt;/u&gt;?</t>
  </si>
  <si>
    <t>(3.12.2) How many Community Health Workers did you hire &lt;u&gt;in the last 12 months&lt;/u&gt;?</t>
  </si>
  <si>
    <t>(3.15) &lt;u&gt;In the last 3 months&lt;/u&gt;, did the Community Health Nurse(s) do any of the following activities?</t>
  </si>
  <si>
    <t xml:space="preserve">(5.01_1N) What quantity of &lt;b&gt;Malaria rapid diagnostic kits&lt;/b&gt; are available at this time? </t>
  </si>
  <si>
    <t>(5.01_4N) How much do you charge to patients for one &lt;b&gt;Malaria rapid diagnostic kit&lt;/b&gt; in Dalasi?</t>
  </si>
  <si>
    <t xml:space="preserve">(5.01_1N) What quantity of &lt;b&gt;HIV test kits&lt;/b&gt; are available at this time? </t>
  </si>
  <si>
    <t>(5.01_4N) How much do you charge to patients for one &lt;b&gt;HIV test kit&lt;/b&gt; in Dalasi?</t>
  </si>
  <si>
    <t xml:space="preserve">(5.01_1N) What quantity of &lt;b&gt;Pregnancy testing kits&lt;/b&gt; are available at this time? </t>
  </si>
  <si>
    <t>(5.01_4N) How much do you charge to patients for one &lt;b&gt;Pregnancy testing kit&lt;/b&gt; in Dalasi?</t>
  </si>
  <si>
    <t xml:space="preserve">(5.01_1N) What quantity of &lt;b&gt;Rapid plasma reagin (RPR) test for syphilis&lt;/b&gt; are available at this time? </t>
  </si>
  <si>
    <t>(5.01_4N) How much do you charge to patients for one &lt;b&gt;Rapid plasma reagin (RPR) test&lt;/b&gt; for syphilis in Dalasi?</t>
  </si>
  <si>
    <t xml:space="preserve">(5.01_1N) What quantity of &lt;b&gt;Urine protein &amp; glucose testing kits (dipstick test)&lt;/b&gt; are available at this time? </t>
  </si>
  <si>
    <t>(5.01_4N) How much do you charge to patients for one &lt;b&gt;Urine protein &amp; glucose testing kit (dipstick test)&lt;/b&gt; in Dalasi?</t>
  </si>
  <si>
    <t xml:space="preserve">rating_box-fill-f6f6f6-009688-737373-ffffff  gridformat&lt;row = 2, col = 0, fill = fill/&gt;
</t>
  </si>
  <si>
    <t>rating_box-fill-f6f6f6-009688-737373-ffffff  gridformat&lt;row = 1, col = 0, fill = fill/&gt;</t>
  </si>
  <si>
    <t>rating_box-fill-f6f6f6-009688-737373-ffffff  gridformat&lt;row = 6, col = 0, fill = fill/&gt;</t>
  </si>
  <si>
    <t>rating_box-fill-f6f6f6-009688-737373-ffffff  gridformat&lt;row = 7, col = 0, fill = fill/&gt;</t>
  </si>
  <si>
    <t>rating_box-fill-f6f6f6-009688-737373-ffffff  gridformat&lt;row = 10, col = 0, fill = fill/&gt;</t>
  </si>
  <si>
    <t>horizontal(60)</t>
  </si>
  <si>
    <t xml:space="preserve">gridformat&lt;row = 1, col = 0, colspan = 2, fill = fill/&gt;
</t>
  </si>
  <si>
    <t xml:space="preserve">(6.07) Is a temperature log kept? </t>
  </si>
  <si>
    <t>INTERVIEWER: IF YES, ASK TO SEE IT</t>
  </si>
  <si>
    <t>(6.08) In the &lt;u&gt;past 7 days&lt;/u&gt;, on how many days was the temperature logged?</t>
  </si>
  <si>
    <t>(6.09) In the &lt;u&gt;past 7 days&lt;/u&gt;, how many days had a measurement of over 8&lt;sup&gt;o&lt;/sup&gt;C or under 2&lt;sup&gt;o&lt;/sup&gt;C?</t>
  </si>
  <si>
    <t>(6.09_N1) In the &lt;u&gt;past 7 days&lt;/u&gt;, how many times has there been an alarm due to vaccine temperature?</t>
  </si>
  <si>
    <t>f1_06_18_00_g</t>
  </si>
  <si>
    <t>f1_06_24_00_g</t>
  </si>
  <si>
    <t>(6.33) In the &lt;u&gt;last 12 months&lt;/u&gt;, how many stillbirths were recorded at the &lt;u&gt;facility&lt;/u&gt;? A still birth is a baby that is born dead.</t>
  </si>
  <si>
    <t xml:space="preserve">(6.34) In the &lt;u&gt;last 12 months&lt;/u&gt;, how many stillbirths were recorded in the &lt;u&gt;community&lt;/u&gt; (excluding those at the facility)? </t>
  </si>
  <si>
    <t xml:space="preserve">(6.35) In the &lt;u&gt;last 12 months&lt;/u&gt;, how many neonatal deaths were recorded at the &lt;u&gt;facility&lt;/u&gt;? A neonatal death is when a baby is born alive but dies within 28 days. </t>
  </si>
  <si>
    <t xml:space="preserve">(6.36) In the &lt;u&gt;last 12 months&lt;/u&gt;, how many neonatal deaths were recorded in the &lt;u&gt;community&lt;/u&gt; (excluding those at the facility)? </t>
  </si>
  <si>
    <r>
      <t>(6.40) In the</t>
    </r>
    <r>
      <rPr>
        <sz val="11"/>
        <rFont val="Arial"/>
        <family val="2"/>
        <charset val="163"/>
      </rPr>
      <t xml:space="preserve"> &lt;u&gt;last 30 days&lt;/u&gt;, on how many days were family planning services available to women?</t>
    </r>
  </si>
  <si>
    <t>(6.41) In the &lt;u&gt;last 6 months&lt;/u&gt;, how many RCH outreach clinics (that included family planning) were held by this facility?</t>
  </si>
  <si>
    <t xml:space="preserve">(6.51) In the &lt;u&gt;last 6 months&lt;/u&gt;, how many laboratory confirmed cases of Plasmodium Falciparum (PF) malaria were seen in the facility? </t>
  </si>
  <si>
    <t xml:space="preserve">(6.52) In the &lt;u&gt;last 6 months&lt;/u&gt;,how many malaria cases (any kind of malaria) were treated with Artemisinin-based Combination Therapies (ACT)? </t>
  </si>
  <si>
    <t>selected(${f1_06_55},'96')</t>
  </si>
  <si>
    <t>Please select region in List!</t>
  </si>
  <si>
    <t>Please select HF Number in List!</t>
  </si>
  <si>
    <t>Please select Location in List!</t>
  </si>
  <si>
    <t>Please select Health Facility in List!</t>
  </si>
  <si>
    <t>selected-at(.,'0') != -997</t>
  </si>
  <si>
    <t>Please select in List!</t>
  </si>
  <si>
    <t>Please select staff in list!</t>
  </si>
  <si>
    <t>Please select in list!</t>
  </si>
  <si>
    <t>LGA CODE:</t>
  </si>
  <si>
    <t>LGA NAME:</t>
  </si>
  <si>
    <t>DISTRICT CODE:</t>
  </si>
  <si>
    <t>DISTRICT NAME:</t>
  </si>
  <si>
    <t>VILLAGE CODE:</t>
  </si>
  <si>
    <t>VILLAGE NAME:</t>
  </si>
  <si>
    <t>field-list grid(weight = 6)</t>
  </si>
  <si>
    <t>&lt;b&gt;&lt;big&gt;IDENTIFIER&lt;/big&gt;&lt;/b&gt;</t>
  </si>
  <si>
    <t>horizontal(50) gridformat&lt;row = 8, col = 0, colspan = 6, align = left|center/&gt;</t>
  </si>
  <si>
    <t>horizontal(50) gridformat&lt;row = 9, col = 0, colspan = 6, align = left|center/&gt;</t>
  </si>
  <si>
    <t>&lt;font color = '#9f2e2e'&gt;&lt;big&gt;&lt;big&gt;&lt;b&gt;Health Results Based Financing Impact Evaluation&lt;br&gt;THE GAMBIA 2018&lt;/b&gt;&lt;/big&gt;&lt;/big&gt;&lt;/font&gt; &lt;p&gt;&lt;b&gt;&lt;font color='#097541'&gt;&lt;big&gt;&lt;big&gt;F1 - Health Facility Assessment Questionnaire&lt;/big&gt;&lt;/big&gt;&lt;/font&gt;&lt;/b&gt;&lt;p&gt;&lt;b&gt;&lt;big&gt;&lt;font color='#0B3B24'&gt;Section 0. COVER&lt;/font&gt;&lt;/big&gt;&lt;/b&gt;</t>
  </si>
  <si>
    <t>MONTH:</t>
  </si>
  <si>
    <t>YEAR:</t>
  </si>
  <si>
    <t>horizontal(50) embed gridformat&lt;row = 2, col = 0, colspan = 2, align = left|center/&gt;</t>
  </si>
  <si>
    <t>horizontal(50) embed gridformat&lt;row = 3, col = 0, colspan = 2, align = left|center/&gt;</t>
  </si>
  <si>
    <t>&lt;font color ='red'&gt;INTERVIEWER: CONFIRM THE TOTAL AMOUNT STATED MATCHES THE SUM OF AMOUNTS STATED IN (1.13). IF NOT, PROBE ON (1.13) AND ADJUST UNTIL YOU OBTAIN MATCHING AMOUNTS. IF ZERO, RECORD '0000'.&lt;/font&gt;</t>
  </si>
  <si>
    <t>&lt;font color ='red'&gt;INTERVIEWER: FOR QUESTIONS (7.03) TO (7.14), RECORD FOR THE LAST COMPLETED CALENDAR MONTH. FOR QUESTIONS (7.03) TO (7.09), IF SOME CATEGORIES CAN'T BE IDENTIFIED FROM REGISTER, RECORD 'DON'T KNOW' FOR THESE CATEGORIES. &lt;br&gt;NOTE: EVERY EFFORT SHOULD BE MADE TO IDENTIFY THE DATA BY GENDER. &lt;/font&gt;&lt;p&gt;&lt;b&gt;Number of TOTAL:&lt;/b&gt;</t>
  </si>
  <si>
    <t>.&gt;=0 or . = -99</t>
  </si>
  <si>
    <t>&lt;small&gt;SEEN, FULLY COMPLETED&lt;small&gt;</t>
  </si>
  <si>
    <t>&lt;small&gt;SEEN, NOT COMPLETE&lt;/small&gt;</t>
  </si>
  <si>
    <t>&lt;small&gt;NOT SEEN&lt;/small&gt;</t>
  </si>
  <si>
    <t>(8.01a) Does this facility provide &lt;b&gt;Contraceptive pill&lt;/b&gt; within the facility and/or as outreach?</t>
  </si>
  <si>
    <t>(8.03a) What is the total price in Dalasi charged for &lt;b&gt;Contraceptive pill&lt;/b&gt;? INTERVIEWER: IF NO CHARGE, RECORD "0".</t>
  </si>
  <si>
    <t xml:space="preserve">(8.04a) INTERVIEWER: FOR EACH SERVICE, RECORD THE MONTHLY TOTAL NUMBER OF INPATIENTS (IN) AND OUTPATIENTS (OUT) LISTED IN THE REGISTER, &lt;u&gt;REGARDING THE LAST 3 MONTHS PRIOR TO THE MONTH OF THE SURVEY&lt;/u&gt; </t>
  </si>
  <si>
    <t xml:space="preserve">(8.01c) Does this facility provide &lt;b&gt;Implant insertion&lt;/b&gt; within the facility and/or as outreach? </t>
  </si>
  <si>
    <t>(8.03c) What is the total price in Dalasi charged for &lt;b&gt;Implant insertion&lt;/b&gt;? INTERVIEWER: IF NO CHARGE, RECORD "0".</t>
  </si>
  <si>
    <t xml:space="preserve">(8.04c) INTERVIEWER: FOR EACH SERVICE, RECORD THE MONTHLY TOTAL NUMBER OF INPATIENTS (IN) AND OUTPATIENTS (OUT) LISTED IN THE REGISTER, &lt;u&gt;REGARDING THE LAST 3 MONTHS PRIOR TO THE MONTH OF THE SURVEY&lt;/u&gt; </t>
  </si>
  <si>
    <t>(8.01e) Does this facility provide &lt;b&gt;Intrauterine Contraceptive Device (IUCD) insertion&lt;/b&gt; within the facility and/or as outreach?</t>
  </si>
  <si>
    <t>(8.03e) What is the total price in Dalasi charged for &lt;b&gt;Intrauterine Contraceptive Device (IUCD) insertion&lt;/b&gt;? INTERVIEWER: IF NO CHARGE, RECORD "0".</t>
  </si>
  <si>
    <t xml:space="preserve">(8.04e) INTERVIEWER: FOR EACH SERVICE, RECORD THE MONTHLY TOTAL NUMBER OF INPATIENTS (IN) AND OUTPATIENTS (OUT) LISTED IN THE REGISTER, &lt;u&gt;REGARDING THE LAST 3 MONTHS PRIOR TO THE MONTH OF THE SURVEY&lt;/u&gt; </t>
  </si>
  <si>
    <t>(8.01f) Does this facility provide &lt;b&gt;Female sterilization&lt;/b&gt; within the facility and/or as outreach?</t>
  </si>
  <si>
    <t>(8.03f) What is the total price in Dalasi charged for &lt;b&gt;Female sterilization&lt;/b&gt;? INTERVIEWER: IF NO CHARGE, RECORD "0".</t>
  </si>
  <si>
    <t xml:space="preserve">(8.04f) INTERVIEWER: FOR EACH SERVICE, RECORD THE MONTHLY TOTAL NUMBER OF INPATIENTS (IN) AND OUTPATIENTS (OUT) LISTED IN THE REGISTER, &lt;u&gt;REGARDING THE LAST 3 MONTHS PRIOR TO THE MONTH OF THE SURVEY&lt;/u&gt; </t>
  </si>
  <si>
    <t>(8.01g) Does this facility provide &lt;b&gt;Male sterilization&lt;/b&gt; within the facility and/or as outreach?</t>
  </si>
  <si>
    <t>(8.03g) What is the total price in Dalasi charged for &lt;b&gt;Male sterilization&lt;/b&gt;? INTERVIEWER: IF NO CHARGE, RECORD "0".</t>
  </si>
  <si>
    <t xml:space="preserve">(8.04g) INTERVIEWER: FOR EACH SERVICE, RECORD THE MONTHLY TOTAL NUMBER OF INPATIENTS (IN) AND OUTPATIENTS (OUT) LISTED IN THE REGISTER, &lt;u&gt;REGARDING THE LAST 3 MONTHS PRIOR TO THE MONTH OF THE SURVEY&lt;/u&gt; </t>
  </si>
  <si>
    <t xml:space="preserve">(8.01h) Does this facility provide &lt;b&gt;Antenatal care&lt;/b&gt; within the facility and/or as outreach? </t>
  </si>
  <si>
    <t>(8.03h) What is the total price in Dalasi charged for &lt;b&gt;Antenatal care&lt;/b&gt;? INTERVIEWER: IF NO CHARGE, RECORD "0".</t>
  </si>
  <si>
    <t xml:space="preserve">(8.04h) INTERVIEWER: FOR EACH SERVICE, RECORD THE MONTHLY TOTAL NUMBER OF INPATIENTS (IN) AND OUTPATIENTS (OUT) LISTED IN THE REGISTER, &lt;u&gt;REGARDING THE LAST 3 MONTHS PRIOR TO THE MONTH OF THE SURVEY&lt;/u&gt; </t>
  </si>
  <si>
    <t>(8.01i) Does this facility provide &lt;b&gt;Spontaneous Vaginal Delivery&lt;/b&gt; within the facility and/or as outreach?</t>
  </si>
  <si>
    <t>(8.03i) What is the total price in Dalasi charged for &lt;b&gt;Spontaneous Vaginal Delivery&lt;/b&gt;? INTERVIEWER: IF NO CHARGE, RECORD "0".</t>
  </si>
  <si>
    <t xml:space="preserve">(8.04i) INTERVIEWER: FOR EACH SERVICE, RECORD THE MONTHLY TOTAL NUMBER OF INPATIENTS (IN) AND OUTPATIENTS (OUT) LISTED IN THE REGISTER, &lt;u&gt;REGARDING THE LAST 3 MONTHS PRIOR TO THE MONTH OF THE SURVEY&lt;/u&gt; </t>
  </si>
  <si>
    <t>(8.01j) Does this facility provide &lt;b&gt;Ceasarian section&lt;/b&gt; within the facility and/or as outreach?</t>
  </si>
  <si>
    <t>(8.03j) What is the total price in Dalasi charged for &lt;b&gt;Ceasarian section&lt;/b&gt;? INTERVIEWER: IF NO CHARGE, RECORD "0".</t>
  </si>
  <si>
    <t xml:space="preserve">(8.04j) INTERVIEWER: FOR EACH SERVICE, RECORD THE MONTHLY TOTAL NUMBER OF INPATIENTS (IN) AND OUTPATIENTS (OUT) LISTED IN THE REGISTER, &lt;u&gt;REGARDING THE LAST 3 MONTHS PRIOR TO THE MONTH OF THE SURVEY&lt;/u&gt; </t>
  </si>
  <si>
    <t>(8.01k) Does this facility provide &lt;b&gt;Assisted (forcepts, vaccuum)&lt;/b&gt; within the facility and/or as outreach?</t>
  </si>
  <si>
    <t>(8.03k) What is the total price in Dalasi charged for &lt;b&gt;Assisted (forcepts, vaccuum)&lt;/b&gt; ? INTERVIEWER: IF NO CHARGE, RECORD "0".</t>
  </si>
  <si>
    <t xml:space="preserve">(8.04k) INTERVIEWER: FOR EACH SERVICE, RECORD THE MONTHLY TOTAL NUMBER OF INPATIENTS (IN) AND OUTPATIENTS (OUT) LISTED IN THE REGISTER, &lt;u&gt;REGARDING THE LAST 3 MONTHS PRIOR TO THE MONTH OF THE SURVEY&lt;/u&gt; </t>
  </si>
  <si>
    <t xml:space="preserve">(8.01l) Does this facility provide &lt;b&gt;Postnatal care&lt;/b&gt; within the facility and/or as outreach? </t>
  </si>
  <si>
    <t>(8.03l) What is the total price in Dalasi charged for &lt;b&gt;Postnatal care&lt;/b&gt;? INTERVIEWER: IF NO CHARGE, RECORD "0".</t>
  </si>
  <si>
    <t xml:space="preserve">(8.04l) INTERVIEWER: FOR EACH SERVICE, RECORD THE MONTHLY TOTAL NUMBER OF INPATIENTS (IN) AND OUTPATIENTS (OUT) LISTED IN THE REGISTER, &lt;u&gt;REGARDING THE LAST 3 MONTHS PRIOR TO THE MONTH OF THE SURVEY&lt;/u&gt; </t>
  </si>
  <si>
    <t xml:space="preserve">(8.01m) Does this facility provide &lt;b&gt;Bacille Calmette Guerin (BCG)&lt;/b&gt; within the facility and/or as outreach? </t>
  </si>
  <si>
    <t>(8.03m) What is the total price in Dalasi charged for &lt;b&gt;Bacille Calmette Guerin (BCG)&lt;/b&gt;? INTERVIEWER: IF NO CHARGE, RECORD "0".</t>
  </si>
  <si>
    <t xml:space="preserve">(8.04m) INTERVIEWER: FOR EACH SERVICE, RECORD THE MONTHLY TOTAL NUMBER OF INPATIENTS (IN) AND OUTPATIENTS (OUT) LISTED IN THE REGISTER, &lt;u&gt;REGARDING THE LAST 3 MONTHS PRIOR TO THE MONTH OF THE SURVEY&lt;/u&gt; </t>
  </si>
  <si>
    <t xml:space="preserve">(8.01n) Does this facility provide &lt;b&gt;Pentavalent Dose 1 (DPT, Hepatitis B, Hemophilus influenzae B)&lt;/b&gt; within the facility and/or as outreach? </t>
  </si>
  <si>
    <t>(8.03n) What is the total price in Dalasi charged for &lt;b&gt;Pentavalent Dose 1 (DPT, Hepatitis B, Hemophilus influenzae B)&lt;/b&gt;? INTERVIEWER: IF NO CHARGE, RECORD "0".</t>
  </si>
  <si>
    <t xml:space="preserve">(8.04n) INTERVIEWER: FOR EACH SERVICE, RECORD THE MONTHLY TOTAL NUMBER OF INPATIENTS (IN) AND OUTPATIENTS (OUT) LISTED IN THE REGISTER, &lt;u&gt;REGARDING THE LAST 3 MONTHS PRIOR TO THE MONTH OF THE SURVEY&lt;/u&gt; </t>
  </si>
  <si>
    <t xml:space="preserve">(8.01o) Does this facility provide &lt;b&gt;Pentavalent Dose 2 (DPT, Hepatitis B, Hemophilus influenzae B)&lt;/b&gt; within the facility and/or as outreach? </t>
  </si>
  <si>
    <t>(8.03o) What is the total price in Dalasi charged for &lt;b&gt;Pentavalent Dose 2 (DPT, Hepatitis B, Hemophilus influenzae B)&lt;/b&gt;? INTERVIEWER: IF NO CHARGE, RECORD "0".</t>
  </si>
  <si>
    <t xml:space="preserve">(8.04o) INTERVIEWER: FOR EACH SERVICE, RECORD THE MONTHLY TOTAL NUMBER OF INPATIENTS (IN) AND OUTPATIENTS (OUT) LISTED IN THE REGISTER, &lt;u&gt;REGARDING THE LAST 3 MONTHS PRIOR TO THE MONTH OF THE SURVEY&lt;/u&gt; </t>
  </si>
  <si>
    <t xml:space="preserve">(8.01p) Does this facility provide &lt;b&gt;Pentavalent Dose 3 (DPT, Hepatitis B, Hemophilus influenzae B)&lt;/b&gt; within the facility and/or as outreach? </t>
  </si>
  <si>
    <t>(8.03p) What is the total price in Dalasi charged for &lt;b&gt;Pentavalent Dose 3 (DPT, Hepatitis B, Hemophilus influenzae B)&lt;/b&gt;? INTERVIEWER: IF NO CHARGE, RECORD "0".</t>
  </si>
  <si>
    <t xml:space="preserve">(8.04p) INTERVIEWER: FOR EACH SERVICE, RECORD THE MONTHLY TOTAL NUMBER OF INPATIENTS (IN) AND OUTPATIENTS (OUT) LISTED IN THE REGISTER, &lt;u&gt;REGARDING THE LAST 3 MONTHS PRIOR TO THE MONTH OF THE SURVEY&lt;/u&gt; </t>
  </si>
  <si>
    <t xml:space="preserve">(8.01p_) Does this facility provide &lt;b&gt;Polio Dose 0&lt;/b&gt; within the facility and/or as outreach? </t>
  </si>
  <si>
    <t>(8.03p_) What is the total price in Dalasi charged for &lt;b&gt;Polio Dose 1&lt;/b&gt;? INTERVIEWER: IF NO CHARGE, RECORD "0".</t>
  </si>
  <si>
    <t xml:space="preserve">(8.04p_) INTERVIEWER: FOR EACH SERVICE, RECORD THE MONTHLY TOTAL NUMBER OF INPATIENTS (IN) AND OUTPATIENTS (OUT) LISTED IN THE REGISTER, &lt;u&gt;REGARDING THE LAST 3 MONTHS PRIOR TO THE MONTH OF THE SURVEY&lt;/u&gt; </t>
  </si>
  <si>
    <t xml:space="preserve">(8.01q) Does this facility provide &lt;b&gt;Polio Dose 1&lt;/b&gt; within the facility and/or as outreach? </t>
  </si>
  <si>
    <t>(8.03q) What is the total price in Dalasi charged for &lt;b&gt;Polio Dose 1&lt;/b&gt;? INTERVIEWER: IF NO CHARGE, RECORD "0".</t>
  </si>
  <si>
    <t xml:space="preserve">(8.04q) INTERVIEWER: FOR EACH SERVICE, RECORD THE MONTHLY TOTAL NUMBER OF INPATIENTS (IN) AND OUTPATIENTS (OUT) LISTED IN THE REGISTER, &lt;u&gt;REGARDING THE LAST 3 MONTHS PRIOR TO THE MONTH OF THE SURVEY&lt;/u&gt; </t>
  </si>
  <si>
    <t>if((${f1_09_01} + if(${f1_09_02} = 1, 1, 0) + if(${f1_09_03} = 1, 1, 0) + ${f1_09_04} + ${f1_09_05}) &gt; 0, . = 1, . = 2)</t>
  </si>
  <si>
    <t>RESPONSE CODE:&lt;br&gt;&lt;font color =#9f2e2e&gt;&lt;small&gt; 1 - MOST OF THE TIME,  2 - MORE THAN HALF OF THE TIME, 3 - LESS THAN HALF OF THE TIME, 4 - ONLY RARELY, 5 - NEVER&lt;/small&gt;&lt;/font&gt;</t>
  </si>
  <si>
    <t>(A) General</t>
  </si>
  <si>
    <t>(B) Posting of User Fees</t>
  </si>
  <si>
    <t>&lt;b&gt;&lt;font&gt;INTERVIEWER: FOR EACH DOCUMENT, ASK TO SEE THE DOCUMENTS POSTED AND &lt;u&gt;RECORD ACCORDING TO THE FOLLOWING CODES:&lt;/u&gt;&lt;/font&gt;&lt;b&gt;</t>
  </si>
  <si>
    <t>${f1_12_28f}=1 or ${f1_12_28f}=2</t>
  </si>
  <si>
    <t>(C) National Protocols</t>
  </si>
  <si>
    <t>General equipment</t>
  </si>
  <si>
    <t>Delivery and Neonatal Equipment</t>
  </si>
  <si>
    <t>lga</t>
  </si>
  <si>
    <t>ea_ie_code_id</t>
  </si>
  <si>
    <t>ea_ie_code</t>
  </si>
  <si>
    <t>scode</t>
  </si>
  <si>
    <t>NBR West</t>
  </si>
  <si>
    <t>Kerewan</t>
  </si>
  <si>
    <t>Upper Niumi</t>
  </si>
  <si>
    <t>ALBREDA</t>
  </si>
  <si>
    <t>ALJAMDOU</t>
  </si>
  <si>
    <t>KERR CHEBOU JALLOW/KAHEL</t>
  </si>
  <si>
    <t>PAKAU SALOUM</t>
  </si>
  <si>
    <t>SITANUNKU</t>
  </si>
  <si>
    <t>Lower Niumi</t>
  </si>
  <si>
    <t>BARRA</t>
  </si>
  <si>
    <t>ESSAU</t>
  </si>
  <si>
    <t>FASS</t>
  </si>
  <si>
    <t>MEDINA DARU</t>
  </si>
  <si>
    <t>NDUNGU KEBBEH</t>
  </si>
  <si>
    <t>SAMBA KALA</t>
  </si>
  <si>
    <t>FASS OMAR CHAHO</t>
  </si>
  <si>
    <t>KERR CHERNO BABA</t>
  </si>
  <si>
    <t>KERR MAMA</t>
  </si>
  <si>
    <t>MAHMUDA</t>
  </si>
  <si>
    <t>PRINCE</t>
  </si>
  <si>
    <t>SARE ALPHA</t>
  </si>
  <si>
    <t>Jokadu</t>
  </si>
  <si>
    <t>DARSILAMEH</t>
  </si>
  <si>
    <t>GISSAY (KERR AMADOU FAYOL)</t>
  </si>
  <si>
    <t>KERR ALAGIE MALICK</t>
  </si>
  <si>
    <t>KERR OMAR SAINE</t>
  </si>
  <si>
    <t>MECCA OMAR MANNEH</t>
  </si>
  <si>
    <t>MUNYAGEN</t>
  </si>
  <si>
    <t>Nema kunku</t>
  </si>
  <si>
    <t>BAKALARR</t>
  </si>
  <si>
    <t>MEDINA SEDIA</t>
  </si>
  <si>
    <t>NEAM KUNKU</t>
  </si>
  <si>
    <t>NEMA KUNKU</t>
  </si>
  <si>
    <t>PAKALA DEMBA KHOLLEH</t>
  </si>
  <si>
    <t>Janjanbureh</t>
  </si>
  <si>
    <t>Upper Fuladu West</t>
  </si>
  <si>
    <t>Bantanto</t>
  </si>
  <si>
    <t>Chargel</t>
  </si>
  <si>
    <t>Daru</t>
  </si>
  <si>
    <t>Kerr Njagga (Ngayen</t>
  </si>
  <si>
    <t>Kerr Ousman Boye</t>
  </si>
  <si>
    <t>Njalal</t>
  </si>
  <si>
    <t>Lower Fuladu West</t>
  </si>
  <si>
    <t>Ahalulai</t>
  </si>
  <si>
    <t>Fula Bantang</t>
  </si>
  <si>
    <t>Jahaly</t>
  </si>
  <si>
    <t>Madina Umfally</t>
  </si>
  <si>
    <t>Taifa</t>
  </si>
  <si>
    <t>Nianija</t>
  </si>
  <si>
    <t>Bakadagie</t>
  </si>
  <si>
    <t>Upper Saloum</t>
  </si>
  <si>
    <t>Bati Ndarr</t>
  </si>
  <si>
    <t>Kerr Gibel</t>
  </si>
  <si>
    <t>Mbayen Burama</t>
  </si>
  <si>
    <t>Palelai</t>
  </si>
  <si>
    <t>Sare Seedy</t>
  </si>
  <si>
    <t>Niamina West</t>
  </si>
  <si>
    <t>Jamal Kerr Katim</t>
  </si>
  <si>
    <t>Niamina Dankunku</t>
  </si>
  <si>
    <t>Jisadi</t>
  </si>
  <si>
    <t>Katamina</t>
  </si>
  <si>
    <t>Lower Saloum</t>
  </si>
  <si>
    <t>Medina Yooroba (Kerr Lien)</t>
  </si>
  <si>
    <t>Papa</t>
  </si>
  <si>
    <t>Sambang Mandinka Kunda</t>
  </si>
  <si>
    <t>Faraba</t>
  </si>
  <si>
    <t>Sami</t>
  </si>
  <si>
    <t>Kibiri</t>
  </si>
  <si>
    <t>Kunting</t>
  </si>
  <si>
    <t>Tabanani Fatty</t>
  </si>
  <si>
    <t>Yerro Beri Kunda Mandinka</t>
  </si>
  <si>
    <t>Jahawurr Mandinka</t>
  </si>
  <si>
    <t>Jimbala Kerr Malick Njie</t>
  </si>
  <si>
    <t>Ker Sulay</t>
  </si>
  <si>
    <t>Maka Ali Sarr Serigne</t>
  </si>
  <si>
    <t>Tamba</t>
  </si>
  <si>
    <t>Tento Madi Secka /Tento Chebo</t>
  </si>
  <si>
    <t>Niamina East</t>
  </si>
  <si>
    <t>Kawlang (Kaolong Niamina)</t>
  </si>
  <si>
    <t>Kerewan Demba</t>
  </si>
  <si>
    <t>Macca</t>
  </si>
  <si>
    <t>Mbayen</t>
  </si>
  <si>
    <t>Pateh Sam</t>
  </si>
  <si>
    <t>Sambel Kunda</t>
  </si>
  <si>
    <t>Dobo</t>
  </si>
  <si>
    <t>Niani</t>
  </si>
  <si>
    <t>Jakaba</t>
  </si>
  <si>
    <t>Jokul Ndawen</t>
  </si>
  <si>
    <t>Pallol Wollof</t>
  </si>
  <si>
    <t>Waasu</t>
  </si>
  <si>
    <t>Madiana</t>
  </si>
  <si>
    <t>Pachonki</t>
  </si>
  <si>
    <t>Sami Madina</t>
  </si>
  <si>
    <t>Sinchu Baya</t>
  </si>
  <si>
    <t>Tabanani</t>
  </si>
  <si>
    <t>Wuli East</t>
  </si>
  <si>
    <t>Bantunding</t>
  </si>
  <si>
    <t>Boro Kanda Kasseh</t>
  </si>
  <si>
    <t>Foday Kunda A</t>
  </si>
  <si>
    <t>Maka Masireh A</t>
  </si>
  <si>
    <t>Sutukoba</t>
  </si>
  <si>
    <t>Tumana</t>
  </si>
  <si>
    <t>Dingiri</t>
  </si>
  <si>
    <t>Kulari</t>
  </si>
  <si>
    <t>Kumbija</t>
  </si>
  <si>
    <t>Demba Kunda Koto</t>
  </si>
  <si>
    <t>Jimara</t>
  </si>
  <si>
    <t>Demba  Kunda Kuta</t>
  </si>
  <si>
    <t>Sabi</t>
  </si>
  <si>
    <t>Sandu</t>
  </si>
  <si>
    <t>Darsilame Bullembu</t>
  </si>
  <si>
    <t>Darsilame Takutala</t>
  </si>
  <si>
    <t>Kuwonku Ba</t>
  </si>
  <si>
    <t>Misera</t>
  </si>
  <si>
    <t>Diabugu Bassilah)</t>
  </si>
  <si>
    <t>Kantora</t>
  </si>
  <si>
    <t>Garawol</t>
  </si>
  <si>
    <t>Missiraba Mariama</t>
  </si>
  <si>
    <t>Nyamanarr</t>
  </si>
  <si>
    <t>Suduwol</t>
  </si>
  <si>
    <t>Julangel</t>
  </si>
  <si>
    <t>Koro Jula Kunda</t>
  </si>
  <si>
    <t>Numuyel</t>
  </si>
  <si>
    <t>Sandi Kunda</t>
  </si>
  <si>
    <t>Keneba</t>
  </si>
  <si>
    <t>Song Kunda</t>
  </si>
  <si>
    <t>Wuli West</t>
  </si>
  <si>
    <t>Barrow Kunda</t>
  </si>
  <si>
    <t>Gunjur Kuta</t>
  </si>
  <si>
    <t>Limbanbulu Yamadu</t>
  </si>
  <si>
    <t>Taibatu</t>
  </si>
  <si>
    <t>Touba Wuli</t>
  </si>
  <si>
    <t>select_one h_facility</t>
  </si>
  <si>
    <t>select_one lga</t>
  </si>
  <si>
    <t>select_one district</t>
  </si>
  <si>
    <t>f1_lga_code</t>
  </si>
  <si>
    <t>f1_district_code</t>
  </si>
  <si>
    <t>pulldata('rawquery',concat(${family_path},'/F1_Health_Facility.db::externalData'),'SELECT lga FROM externalData WHERE lga = ?',${f1_lga_id})</t>
  </si>
  <si>
    <t>pulldata('rawquery',concat(${family_path},'/F1_Health_Facility.db::externalData'),'SELECT district FROM externalData WHERE district_id = ?',${f1_district_id})</t>
  </si>
  <si>
    <t>f1_location</t>
  </si>
  <si>
    <t>&lt;minhint&gt;Please select health facility's name.&lt;/minhint&gt;</t>
  </si>
  <si>
    <t>&lt;minhint&gt;Please select district name.&lt;/minhint&gt;</t>
  </si>
  <si>
    <t>&lt;minhint&gt;Please select lga name.&lt;/minhint&gt;</t>
  </si>
  <si>
    <t>code_staff_id</t>
  </si>
  <si>
    <t>staff_id</t>
  </si>
  <si>
    <t>designation</t>
  </si>
  <si>
    <t>74103.1.01</t>
  </si>
  <si>
    <t>Abdoulie Jallow</t>
  </si>
  <si>
    <t>CHN/M</t>
  </si>
  <si>
    <t>74103.1.02</t>
  </si>
  <si>
    <t>Ajie Fatou Jallow</t>
  </si>
  <si>
    <t>74103.1.03</t>
  </si>
  <si>
    <t>Bunja Ceesay</t>
  </si>
  <si>
    <t>74103.1.04</t>
  </si>
  <si>
    <t>Bakary Corra</t>
  </si>
  <si>
    <t>SEN</t>
  </si>
  <si>
    <t>74103.1.05</t>
  </si>
  <si>
    <t>Bubaccar T. Jallow</t>
  </si>
  <si>
    <t>CHN/VHS</t>
  </si>
  <si>
    <t>74103.1.06</t>
  </si>
  <si>
    <t>Maimuna Gaye</t>
  </si>
  <si>
    <t>74103.1.07</t>
  </si>
  <si>
    <t>Kebba Jimbara</t>
  </si>
  <si>
    <t>74103.1.08</t>
  </si>
  <si>
    <t>Lamin Sonko</t>
  </si>
  <si>
    <t>74103.1.09</t>
  </si>
  <si>
    <t>Baba Samateh</t>
  </si>
  <si>
    <t>74103.1.10</t>
  </si>
  <si>
    <t>Kemo Sisawo</t>
  </si>
  <si>
    <t>74103.1.11</t>
  </si>
  <si>
    <t>Haddy Colley</t>
  </si>
  <si>
    <t>Nurse Attendant</t>
  </si>
  <si>
    <t>74103.1.12</t>
  </si>
  <si>
    <t>Kumba Sano</t>
  </si>
  <si>
    <t>74103.1.13</t>
  </si>
  <si>
    <t>Fatou Ndimballan</t>
  </si>
  <si>
    <t>CNA</t>
  </si>
  <si>
    <t>74103.1.14</t>
  </si>
  <si>
    <t>Mariama Baldeh</t>
  </si>
  <si>
    <t>74103.1.15</t>
  </si>
  <si>
    <t>Abdul Cham</t>
  </si>
  <si>
    <t>APHO</t>
  </si>
  <si>
    <t>74103.1.16</t>
  </si>
  <si>
    <t>Salimatou Bah</t>
  </si>
  <si>
    <t>74103.1.17</t>
  </si>
  <si>
    <t>Marie Noel Mendy</t>
  </si>
  <si>
    <t>73101.1.01</t>
  </si>
  <si>
    <t>Abdoulie Jammeh</t>
  </si>
  <si>
    <t>RM/BSc</t>
  </si>
  <si>
    <t>73101.1.02</t>
  </si>
  <si>
    <t>Ousainou Fatty</t>
  </si>
  <si>
    <t>RN</t>
  </si>
  <si>
    <t>73101.1.03</t>
  </si>
  <si>
    <t>Ousainou Gomez</t>
  </si>
  <si>
    <t>73101.1.04</t>
  </si>
  <si>
    <t>Mariama Jorbateh</t>
  </si>
  <si>
    <t>73101.1.05</t>
  </si>
  <si>
    <t>Momodou Gai</t>
  </si>
  <si>
    <t>73101.1.06</t>
  </si>
  <si>
    <t>Germaine Mendy</t>
  </si>
  <si>
    <t>73101.1.07</t>
  </si>
  <si>
    <t>Sanu Badjie</t>
  </si>
  <si>
    <t>73101.1.08</t>
  </si>
  <si>
    <t>Omar M Fadera</t>
  </si>
  <si>
    <t>73101.1.09</t>
  </si>
  <si>
    <t>Fatou Touray</t>
  </si>
  <si>
    <t>73101.1.10</t>
  </si>
  <si>
    <t>Lasana Janneh</t>
  </si>
  <si>
    <t>73101.1.11</t>
  </si>
  <si>
    <t>Fatou Trawally</t>
  </si>
  <si>
    <t>SCNA</t>
  </si>
  <si>
    <t>73101.1.12</t>
  </si>
  <si>
    <t>Omar Sonko</t>
  </si>
  <si>
    <t>73101.1.13</t>
  </si>
  <si>
    <t>Assan Camara</t>
  </si>
  <si>
    <t>73101.1.14</t>
  </si>
  <si>
    <t>Fatou Cham</t>
  </si>
  <si>
    <t>73101.1.15</t>
  </si>
  <si>
    <t>Tamba Touray</t>
  </si>
  <si>
    <t>SEN/Opth</t>
  </si>
  <si>
    <t>73101.1.16</t>
  </si>
  <si>
    <t>Lamin Bojang</t>
  </si>
  <si>
    <t>PHO Desk Officer</t>
  </si>
  <si>
    <t>73101.1.17</t>
  </si>
  <si>
    <t>Bintou J Bojang</t>
  </si>
  <si>
    <t>73101.1.18</t>
  </si>
  <si>
    <t>Saikou Camara</t>
  </si>
  <si>
    <t>73101.1.19</t>
  </si>
  <si>
    <t>Micheal Mballow</t>
  </si>
  <si>
    <t>73101.1.20</t>
  </si>
  <si>
    <t>Fatou jatta</t>
  </si>
  <si>
    <t>ACLK</t>
  </si>
  <si>
    <t>73101.1.21</t>
  </si>
  <si>
    <t>Yassin Saho</t>
  </si>
  <si>
    <t>Lab. Assistant</t>
  </si>
  <si>
    <t>73101.1.22</t>
  </si>
  <si>
    <t>Momodou L Camara</t>
  </si>
  <si>
    <t>73101.1.23</t>
  </si>
  <si>
    <t>Haddy Jallow</t>
  </si>
  <si>
    <t>CHN</t>
  </si>
  <si>
    <t>72204.1.01</t>
  </si>
  <si>
    <t>Omar Njie</t>
  </si>
  <si>
    <t>SEN/M</t>
  </si>
  <si>
    <t>72204.1.02</t>
  </si>
  <si>
    <t>Babucarr Cham</t>
  </si>
  <si>
    <t>72204.1.03</t>
  </si>
  <si>
    <t>Yaya S. Darboe</t>
  </si>
  <si>
    <t>72204.1.04</t>
  </si>
  <si>
    <t>Maimuna Saho</t>
  </si>
  <si>
    <t>72204.1.05</t>
  </si>
  <si>
    <t>Ebou Sogor</t>
  </si>
  <si>
    <t>72204.1.06</t>
  </si>
  <si>
    <t>Ebou Saine</t>
  </si>
  <si>
    <t>LTI</t>
  </si>
  <si>
    <t>72204.1.07</t>
  </si>
  <si>
    <t>Khaddy Nyassi</t>
  </si>
  <si>
    <t>72204.1.08</t>
  </si>
  <si>
    <t>Demba Secka</t>
  </si>
  <si>
    <t>72204.1.09</t>
  </si>
  <si>
    <t>Amadou Jawo</t>
  </si>
  <si>
    <t>72204.1.10</t>
  </si>
  <si>
    <t>Kemeseng Marena</t>
  </si>
  <si>
    <t>72204.1.11</t>
  </si>
  <si>
    <t>Binta Jallow</t>
  </si>
  <si>
    <t>72204.1.12</t>
  </si>
  <si>
    <t>Ida Jeng</t>
  </si>
  <si>
    <t>72204.1.13</t>
  </si>
  <si>
    <t>Sarjo Baldeh</t>
  </si>
  <si>
    <t>DRF Acct.</t>
  </si>
  <si>
    <t>72204.1.14</t>
  </si>
  <si>
    <t>Catherine  Mendy</t>
  </si>
  <si>
    <t>70109.1.01</t>
  </si>
  <si>
    <t>Alagie Marena</t>
  </si>
  <si>
    <t>70109.1.02</t>
  </si>
  <si>
    <t>Sheikh Omar Jaw</t>
  </si>
  <si>
    <t>70109.1.03</t>
  </si>
  <si>
    <t>Musa Jarju</t>
  </si>
  <si>
    <t>70109.1.04</t>
  </si>
  <si>
    <t>Mamadou Baldeh</t>
  </si>
  <si>
    <t>70109.1.05</t>
  </si>
  <si>
    <t>Aminata Ceesay</t>
  </si>
  <si>
    <t>70109.1.06</t>
  </si>
  <si>
    <t>Momodou A. Jallow</t>
  </si>
  <si>
    <t>70109.1.07</t>
  </si>
  <si>
    <t>Basiru Sanyang</t>
  </si>
  <si>
    <t>70109.1.08</t>
  </si>
  <si>
    <t>Musa Saidykhan</t>
  </si>
  <si>
    <t>70109.1.09</t>
  </si>
  <si>
    <t>Tacko Baldeh</t>
  </si>
  <si>
    <t>70109.1.10</t>
  </si>
  <si>
    <t>Kadijatou Sambou</t>
  </si>
  <si>
    <t>70109.1.11</t>
  </si>
  <si>
    <t>Alhagie jeng</t>
  </si>
  <si>
    <t>70109.1.12</t>
  </si>
  <si>
    <t>Alieu Daffeh</t>
  </si>
  <si>
    <t>70109.1.13</t>
  </si>
  <si>
    <t>Mariama Mboge</t>
  </si>
  <si>
    <t>70109.1.14</t>
  </si>
  <si>
    <t>Mam Jarra Camara</t>
  </si>
  <si>
    <t>70109.1.15</t>
  </si>
  <si>
    <t>Haddy Nget</t>
  </si>
  <si>
    <t>70109.1.16</t>
  </si>
  <si>
    <t>Musa Jallow</t>
  </si>
  <si>
    <t>60224.1.01</t>
  </si>
  <si>
    <t>Kebba Daffeh</t>
  </si>
  <si>
    <t>RN/M</t>
  </si>
  <si>
    <t>60224.1.02</t>
  </si>
  <si>
    <t>Amie Mbye</t>
  </si>
  <si>
    <t>60224.1.03</t>
  </si>
  <si>
    <t>Alpha Omar Jallow</t>
  </si>
  <si>
    <t>60224.1.04</t>
  </si>
  <si>
    <t>Biran Mboob</t>
  </si>
  <si>
    <t>60224.1.05</t>
  </si>
  <si>
    <t>Kebba E Drammeh</t>
  </si>
  <si>
    <t>60224.1.06</t>
  </si>
  <si>
    <t>Bintou Dibba</t>
  </si>
  <si>
    <t>60224.1.07</t>
  </si>
  <si>
    <t>Lamin E.Jammeh</t>
  </si>
  <si>
    <t>60224.1.08</t>
  </si>
  <si>
    <t>Kebba  Mbye</t>
  </si>
  <si>
    <t>60224.1.09</t>
  </si>
  <si>
    <t>Dodou Sonko</t>
  </si>
  <si>
    <t>60224.1.10</t>
  </si>
  <si>
    <t>Saikou Mass</t>
  </si>
  <si>
    <t>60224.1.11</t>
  </si>
  <si>
    <t>Landing Sanyang</t>
  </si>
  <si>
    <t>60224.1.12</t>
  </si>
  <si>
    <t>Alieu Sanneh</t>
  </si>
  <si>
    <t>60224.1.13</t>
  </si>
  <si>
    <t>Gibril Sanneh</t>
  </si>
  <si>
    <t>60224.1.14</t>
  </si>
  <si>
    <t>Lolly A.F Touray</t>
  </si>
  <si>
    <t>60224.1.15</t>
  </si>
  <si>
    <t>Fatou Manneh</t>
  </si>
  <si>
    <t>60224.1.16</t>
  </si>
  <si>
    <t>Demba Bah</t>
  </si>
  <si>
    <t>60224.1.17</t>
  </si>
  <si>
    <t>Alieu Bah</t>
  </si>
  <si>
    <t>PHO Desk Office</t>
  </si>
  <si>
    <t>60224.1.18</t>
  </si>
  <si>
    <t>Haddy Jatta</t>
  </si>
  <si>
    <t>PHO</t>
  </si>
  <si>
    <t>60224.1.19</t>
  </si>
  <si>
    <t>Samba Bah</t>
  </si>
  <si>
    <t>60224.1.20</t>
  </si>
  <si>
    <t>Wandifa Sillah</t>
  </si>
  <si>
    <t>60224.1.21</t>
  </si>
  <si>
    <t>Pa Ndongo Sarr</t>
  </si>
  <si>
    <t>DRF Acc. Clerk</t>
  </si>
  <si>
    <t>62106.1.01</t>
  </si>
  <si>
    <t>Modou Lamin Camara</t>
  </si>
  <si>
    <t>62106.1.02</t>
  </si>
  <si>
    <t>Bubacarr Dumbuya</t>
  </si>
  <si>
    <t>62106.1.03</t>
  </si>
  <si>
    <t xml:space="preserve">Ebou Keita </t>
  </si>
  <si>
    <t>62106.1.04</t>
  </si>
  <si>
    <t>Awa Sallah</t>
  </si>
  <si>
    <t>62106.1.05</t>
  </si>
  <si>
    <t>Catherine S. Jatta</t>
  </si>
  <si>
    <t>62106.1.06</t>
  </si>
  <si>
    <t>Abdoulie Sanyang</t>
  </si>
  <si>
    <t>62106.1.07</t>
  </si>
  <si>
    <t>Muhammed Sidibeh</t>
  </si>
  <si>
    <t>62106.1.08</t>
  </si>
  <si>
    <t>Binta A.M Keita</t>
  </si>
  <si>
    <t>62106.1.09</t>
  </si>
  <si>
    <t>Sankung Fatty</t>
  </si>
  <si>
    <t>62106.1.10</t>
  </si>
  <si>
    <t>Modou Lamin Manneh</t>
  </si>
  <si>
    <t>62106.1.11</t>
  </si>
  <si>
    <t>Bakary S. Dibba</t>
  </si>
  <si>
    <t>63118.1.01</t>
  </si>
  <si>
    <t>Musa Samateh</t>
  </si>
  <si>
    <t>SRM</t>
  </si>
  <si>
    <t>63118.1.02</t>
  </si>
  <si>
    <t>Ebrima D Ceesay</t>
  </si>
  <si>
    <t>63118.1.03</t>
  </si>
  <si>
    <t>Fatoumata A. Mballow</t>
  </si>
  <si>
    <t>63118.1.04</t>
  </si>
  <si>
    <t>Adam Ndow</t>
  </si>
  <si>
    <t>63118.1.05</t>
  </si>
  <si>
    <t>Oulimatou Badjie</t>
  </si>
  <si>
    <t>63118.1.06</t>
  </si>
  <si>
    <t>Ensa Jarjue</t>
  </si>
  <si>
    <t>63118.1.07</t>
  </si>
  <si>
    <t>Abdoukarim Darboe</t>
  </si>
  <si>
    <t>63118.1.08</t>
  </si>
  <si>
    <t>Lamin Sanyang</t>
  </si>
  <si>
    <t>63118.1.09</t>
  </si>
  <si>
    <t>Alfusainey Dibba</t>
  </si>
  <si>
    <t>63118.1.10</t>
  </si>
  <si>
    <t>Tamba  Sabally</t>
  </si>
  <si>
    <t>63118.1.11</t>
  </si>
  <si>
    <t>Ebrima Danso</t>
  </si>
  <si>
    <t>63118.1.12</t>
  </si>
  <si>
    <t>Amadou AS Camara</t>
  </si>
  <si>
    <t>63118.1.13</t>
  </si>
  <si>
    <t>Andrew Jammeh</t>
  </si>
  <si>
    <t>63118.1.14</t>
  </si>
  <si>
    <t>Kodou Ndure</t>
  </si>
  <si>
    <t>63118.1.15</t>
  </si>
  <si>
    <t>Aminata fadera</t>
  </si>
  <si>
    <t>63118.1.16</t>
  </si>
  <si>
    <t>Lamin Jarju</t>
  </si>
  <si>
    <t>63118.1.17</t>
  </si>
  <si>
    <t>Momodou Lamin Jammeh</t>
  </si>
  <si>
    <t>63118.1.18</t>
  </si>
  <si>
    <t>Ismaila Ceesay</t>
  </si>
  <si>
    <t>63118.1.19</t>
  </si>
  <si>
    <t>Yusupha Sanyang</t>
  </si>
  <si>
    <t>63118.1.20</t>
  </si>
  <si>
    <t>Aminata Saidy</t>
  </si>
  <si>
    <t>63118.1.21</t>
  </si>
  <si>
    <t>Adam Thop</t>
  </si>
  <si>
    <t>63118.1.22</t>
  </si>
  <si>
    <t>Isatou Darbo</t>
  </si>
  <si>
    <t>63118.1.23</t>
  </si>
  <si>
    <t>Sulayman Barry</t>
  </si>
  <si>
    <t>63118.1.24</t>
  </si>
  <si>
    <t>Lamin Touray</t>
  </si>
  <si>
    <t>63118.1.25</t>
  </si>
  <si>
    <t>Baboucarr Loum</t>
  </si>
  <si>
    <t>63118.1.26</t>
  </si>
  <si>
    <t>Chernor H Jallow</t>
  </si>
  <si>
    <t>63118.1.27</t>
  </si>
  <si>
    <t>Amadou Camara</t>
  </si>
  <si>
    <t>63118.1.28</t>
  </si>
  <si>
    <t>Fatou Mbowe</t>
  </si>
  <si>
    <t>Lab Assistant</t>
  </si>
  <si>
    <t>63118.1.29</t>
  </si>
  <si>
    <t>Lasana K Ceesay</t>
  </si>
  <si>
    <t>63118.1.30</t>
  </si>
  <si>
    <t>Mariama Sissawo</t>
  </si>
  <si>
    <t>DRF</t>
  </si>
  <si>
    <t>63118.1.31</t>
  </si>
  <si>
    <t>Lamin F Ceesay</t>
  </si>
  <si>
    <t>DEC</t>
  </si>
  <si>
    <t>63118.1.32</t>
  </si>
  <si>
    <t>Alhagie Jawneh</t>
  </si>
  <si>
    <t>Orderly</t>
  </si>
  <si>
    <t>63118.1.33</t>
  </si>
  <si>
    <t>Saika Gaye</t>
  </si>
  <si>
    <t>70122.1.01</t>
  </si>
  <si>
    <t>Baatou AM. Camara</t>
  </si>
  <si>
    <t>RM</t>
  </si>
  <si>
    <t>70122.1.02</t>
  </si>
  <si>
    <t>Seedy Jaiteh</t>
  </si>
  <si>
    <t>70122.1.03</t>
  </si>
  <si>
    <t>Ousman Sowe</t>
  </si>
  <si>
    <t>70122.1.04</t>
  </si>
  <si>
    <t>Morro K. Gitteh</t>
  </si>
  <si>
    <t>70122.1.05</t>
  </si>
  <si>
    <t>Sulayman Keita</t>
  </si>
  <si>
    <t>70122.1.06</t>
  </si>
  <si>
    <t>Foday Bojang</t>
  </si>
  <si>
    <t>70122.1.07</t>
  </si>
  <si>
    <t>Maimuna Bah</t>
  </si>
  <si>
    <t>70122.1.08</t>
  </si>
  <si>
    <t>Kansia Ceesay</t>
  </si>
  <si>
    <t>NA</t>
  </si>
  <si>
    <t>70122.1.09</t>
  </si>
  <si>
    <t>Alhagie Touray</t>
  </si>
  <si>
    <t>70122.1.10</t>
  </si>
  <si>
    <t>Musa Jammeh</t>
  </si>
  <si>
    <t>75101.1.01</t>
  </si>
  <si>
    <t>Yusupha Korta</t>
  </si>
  <si>
    <t>75101.1.02</t>
  </si>
  <si>
    <t>Mariama Jammeh</t>
  </si>
  <si>
    <t>75101.1.03</t>
  </si>
  <si>
    <t>Kumba Ceesay</t>
  </si>
  <si>
    <t>75101.1.04</t>
  </si>
  <si>
    <t>Anna P. Bojang</t>
  </si>
  <si>
    <t>75101.1.05</t>
  </si>
  <si>
    <t>Ousman Jarju</t>
  </si>
  <si>
    <t>75101.1.06</t>
  </si>
  <si>
    <t>Abdourahman jallow</t>
  </si>
  <si>
    <t>75101.1.07</t>
  </si>
  <si>
    <t>Neneh Galleh Jallow</t>
  </si>
  <si>
    <t>75101.1.08</t>
  </si>
  <si>
    <t>Hawa Sey</t>
  </si>
  <si>
    <t>75101.1.09</t>
  </si>
  <si>
    <t>Mustapha Sanyang</t>
  </si>
  <si>
    <t>75101.1.10</t>
  </si>
  <si>
    <t>Lamin Jaiteh</t>
  </si>
  <si>
    <t>75101.1.11</t>
  </si>
  <si>
    <t>Tida Y. Kambi</t>
  </si>
  <si>
    <t>75101.1.12</t>
  </si>
  <si>
    <t>Jabou Danso</t>
  </si>
  <si>
    <t>75101.1.13</t>
  </si>
  <si>
    <t>Ebrima Sanneh</t>
  </si>
  <si>
    <t>75101.1.14</t>
  </si>
  <si>
    <t>Ousman Bah</t>
  </si>
  <si>
    <t>84233.1.01</t>
  </si>
  <si>
    <t>Samba Boye</t>
  </si>
  <si>
    <t>RN/OIC</t>
  </si>
  <si>
    <t>84233.1.02</t>
  </si>
  <si>
    <t>Lamin Bunja Nyassi</t>
  </si>
  <si>
    <t>CHN Midwife</t>
  </si>
  <si>
    <t>84233.1.03</t>
  </si>
  <si>
    <t>Ebrima Huma</t>
  </si>
  <si>
    <t>84233.1.04</t>
  </si>
  <si>
    <t>Omar  K Joof</t>
  </si>
  <si>
    <t>CHM</t>
  </si>
  <si>
    <t>84233.1.05</t>
  </si>
  <si>
    <t>Fatoumata .k. Trawally</t>
  </si>
  <si>
    <t>84233.1.06</t>
  </si>
  <si>
    <t>Isatou Sawaneh</t>
  </si>
  <si>
    <t>84233.1.07</t>
  </si>
  <si>
    <t>Momodou .S. Jallow</t>
  </si>
  <si>
    <t>84233.1.08</t>
  </si>
  <si>
    <t>Antoinette Colley</t>
  </si>
  <si>
    <t>84233.1.09</t>
  </si>
  <si>
    <t>Foday AF. Touray</t>
  </si>
  <si>
    <t>84233.1.10</t>
  </si>
  <si>
    <t>Ba Malang Kambai</t>
  </si>
  <si>
    <t>Lab Assisitant</t>
  </si>
  <si>
    <t>84233.1.11</t>
  </si>
  <si>
    <t>Hanyima Sankareh</t>
  </si>
  <si>
    <t>84233.1.12</t>
  </si>
  <si>
    <t xml:space="preserve">Samba Baldeh </t>
  </si>
  <si>
    <t>86105.1.01</t>
  </si>
  <si>
    <t>Alasana Barry</t>
  </si>
  <si>
    <t>EM/OIC</t>
  </si>
  <si>
    <t>86105.1.02</t>
  </si>
  <si>
    <t>Mariama Manneh</t>
  </si>
  <si>
    <t>86105.1.03</t>
  </si>
  <si>
    <t>Musa Keita</t>
  </si>
  <si>
    <t>86105.1.04</t>
  </si>
  <si>
    <t>Kaddijatou Jallow</t>
  </si>
  <si>
    <t>86105.1.05</t>
  </si>
  <si>
    <t>Batapha Drammeh</t>
  </si>
  <si>
    <t>86105.1.06</t>
  </si>
  <si>
    <t>Ansumana Drammeh</t>
  </si>
  <si>
    <t>CHN/CON</t>
  </si>
  <si>
    <t>86105.1.07</t>
  </si>
  <si>
    <t>Fatou Sarr</t>
  </si>
  <si>
    <t>86105.1.08</t>
  </si>
  <si>
    <t>Muhammed Trawally</t>
  </si>
  <si>
    <t>86105.1.09</t>
  </si>
  <si>
    <t>Abu Saidy</t>
  </si>
  <si>
    <t>86105.1.10</t>
  </si>
  <si>
    <t>Ma Penda Ceesay</t>
  </si>
  <si>
    <t>86105.1.11</t>
  </si>
  <si>
    <t>Alagie Sanneh</t>
  </si>
  <si>
    <t>86105.1.12</t>
  </si>
  <si>
    <t>Essa Touray</t>
  </si>
  <si>
    <t>Nurse Attendant/LTI</t>
  </si>
  <si>
    <t>86105.1.13</t>
  </si>
  <si>
    <t>Dembo Jaiteh</t>
  </si>
  <si>
    <t>86105.1.14</t>
  </si>
  <si>
    <t>Hagie M Njie</t>
  </si>
  <si>
    <t>85101.1.01</t>
  </si>
  <si>
    <t>Sheriff Kanyi</t>
  </si>
  <si>
    <t>SCM/OIC</t>
  </si>
  <si>
    <t>85101.1.02</t>
  </si>
  <si>
    <t>Omar Jallow</t>
  </si>
  <si>
    <t>85101.1.03</t>
  </si>
  <si>
    <t>Benjamin Jammeh</t>
  </si>
  <si>
    <t>85101.1.04</t>
  </si>
  <si>
    <t>Lamin Kijera</t>
  </si>
  <si>
    <t>85101.1.05</t>
  </si>
  <si>
    <t>Sulayman Sarr</t>
  </si>
  <si>
    <t>85101.1.06</t>
  </si>
  <si>
    <t>Sainey Camara</t>
  </si>
  <si>
    <t>CHN/HVS</t>
  </si>
  <si>
    <t>85101.1.07</t>
  </si>
  <si>
    <t>Almami Fofana</t>
  </si>
  <si>
    <t>85101.1.08</t>
  </si>
  <si>
    <t>Nurse Attendant /LTI</t>
  </si>
  <si>
    <t>85101.1.09</t>
  </si>
  <si>
    <t>Muhammed Jallow</t>
  </si>
  <si>
    <t>SEN / CON</t>
  </si>
  <si>
    <t>85101.1.10</t>
  </si>
  <si>
    <t>Fatou T Krubally</t>
  </si>
  <si>
    <t>85101.1.11</t>
  </si>
  <si>
    <t>Sainabou Dem</t>
  </si>
  <si>
    <t>85101.1.12</t>
  </si>
  <si>
    <t>Muhammed Baldeh</t>
  </si>
  <si>
    <t>80204.1.01</t>
  </si>
  <si>
    <t>Yaya Bah</t>
  </si>
  <si>
    <t>80204.1.02</t>
  </si>
  <si>
    <t>Majula Kuyateh</t>
  </si>
  <si>
    <t>80204.1.03</t>
  </si>
  <si>
    <t>Gibril Sowe</t>
  </si>
  <si>
    <t>80204.1.04</t>
  </si>
  <si>
    <t>Kaddy Marong</t>
  </si>
  <si>
    <t>EM</t>
  </si>
  <si>
    <t>80204.1.05</t>
  </si>
  <si>
    <t xml:space="preserve">Numo Komma </t>
  </si>
  <si>
    <t>EN</t>
  </si>
  <si>
    <t>80204.1.06</t>
  </si>
  <si>
    <t>Kolly Bah</t>
  </si>
  <si>
    <t>80204.1.07</t>
  </si>
  <si>
    <t>Ebrima Joof</t>
  </si>
  <si>
    <t>80204.1.08</t>
  </si>
  <si>
    <t>Samba Nyang</t>
  </si>
  <si>
    <t>80204.1.09</t>
  </si>
  <si>
    <t>Abdoulie .O. Jallow</t>
  </si>
  <si>
    <t>80204.1.10</t>
  </si>
  <si>
    <t>Tida Bah</t>
  </si>
  <si>
    <t>80204.1.11</t>
  </si>
  <si>
    <t>Buba L. Njie</t>
  </si>
  <si>
    <t>Demba Kunda</t>
  </si>
  <si>
    <t>80201.1.01</t>
  </si>
  <si>
    <t>Sunkary Jimbara</t>
  </si>
  <si>
    <t>80201.1.02</t>
  </si>
  <si>
    <t>Ousman Minteh</t>
  </si>
  <si>
    <t>80201.1.03</t>
  </si>
  <si>
    <t>Ya Neneh Gassama</t>
  </si>
  <si>
    <t>80201.1.04</t>
  </si>
  <si>
    <t>Kumba M. Sanyang</t>
  </si>
  <si>
    <t>80201.1.05</t>
  </si>
  <si>
    <t>Fatou Colley</t>
  </si>
  <si>
    <t>80201.1.06</t>
  </si>
  <si>
    <t>Muhammed Joof</t>
  </si>
  <si>
    <t>80201.1.07</t>
  </si>
  <si>
    <t>Mansong S. Danso</t>
  </si>
  <si>
    <t>83205.1.01</t>
  </si>
  <si>
    <t>Ebrima  M. Jallow</t>
  </si>
  <si>
    <t>83205.1.02</t>
  </si>
  <si>
    <t>Alpha Sowe</t>
  </si>
  <si>
    <t>83205.1.03</t>
  </si>
  <si>
    <t>Ebrima  Camara</t>
  </si>
  <si>
    <t>83205.1.04</t>
  </si>
  <si>
    <t>Isatou Jarbo</t>
  </si>
  <si>
    <t>83205.1.05</t>
  </si>
  <si>
    <t>Oulay Njie</t>
  </si>
  <si>
    <t>83205.1.06</t>
  </si>
  <si>
    <t>Salimatou Nying</t>
  </si>
  <si>
    <t>83205.1.07</t>
  </si>
  <si>
    <t>Arafang Bah</t>
  </si>
  <si>
    <t>83205.1.08</t>
  </si>
  <si>
    <t>Amadou Jallow</t>
  </si>
  <si>
    <t>83205.1.09</t>
  </si>
  <si>
    <t>Alagie Touray</t>
  </si>
  <si>
    <t>83205.1.10</t>
  </si>
  <si>
    <t>Mamudou Jallow</t>
  </si>
  <si>
    <t>Dispensing Assistant</t>
  </si>
  <si>
    <t>83205.1.11</t>
  </si>
  <si>
    <t>Lamin T Bojang</t>
  </si>
  <si>
    <t>83205.1.12</t>
  </si>
  <si>
    <t>Anna Njie</t>
  </si>
  <si>
    <t>83205.1.13</t>
  </si>
  <si>
    <t>Madusu Sanyang</t>
  </si>
  <si>
    <t>83205.1.14</t>
  </si>
  <si>
    <t>Adama Jatta</t>
  </si>
  <si>
    <t>83217.1.01</t>
  </si>
  <si>
    <t>Ramatoulie I. Camara</t>
  </si>
  <si>
    <t>83217.1.02</t>
  </si>
  <si>
    <t>Madieu Jallow</t>
  </si>
  <si>
    <t>83217.1.03</t>
  </si>
  <si>
    <t>Abdul Bah</t>
  </si>
  <si>
    <t>83217.1.04</t>
  </si>
  <si>
    <t>Jabou Kinteh</t>
  </si>
  <si>
    <t>83217.1.05</t>
  </si>
  <si>
    <t>Lamin Jatta</t>
  </si>
  <si>
    <t>83217.1.06</t>
  </si>
  <si>
    <t>Omar I. Ceesay</t>
  </si>
  <si>
    <t>83217.1.07</t>
  </si>
  <si>
    <t>Fatoumata K Trawally</t>
  </si>
  <si>
    <t>83217.1.08</t>
  </si>
  <si>
    <t>Sukai Gumaneh</t>
  </si>
  <si>
    <t>83217.1.09</t>
  </si>
  <si>
    <t>Yaya Sowe</t>
  </si>
  <si>
    <t>83217.1.10</t>
  </si>
  <si>
    <t>Aminata Baldeh</t>
  </si>
  <si>
    <t>81102.1.01</t>
  </si>
  <si>
    <t>Pa Seedy Jarju</t>
  </si>
  <si>
    <t>81102.1.02</t>
  </si>
  <si>
    <t>Dr. Masirending Njie</t>
  </si>
  <si>
    <t>81102.1.03</t>
  </si>
  <si>
    <t>Ebrima Dukureh</t>
  </si>
  <si>
    <t>SOMA</t>
  </si>
  <si>
    <t>81102.1.04</t>
  </si>
  <si>
    <t>Sera Conteh</t>
  </si>
  <si>
    <t>SCM</t>
  </si>
  <si>
    <t>81102.1.05</t>
  </si>
  <si>
    <t>Aminata Sillah</t>
  </si>
  <si>
    <t>81102.1.06</t>
  </si>
  <si>
    <t>Sedia Jawneh</t>
  </si>
  <si>
    <t>81102.1.07</t>
  </si>
  <si>
    <t>Ebrima .K Jallow</t>
  </si>
  <si>
    <t>81102.1.08</t>
  </si>
  <si>
    <t>Mariama Fofana</t>
  </si>
  <si>
    <t>81102.1.09</t>
  </si>
  <si>
    <t>Momodou .J.Jallow</t>
  </si>
  <si>
    <t>81102.1.10</t>
  </si>
  <si>
    <t>Adama Saidyba</t>
  </si>
  <si>
    <t>81102.1.11</t>
  </si>
  <si>
    <t>Raymond Correa</t>
  </si>
  <si>
    <t>81102.1.12</t>
  </si>
  <si>
    <t>Simon Mendy</t>
  </si>
  <si>
    <t>OMA</t>
  </si>
  <si>
    <t>81102.1.13</t>
  </si>
  <si>
    <t>Aminata Mballo</t>
  </si>
  <si>
    <t>81102.1.14</t>
  </si>
  <si>
    <t>Yassin Sanneh</t>
  </si>
  <si>
    <t>81102.1.15</t>
  </si>
  <si>
    <t>Bakary Camara</t>
  </si>
  <si>
    <t>81102.1.16</t>
  </si>
  <si>
    <t>Jalamba Kora</t>
  </si>
  <si>
    <t>81102.1.17</t>
  </si>
  <si>
    <t>Fatou Ceesay</t>
  </si>
  <si>
    <t>81102.1.18</t>
  </si>
  <si>
    <t>81102.1.19</t>
  </si>
  <si>
    <t>Sarjo Ceesay</t>
  </si>
  <si>
    <t>81102.1.20</t>
  </si>
  <si>
    <t>Mariama H. Jallow</t>
  </si>
  <si>
    <t>81102.1.21</t>
  </si>
  <si>
    <t>Sambang Ceesay</t>
  </si>
  <si>
    <t>81102.1.22</t>
  </si>
  <si>
    <t>Halimatou Sowe</t>
  </si>
  <si>
    <t>81102.1.23</t>
  </si>
  <si>
    <t>Isatou Bah</t>
  </si>
  <si>
    <t>81102.1.24</t>
  </si>
  <si>
    <t>Mariama Joof</t>
  </si>
  <si>
    <t>81102.1.25</t>
  </si>
  <si>
    <t>Babung Touray</t>
  </si>
  <si>
    <t>81102.1.26</t>
  </si>
  <si>
    <t>Essa Secka</t>
  </si>
  <si>
    <t>81102.1.27</t>
  </si>
  <si>
    <t>Manyo Gibba</t>
  </si>
  <si>
    <t>81102.1.28</t>
  </si>
  <si>
    <t>Fatou Jammeh</t>
  </si>
  <si>
    <t>81102.1.29</t>
  </si>
  <si>
    <t>Adama Bah</t>
  </si>
  <si>
    <t>81102.1.30</t>
  </si>
  <si>
    <t>Mayang Manneh</t>
  </si>
  <si>
    <t>81102.1.31</t>
  </si>
  <si>
    <t>Mariatou Demba</t>
  </si>
  <si>
    <t>81102.1.32</t>
  </si>
  <si>
    <t>Hawlatou Jallow</t>
  </si>
  <si>
    <t>81102.1.33</t>
  </si>
  <si>
    <t>Maimuna Jarju</t>
  </si>
  <si>
    <t>81102.1.34</t>
  </si>
  <si>
    <t>Fatoumata F. Jallow</t>
  </si>
  <si>
    <t>81102.1.35</t>
  </si>
  <si>
    <t>Abdoulie Bajo</t>
  </si>
  <si>
    <t>81102.1.36</t>
  </si>
  <si>
    <t>Makoly Baldeh</t>
  </si>
  <si>
    <t>81102.1.37</t>
  </si>
  <si>
    <t>Sulayman Bah</t>
  </si>
  <si>
    <t>81102.1.38</t>
  </si>
  <si>
    <t>Mamadi Manneh</t>
  </si>
  <si>
    <t>81102.1.39</t>
  </si>
  <si>
    <t>Mamudou .H.M. Jobarteh</t>
  </si>
  <si>
    <t>81102.1.40</t>
  </si>
  <si>
    <t>Lamin S. Jammeh</t>
  </si>
  <si>
    <t>81102.1.41</t>
  </si>
  <si>
    <t>Hamidou Baldeh</t>
  </si>
  <si>
    <t>81102.1.42</t>
  </si>
  <si>
    <t>Mamadou Bah</t>
  </si>
  <si>
    <t>Radiology Assisitant</t>
  </si>
  <si>
    <t>81102.1.43</t>
  </si>
  <si>
    <t>Abdoulie S. Janko</t>
  </si>
  <si>
    <t>81102.1.44</t>
  </si>
  <si>
    <t>Lamin  Sanyang</t>
  </si>
  <si>
    <t>81102.1.45</t>
  </si>
  <si>
    <t>Momodou Sowe</t>
  </si>
  <si>
    <t>81102.1.46</t>
  </si>
  <si>
    <t>Lamin Njie</t>
  </si>
  <si>
    <t>81102.1.47</t>
  </si>
  <si>
    <t>Lamin A. Ceesay</t>
  </si>
  <si>
    <t>81102.1.48</t>
  </si>
  <si>
    <t>Ass Ahmed Jallow</t>
  </si>
  <si>
    <t>81102.1.49</t>
  </si>
  <si>
    <t>Nyima Conteh</t>
  </si>
  <si>
    <t>81102.1.50</t>
  </si>
  <si>
    <t>Yaya Dambelle</t>
  </si>
  <si>
    <t>81102.1.51</t>
  </si>
  <si>
    <t>Ya Sannu Janneh</t>
  </si>
  <si>
    <t>81102.1.52</t>
  </si>
  <si>
    <t>Sohna Jobe</t>
  </si>
  <si>
    <t>81102.1.53</t>
  </si>
  <si>
    <t>Makala Jatta</t>
  </si>
  <si>
    <t>81102.1.54</t>
  </si>
  <si>
    <t>Fatoumata Fadera</t>
  </si>
  <si>
    <t>81102.1.55</t>
  </si>
  <si>
    <t>Fatou N. Baldeh</t>
  </si>
  <si>
    <t>81102.1.56</t>
  </si>
  <si>
    <t>Mama Susso</t>
  </si>
  <si>
    <t>81102.1.57</t>
  </si>
  <si>
    <t>Assiatou Sowe</t>
  </si>
  <si>
    <t>81102.1.58</t>
  </si>
  <si>
    <t>Musa S Jawo</t>
  </si>
  <si>
    <t>81102.1.59</t>
  </si>
  <si>
    <t>81102.1.60</t>
  </si>
  <si>
    <t>Nyalling Danso</t>
  </si>
  <si>
    <t>81102.1.61</t>
  </si>
  <si>
    <t>Elizabeth Baldeh</t>
  </si>
  <si>
    <t>81102.1.62</t>
  </si>
  <si>
    <t>Ndey Sarr</t>
  </si>
  <si>
    <t>81102.1.63</t>
  </si>
  <si>
    <t>Mamadi F Keita</t>
  </si>
  <si>
    <t>81102.1.64</t>
  </si>
  <si>
    <t xml:space="preserve">Mariama A Jallow </t>
  </si>
  <si>
    <t>81102.1.65</t>
  </si>
  <si>
    <t>Lala Baldeh</t>
  </si>
  <si>
    <t>NBR W</t>
  </si>
  <si>
    <t>51201.1.01</t>
  </si>
  <si>
    <t>Alieu Joof</t>
  </si>
  <si>
    <t>51201.1.02</t>
  </si>
  <si>
    <t>Sirreh Badjie</t>
  </si>
  <si>
    <t>51201.1.03</t>
  </si>
  <si>
    <t>Baboucarr Baye Drammeh</t>
  </si>
  <si>
    <t>51201.1.04</t>
  </si>
  <si>
    <t>Lamin Gassama</t>
  </si>
  <si>
    <t>51201.1.05</t>
  </si>
  <si>
    <t>Ismaila Kasseh</t>
  </si>
  <si>
    <t>51201.1.06</t>
  </si>
  <si>
    <t>Fatoumata.B. TOURAY</t>
  </si>
  <si>
    <t>51201.1.07</t>
  </si>
  <si>
    <t>Mariatou Nyassi</t>
  </si>
  <si>
    <t>CHN/LTI</t>
  </si>
  <si>
    <t>51201.1.08</t>
  </si>
  <si>
    <t>Lamin Jammeh</t>
  </si>
  <si>
    <t>51201.1.09</t>
  </si>
  <si>
    <t>Lamin Darboe</t>
  </si>
  <si>
    <t>51201.1.10</t>
  </si>
  <si>
    <t>Mariama Cham</t>
  </si>
  <si>
    <t>51201.1.11</t>
  </si>
  <si>
    <t>Ma-Bintou Janha</t>
  </si>
  <si>
    <t>51201.1.12</t>
  </si>
  <si>
    <t>Mustapha Cham</t>
  </si>
  <si>
    <t>51201.1.13</t>
  </si>
  <si>
    <t>Fatou Nyabally</t>
  </si>
  <si>
    <t>51201.1.14</t>
  </si>
  <si>
    <t>Kaddy Fatty</t>
  </si>
  <si>
    <t>51201.1.15</t>
  </si>
  <si>
    <t>Basainey Jammeh</t>
  </si>
  <si>
    <t>LAB .Ass</t>
  </si>
  <si>
    <t>52216.1.01</t>
  </si>
  <si>
    <t>RN Midwife</t>
  </si>
  <si>
    <t>52216.1.02</t>
  </si>
  <si>
    <t>Amie Bobb</t>
  </si>
  <si>
    <t xml:space="preserve">CHN Midwife </t>
  </si>
  <si>
    <t>52216.1.03</t>
  </si>
  <si>
    <t xml:space="preserve">Bugut Sowe </t>
  </si>
  <si>
    <t xml:space="preserve">SEN Midwife </t>
  </si>
  <si>
    <t>52216.1.04</t>
  </si>
  <si>
    <t>RN General</t>
  </si>
  <si>
    <t>52216.1.05</t>
  </si>
  <si>
    <t>Aji Banuna Jallow</t>
  </si>
  <si>
    <t>52216.1.06</t>
  </si>
  <si>
    <t>Sarjo Chorr</t>
  </si>
  <si>
    <t>SEN General</t>
  </si>
  <si>
    <t>52216.1.07</t>
  </si>
  <si>
    <t>Satang Mballow</t>
  </si>
  <si>
    <t>CHN General</t>
  </si>
  <si>
    <t>52216.1.08</t>
  </si>
  <si>
    <t>Ebrima Njie</t>
  </si>
  <si>
    <t>52216.1.09</t>
  </si>
  <si>
    <t>Bintou b. Touray</t>
  </si>
  <si>
    <t>52216.1.10</t>
  </si>
  <si>
    <t>Alieu Sawaneh</t>
  </si>
  <si>
    <t>52216.1.11</t>
  </si>
  <si>
    <t xml:space="preserve">Haddy Jobe </t>
  </si>
  <si>
    <t>Senior CNA</t>
  </si>
  <si>
    <t>52216.1.12</t>
  </si>
  <si>
    <t xml:space="preserve">Musa s. Jarju </t>
  </si>
  <si>
    <t>52216.1.13</t>
  </si>
  <si>
    <t>Mariama Njie</t>
  </si>
  <si>
    <t>52216.1.14</t>
  </si>
  <si>
    <t>Ramatoulie Drammeh</t>
  </si>
  <si>
    <t>52216.1.15</t>
  </si>
  <si>
    <t>Momodou Sarr</t>
  </si>
  <si>
    <t xml:space="preserve">Lab. Assistant </t>
  </si>
  <si>
    <t>52216.1.16</t>
  </si>
  <si>
    <t>Bakary L.k. Fofana</t>
  </si>
  <si>
    <t>52216.1.17</t>
  </si>
  <si>
    <t>Ousman Kanyi</t>
  </si>
  <si>
    <t>52216.1.18</t>
  </si>
  <si>
    <t>Abou Suwareh</t>
  </si>
  <si>
    <t>52216.1.19</t>
  </si>
  <si>
    <t>52216.1.20</t>
  </si>
  <si>
    <t>Essa Keita</t>
  </si>
  <si>
    <t>51212.1.01</t>
  </si>
  <si>
    <t>Mam Isatou Jallow</t>
  </si>
  <si>
    <t>RN MIDWIFE</t>
  </si>
  <si>
    <t>51212.1.02</t>
  </si>
  <si>
    <t>SAKO  CEESAY</t>
  </si>
  <si>
    <t>SEM</t>
  </si>
  <si>
    <t>51212.1.03</t>
  </si>
  <si>
    <t>ELIYASA .M. JALLOW</t>
  </si>
  <si>
    <t>51212.1.04</t>
  </si>
  <si>
    <t>AMADOU JARJU</t>
  </si>
  <si>
    <t>51212.1.05</t>
  </si>
  <si>
    <t>PA ALI SALLAH</t>
  </si>
  <si>
    <t>51212.1.06</t>
  </si>
  <si>
    <t>MAIMUNA JOOF</t>
  </si>
  <si>
    <t>51212.1.07</t>
  </si>
  <si>
    <t>SANG M JARJU</t>
  </si>
  <si>
    <t>51212.1.08</t>
  </si>
  <si>
    <t>SALIM CEESAY</t>
  </si>
  <si>
    <t>LAB ASSITANT</t>
  </si>
  <si>
    <t>51212.1.09</t>
  </si>
  <si>
    <t>LAMIN SUWANEH</t>
  </si>
  <si>
    <t>51212.1.10</t>
  </si>
  <si>
    <t>ASSAN CHORR</t>
  </si>
  <si>
    <t>51212.1.11</t>
  </si>
  <si>
    <t>AMADOU SAIDY</t>
  </si>
  <si>
    <t>Nemakunku</t>
  </si>
  <si>
    <t>51115.1.01</t>
  </si>
  <si>
    <t>BAFODAY JAMMEH</t>
  </si>
  <si>
    <t>SCHNM</t>
  </si>
  <si>
    <t>51115.1.02</t>
  </si>
  <si>
    <t>MAIMUNA SUWAREH</t>
  </si>
  <si>
    <t>51115.1.03</t>
  </si>
  <si>
    <t>JOHN B MENDY</t>
  </si>
  <si>
    <t>51115.1.04</t>
  </si>
  <si>
    <t>MAIMUNA BADJIE</t>
  </si>
  <si>
    <t>51115.1.05</t>
  </si>
  <si>
    <t>SANAIBOU FATTY</t>
  </si>
  <si>
    <t>51115.1.06</t>
  </si>
  <si>
    <t>JALIMA SANNEH</t>
  </si>
  <si>
    <t>51115.1.07</t>
  </si>
  <si>
    <t>OMAR DANSO</t>
  </si>
  <si>
    <t>50130.1.01</t>
  </si>
  <si>
    <t xml:space="preserve">John Joseph Mendy                        </t>
  </si>
  <si>
    <t>RM/SNO</t>
  </si>
  <si>
    <t>50130.1.02</t>
  </si>
  <si>
    <t>Mustapha Jagne</t>
  </si>
  <si>
    <t>50130.1.03</t>
  </si>
  <si>
    <t>Abubacarr Jarju</t>
  </si>
  <si>
    <t>50130.1.04</t>
  </si>
  <si>
    <t>Isatou B Jallow</t>
  </si>
  <si>
    <t>50130.1.05</t>
  </si>
  <si>
    <t>Therese M Mendy</t>
  </si>
  <si>
    <t>50130.1.06</t>
  </si>
  <si>
    <t>Salieu Jang Jallow</t>
  </si>
  <si>
    <t>50130.1.07</t>
  </si>
  <si>
    <t>Alhagie Sanyang</t>
  </si>
  <si>
    <t>50130.1.08</t>
  </si>
  <si>
    <t>Rohey Drammeh</t>
  </si>
  <si>
    <t>50130.1.09</t>
  </si>
  <si>
    <t>Dawda Jammeh</t>
  </si>
  <si>
    <t>50130.1.10</t>
  </si>
  <si>
    <t>Francess B King</t>
  </si>
  <si>
    <t>50130.1.11</t>
  </si>
  <si>
    <t>Fatoumata Sey</t>
  </si>
  <si>
    <t>50130.1.12</t>
  </si>
  <si>
    <t>Sanna Keita</t>
  </si>
  <si>
    <t>SSEM</t>
  </si>
  <si>
    <t>50130.1.13</t>
  </si>
  <si>
    <t>Fatou Camara</t>
  </si>
  <si>
    <t>50130.1.14</t>
  </si>
  <si>
    <t>Nyima Badjie</t>
  </si>
  <si>
    <t>50130.1.15</t>
  </si>
  <si>
    <t>Lamin Joof</t>
  </si>
  <si>
    <t>50130.1.16</t>
  </si>
  <si>
    <t>Modou Jallow</t>
  </si>
  <si>
    <t>CON</t>
  </si>
  <si>
    <t>50130.1.17</t>
  </si>
  <si>
    <t>Lamin Kambi</t>
  </si>
  <si>
    <t>SEN/LTI</t>
  </si>
  <si>
    <t>50130.1.18</t>
  </si>
  <si>
    <t>Jainaba Sonko</t>
  </si>
  <si>
    <t>50130.1.19</t>
  </si>
  <si>
    <t>Jarrai Keita</t>
  </si>
  <si>
    <t>50130.1.20</t>
  </si>
  <si>
    <t>Omar Sarr</t>
  </si>
  <si>
    <t>50130.1.21</t>
  </si>
  <si>
    <t>Buba H Jallow</t>
  </si>
  <si>
    <t>50130.1.22</t>
  </si>
  <si>
    <t>Isatou Nyassi</t>
  </si>
  <si>
    <t>50130.1.23</t>
  </si>
  <si>
    <t>Marie Therese Mendy</t>
  </si>
  <si>
    <t>50130.1.24</t>
  </si>
  <si>
    <t>Rohey Joof</t>
  </si>
  <si>
    <t>C N A</t>
  </si>
  <si>
    <t>50130.1.25</t>
  </si>
  <si>
    <t>Fatou Marong</t>
  </si>
  <si>
    <t>50130.1.26</t>
  </si>
  <si>
    <t>Mbie Saho</t>
  </si>
  <si>
    <t>50130.1.27</t>
  </si>
  <si>
    <t>Binta Cham</t>
  </si>
  <si>
    <t>50130.1.28</t>
  </si>
  <si>
    <t>Fatou K Njie</t>
  </si>
  <si>
    <t>50130.1.29</t>
  </si>
  <si>
    <t>Isatou Barrow</t>
  </si>
  <si>
    <t>50130.1.30</t>
  </si>
  <si>
    <t>Alasana Mboom</t>
  </si>
  <si>
    <t>50130.1.31</t>
  </si>
  <si>
    <t>Ndey D Jammeh</t>
  </si>
  <si>
    <t>50130.1.32</t>
  </si>
  <si>
    <t>Ndey  Fatou Jallow</t>
  </si>
  <si>
    <t>50130.1.33</t>
  </si>
  <si>
    <t>Sira Sonko</t>
  </si>
  <si>
    <t>50130.1.34</t>
  </si>
  <si>
    <t>Fatou Ndure</t>
  </si>
  <si>
    <t>50130.1.35</t>
  </si>
  <si>
    <t>Nyima Sonko</t>
  </si>
  <si>
    <t>50130.1.36</t>
  </si>
  <si>
    <t>Fatou Jaiteh</t>
  </si>
  <si>
    <t>50130.1.37</t>
  </si>
  <si>
    <t>Dado Jarju</t>
  </si>
  <si>
    <t>50130.1.38</t>
  </si>
  <si>
    <t>Saikou Bah</t>
  </si>
  <si>
    <t>DR</t>
  </si>
  <si>
    <t>50130.1.39</t>
  </si>
  <si>
    <t>Mustapha Demba</t>
  </si>
  <si>
    <t>50130.1.40</t>
  </si>
  <si>
    <t>Kaddy  Ceesay</t>
  </si>
  <si>
    <t>50130.1.41</t>
  </si>
  <si>
    <t>Ebrima Bah</t>
  </si>
  <si>
    <t>50130.1.42</t>
  </si>
  <si>
    <t>Theresa Mendy</t>
  </si>
  <si>
    <t>50130.1.43</t>
  </si>
  <si>
    <t>Omar Ceesay</t>
  </si>
  <si>
    <t>50130.1.44</t>
  </si>
  <si>
    <t>Kaddy Jagne</t>
  </si>
  <si>
    <t>Lab tech.</t>
  </si>
  <si>
    <t>50130.1.45</t>
  </si>
  <si>
    <t>Ebrima Loum</t>
  </si>
  <si>
    <t>Lab assist</t>
  </si>
  <si>
    <t>50130.1.46</t>
  </si>
  <si>
    <t>50130.1.47</t>
  </si>
  <si>
    <t>Sanna Sowe</t>
  </si>
  <si>
    <t>50130.1.48</t>
  </si>
  <si>
    <t>Sarjo B Kinteh</t>
  </si>
  <si>
    <t>59999.1</t>
  </si>
  <si>
    <t>Farafenni Hospital</t>
  </si>
  <si>
    <t>59999.1.99</t>
  </si>
  <si>
    <t>Other, Specify</t>
  </si>
  <si>
    <t>79999.1</t>
  </si>
  <si>
    <t>Bansang Hospital</t>
  </si>
  <si>
    <t>79999.1.99</t>
  </si>
  <si>
    <t>74103.1.99</t>
  </si>
  <si>
    <t>73101.1.99</t>
  </si>
  <si>
    <t>72204.1.99</t>
  </si>
  <si>
    <t>70109.1.99</t>
  </si>
  <si>
    <t>60224.1.99</t>
  </si>
  <si>
    <t>62106.1.99</t>
  </si>
  <si>
    <t>63118.1.99</t>
  </si>
  <si>
    <t>70122.1.99</t>
  </si>
  <si>
    <t>75101.1.99</t>
  </si>
  <si>
    <t>84233.1.99</t>
  </si>
  <si>
    <t>86105.1.99</t>
  </si>
  <si>
    <t>85101.1.99</t>
  </si>
  <si>
    <t>80204.1.99</t>
  </si>
  <si>
    <t>80201.1.99</t>
  </si>
  <si>
    <t>83205.1.99</t>
  </si>
  <si>
    <t>83217.1.99</t>
  </si>
  <si>
    <t>81102.1.99</t>
  </si>
  <si>
    <t>51201.1.99</t>
  </si>
  <si>
    <t>52216.1.99</t>
  </si>
  <si>
    <t>51212.1.99</t>
  </si>
  <si>
    <t>51115.1.99</t>
  </si>
  <si>
    <t>50130.1.99</t>
  </si>
  <si>
    <t>if(selected-at(${f1_04_01},0) = -997 ,substr(${f1_04_01},5,200),pulldata('rawquery',concat(${family_path},'/F1_Health_Facility_Staff.db::externalData'),'SELECT staff FROM externalData WHERE code_staff = ?',${f1_04_01}))</t>
  </si>
  <si>
    <t>&lt;minhint&gt;Please select Region.&lt;/minhint&gt;</t>
  </si>
  <si>
    <t>&lt;minhint&gt;Please select HF Number.&lt;/minhint&gt;</t>
  </si>
  <si>
    <t>tagging-choices-noshow-v2-f6f6f6-ffffff-009688 search('rawquery',concat(${family_path},'/F1_Health_Facility.db::externalData'),'SELECT code_hf, code_hf FROM externalData WHERE region_id  = ?',${f1_region_id}) embed gridformat&lt;row = 2, col = 3, colspan = 3, align = center/&gt;</t>
  </si>
  <si>
    <t>autopull(${f1_lga_id}) gridformat&lt;row = 4, col = 3, colspan = 3, align = left|center/&gt;</t>
  </si>
  <si>
    <t>tagging-choices-noshow-v2-f6f6f6-ffffff-009688 search('rawquery',concat(${family_path},'/F1_Health_Facility.db::externalData'),'SELECT lga, lga FROM externalData WHERE region_id  = ?',${f1_region_id})  gridformat&lt;row = 4, col = 0, colspan = 3, align = left|center/&gt;</t>
  </si>
  <si>
    <t>autopull(${f1_district_id})  gridformat&lt;row = 6, col = 3, colspan = 3, align = left|center/&gt;</t>
  </si>
  <si>
    <t>tagging-choices-noshow-v2-f6f6f6-ffffff-009688  search('rawquery',concat(${family_path},'/F1_Health_Facility.db::externalData'),'SELECT district_id, district FROM externalData WHERE region_id  = ?',${f1_region_id})  gridformat&lt;row = 6, col = 0, colspan = 3, align = left|center/&gt;</t>
  </si>
  <si>
    <t>string-length(${f1_lga_id}) &gt; 0</t>
  </si>
  <si>
    <t>string-length(${f1_district_id}) &gt; 0</t>
  </si>
  <si>
    <t>required</t>
  </si>
  <si>
    <t>(1.09) This value must more than (1.08) and less than 2400</t>
  </si>
  <si>
    <t>(1.08) This value &gt;= 0  and &lt;  2400</t>
  </si>
  <si>
    <t>if(${f1_01_12_1} = 1 or ${f1_01_12_2} = 1 or ${f1_01_12_3} = 1, .&gt; 0, true())</t>
  </si>
  <si>
    <t>if(${f1_01_12_1} = 2 or ${f1_01_12_2} = 2 or ${f1_01_12_3} = 2, .&gt; 0, true())</t>
  </si>
  <si>
    <t>if(${f1_01_12_1} = 3 or ${f1_01_12_2} = 3 or ${f1_01_12_3} = 3, .&gt; 0, true())</t>
  </si>
  <si>
    <t>if(${f1_01_12_1} = 4 or ${f1_01_12_2} = 4 or ${f1_01_12_3} = 4, .&gt; 0, true())</t>
  </si>
  <si>
    <t>if(${f1_01_12_1} = 5 or ${f1_01_12_2} = 5 or ${f1_01_12_3} = 5, .&gt; 0, true())</t>
  </si>
  <si>
    <t>if(${f1_01_12_1} = 6 or ${f1_01_12_2} = 6 or ${f1_01_12_3} = 6, .&gt; 0, true())</t>
  </si>
  <si>
    <t>if(${f1_01_12_1} = 7 or ${f1_01_12_2} = 7 or ${f1_01_12_3} = 7, .&gt; 0, true())</t>
  </si>
  <si>
    <t>f1_01_17_alert</t>
  </si>
  <si>
    <t>&lt;font color ='red'&gt;(1.17) Are you sure with the answer 1.17 = 0&lt;/font&gt;</t>
  </si>
  <si>
    <t>${f1_01_17} = 0</t>
  </si>
  <si>
    <t>${f1_01_29} = 1 or ${f1_01_28}= 1 or ${f1_01_28}=2 or ${f1_01_28}=3</t>
  </si>
  <si>
    <t>f1_01_38_alert</t>
  </si>
  <si>
    <t>&lt;font color ='red'&gt;Total working [VEHICLES] does the facility have access to: 0. Are you sure?&lt;/font&gt;</t>
  </si>
  <si>
    <t>f1_01_g18</t>
  </si>
  <si>
    <t>${f1_01_38_a} = 0  and  ${f1_01_38_b} = 0  and  ${f1_01_38_c} = 0  and  ${f1_01_38_d} = 0 and  ${f1_01_38_e} = 0 and ${f1_01_38_f} = 0 and ${f1_01_38_g} = 0 and  ${f1_01_38_h} = 0 and  ${f1_01_38_i} = 0 and  ${f1_01_38_j} = 0</t>
  </si>
  <si>
    <t>f1_02_09_alert</t>
  </si>
  <si>
    <t>&lt;font color ='red'&gt;(2.09) No people involved in setting this workplan. Are you sure?&lt;/font&gt;</t>
  </si>
  <si>
    <t xml:space="preserve">${f1_02_09a} = 0  and ${f1_02_09b} = 0 and ${f1_02_09c} = 0 and ${f1_02_09d} = 0 and ${f1_02_09e} = 0 and ${f1_02_09f} = 0 and ${f1_02_09g} = 0 and ${f1_02_09h} = 0 and ${f1_02_09i} = 0 and ${f1_02_09j} = 0 and ${f1_02_09k} = 0 and ${f1_02_09l} = 0 </t>
  </si>
  <si>
    <t>f1_03_10_alert</t>
  </si>
  <si>
    <t>${f1_03_09}=1 and ${f1_03_10_sum} = 0</t>
  </si>
  <si>
    <t>f1_03_12_2_alert</t>
  </si>
  <si>
    <t>${f1_03_12_2a} + ${f1_03_12_2b}</t>
  </si>
  <si>
    <t>${f1_03_09}=1 and ${f1_03_12_1}=1 and ${f1_03_12_2sum} = 0</t>
  </si>
  <si>
    <t>rating_box-fill-f6f6f6-009688-737373-ffffff gridformat&lt;row = 6, col = 0, colspan = 2, fill = fill/&gt;</t>
  </si>
  <si>
    <t>(4.11) Please check the answer of 4.03</t>
  </si>
  <si>
    <t>${f1_04_11} = 1</t>
  </si>
  <si>
    <t>.&gt; 0 and .&lt;=7</t>
  </si>
  <si>
    <t>(1.14) Can you please tell me the total amount received in 2017/2018 in DALASI.&lt;br&gt;Is the total amount of money received in 2017/2018:  &lt;font color ='red'&gt;&lt;b&gt; thousandsep(3,,,${f1_01_14_cal}) &lt;/b&gt;&lt;/font&gt; DALASI?</t>
  </si>
  <si>
    <t>if(${f1_04_03} = 1, . = 1, true())</t>
  </si>
  <si>
    <t>f1_staff_nt</t>
  </si>
  <si>
    <t>(4.02) IS &lt;b&gt;${f1_04_01_name}&lt;/b&gt; MALE OR FEMALE?</t>
  </si>
  <si>
    <t>(4.03) Is &lt;b&gt;${f1_04_01_name}&lt;/b&gt; a respondent?</t>
  </si>
  <si>
    <t>(4.04) How old is &lt;b&gt;${f1_04_01_name}&lt;/b&gt;?</t>
  </si>
  <si>
    <t>(4.05) What is &lt;b&gt;${f1_04_01_name}&lt;/b&gt;'s position in this facility? (Clinical)</t>
  </si>
  <si>
    <t>(4.06) Was &lt;b&gt;${f1_04_01_name}&lt;/b&gt; appointed by the central Ministry or contracted locally?</t>
  </si>
  <si>
    <t>(4.07) How many days per week does &lt;b&gt;${f1_04_01_name}&lt;/b&gt; work at this health facility?</t>
  </si>
  <si>
    <t>(4.08) How many hours per week does &lt;b&gt;${f1_04_01_name}&lt;/b&gt; usually work at this health facility?</t>
  </si>
  <si>
    <t>(4.10) Does &lt;b&gt;${f1_04_01_name}&lt;/b&gt; also work in a private health practice?</t>
  </si>
  <si>
    <t>(4.11) Is &lt;b&gt;${f1_04_01_name}&lt;/b&gt; here today?</t>
  </si>
  <si>
    <t>(4.12) Can you please tell me why &lt;b&gt;${f1_04_01_name}&lt;/b&gt; is not here today?</t>
  </si>
  <si>
    <t>(4.13) What services is &lt;b&gt;${f1_04_01_name}&lt;/b&gt; providing today?</t>
  </si>
  <si>
    <t>position</t>
  </si>
  <si>
    <t>if(selected-at(${f1_04_01},0)= -997 ,concat(${orig_inst},'_',${position}),${f1_04_01})</t>
  </si>
  <si>
    <t xml:space="preserve">filter = current()/../f1_04_g2/f1_04_02 </t>
  </si>
  <si>
    <t>&lt;font color ='red'&gt;#Staff ${position}: ${f1_04_01_name}&lt;/font&gt;</t>
  </si>
  <si>
    <t>&lt;font color ='#9f2e2e'&gt;&lt;i&gt;Please select the Staff's name&lt;/i&gt;&lt;/font&gt;</t>
  </si>
  <si>
    <t>inst_rr</t>
  </si>
  <si>
    <t>Mã bản ghi</t>
  </si>
  <si>
    <t>Vị trí</t>
  </si>
  <si>
    <t>${orig_inst}</t>
  </si>
  <si>
    <t xml:space="preserve">search-autocomplete-noedit-v2('rawquery',concat(${family_path},'/F1_Health_Facility_Staff.db::externalData'),'[staff]','code_staff','SELECT code_staff, staff || " - ID: " ||code_staff AS staff FROM externalData WHERE h_facility_id = ?',${f1_hf_id}) embed </t>
  </si>
  <si>
    <t>&lt;minhint&gt;&lt;i&gt;Please select staff's name&lt;/i&gt;&lt;/minhint&gt;</t>
  </si>
  <si>
    <t xml:space="preserve">search-join-dbs('rawquery',concat('[', ${family_path},'/F1_Health_Facility_Staff.db::externalData as main,', ${localdb_path},'::f1_04_rr', ' as local',']'),'SELECT staff.staff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WHERE staff.code_staff = ?',${f1_hf_id},${orig_inst},${f1_5id}) checkall invisible </t>
  </si>
  <si>
    <t>tagging-choices-noshow-v2-009688-ffffff-ffffff-009688</t>
  </si>
  <si>
    <t>(a.other) Other health facility refer Lab tests</t>
  </si>
  <si>
    <t>(c.other) Other health facility refer In-patient</t>
  </si>
  <si>
    <t>(b.other) Other health facility refer Radiology</t>
  </si>
  <si>
    <t>(d.other) Other health facility refer Specialized care</t>
  </si>
  <si>
    <t>(e.other) Other health facility refer Surgery</t>
  </si>
  <si>
    <t>(f.other) Other health facility refer High Risk Pregnancy</t>
  </si>
  <si>
    <t>(g.other) Other health facility refer Uncomplicated delivery</t>
  </si>
  <si>
    <t>(h.other) Other health facility refer Complicated delivery</t>
  </si>
  <si>
    <t>(i.other) Other health facility, specify:</t>
  </si>
  <si>
    <t>(i.other1) Other health service, specify:</t>
  </si>
  <si>
    <t>rating_box-fill-f6f6f6-009688-737373-ffffff  gridformat&lt;row = 2, col = 0, colspan = 2, fill = fill/&gt;</t>
  </si>
  <si>
    <t>f1_05_08_cal</t>
  </si>
  <si>
    <t>${f1_05_08_cal} &gt; 0</t>
  </si>
  <si>
    <t>${f1_05_08_cal} = null or ${f1_05_08_cal} ='-999999'</t>
  </si>
  <si>
    <t xml:space="preserve">(5.08) How many &lt;b&gt;laboratory technicians&lt;/b&gt; are trained in Acid-Fast Bacilli (AFB) microscopy? </t>
  </si>
  <si>
    <t>&lt;small&gt;ACCORDING TO YOUR ANSWER AT (3.02k) and (3.04k), THERE ARE CURRENTLY: &lt;b&gt; ${f1_05_08_cal} Lab technicians&lt;/b&gt;.&lt;/small&gt;</t>
  </si>
  <si>
    <t>${f1_06_23_1n}=96</t>
  </si>
  <si>
    <t>f1_06_47_00_g</t>
  </si>
  <si>
    <t>gridformat&lt;row = 8, col = 0, fill = fill/&gt;</t>
  </si>
  <si>
    <t>&lt;font color ='red'&gt;(7.02_alert) Total of &lt;b&gt;Male population&lt;/b&gt; 7.02b - ${f1_07_02b} and &lt;b&gt;Female population&lt;/b&gt; 7.02c - ${f1_07_02c} must be equal to &lt;b&gt;Total population&lt;/b&gt; in 7.02a - ${f1_07_02a}.Please check again!&lt;/font&gt;</t>
  </si>
  <si>
    <t>f1_07_05_01_g</t>
  </si>
  <si>
    <t>f1_07_04n_o</t>
  </si>
  <si>
    <t>f1_07_04n_i</t>
  </si>
  <si>
    <t>if(${f1_07_03_o} = - 99, 0,${f1_07_03_o}) + if(${f1_07_04_o} = - 99, 0,${f1_07_04_o})</t>
  </si>
  <si>
    <t xml:space="preserve">if(${f1_07_03_i} = - 99, 0,${f1_07_03_i}) + if(${f1_07_04_i} = - 99, 0,${f1_07_04_i}) </t>
  </si>
  <si>
    <t>(7.04_N) &lt;b&gt;Number of TOTAL outpatients : ${f1_07_04n_o} &lt;br&gt;Number of TOTAL inpatients: ${f1_07_04n_i}&lt;/b&gt;</t>
  </si>
  <si>
    <t>f1_07_07n_o</t>
  </si>
  <si>
    <t>f1_07_07n_i</t>
  </si>
  <si>
    <t>if(${f1_07_06_o} = - 99, 0,${f1_07_06_o}) + if(${f1_07_07_o} = - 99, 0,${f1_07_07_o})</t>
  </si>
  <si>
    <t>(7.07_N) &lt;b&gt;Number of TOTAL under 5 outpatients: ${f1_07_07n_o} &lt;br&gt;Number of TOTAL under 5 inpatients: ${f1_07_07n_i}&lt;/b&gt;</t>
  </si>
  <si>
    <t>f1_07_07n</t>
  </si>
  <si>
    <t>${f1_07_07n_o} &gt; 0 or ${f1_07_07n_i} &gt; 0</t>
  </si>
  <si>
    <t>f1_07_04n</t>
  </si>
  <si>
    <t>${f1_07_04n_o} &gt; 0 or ${f1_07_04n_i} &gt; 0</t>
  </si>
  <si>
    <t>(7.09_N) &lt;b&gt;Number of TOTAL under 1 outpatients: ${f1_07_09n_o} &lt;br&gt;Number of TOTAL under 1 inpatients: ${f1_07_09n_i}&lt;/b&gt;</t>
  </si>
  <si>
    <t>f1_07_09n_o</t>
  </si>
  <si>
    <t>f1_07_09n_i</t>
  </si>
  <si>
    <t>f1_07_09_n</t>
  </si>
  <si>
    <t>${f1_07_09n_o} &gt; 0 or ${f1_07_09n_i} &gt; 0</t>
  </si>
  <si>
    <t>(.&gt;=0 and .&lt;=7) or .= -98 or .=8</t>
  </si>
  <si>
    <t xml:space="preserve">Not Applicable </t>
  </si>
  <si>
    <t>na</t>
  </si>
  <si>
    <t>selection_one_hide::dk gridformat&lt;row = 4, col = 0, fill = fill/&gt;</t>
  </si>
  <si>
    <t>INTERVIEWER: IF BY APPOINTMENT ONLY, RECORD 8; IF NOT APPLICABLE, RECORD -98</t>
  </si>
  <si>
    <t xml:space="preserve">E.G. IF TODAY IS SEPTEMBER 13, RECORD PATIENTS FOR THE PERIOD OF JUNE 1 TO AUGUST, 31 IN ORDER TO HAVE 3 FULL MONTHS.&lt;br&gt;If DON'T KNOW, write -99. </t>
  </si>
  <si>
    <t>selection_one_hide::na gridformat&lt;row = 4, col = 0, fill = fill/&gt;</t>
  </si>
  <si>
    <t>selection_one_hide::na</t>
  </si>
  <si>
    <t>selection_one_hide::dk gridformat&lt;row = 4, col = 1, fill = fill/&gt;</t>
  </si>
  <si>
    <t>selection_one_hide::dk  gridformat&lt;row = 6, col = 0, fill = fill/&gt;</t>
  </si>
  <si>
    <t>selection_one_hide::dk  gridformat&lt;row = 6, col = 1, fill = fill/&gt;</t>
  </si>
  <si>
    <t>selection_one_hide::dk gridformat&lt;row = 6, col = 0, fill = fill/&gt;</t>
  </si>
  <si>
    <t>selection_one_hide::dk gridformat&lt;row = 6, col = 1, fill = fill/&gt;</t>
  </si>
  <si>
    <t xml:space="preserve"> selection_one_hide::na gridformat&lt;row = 4, col = 0, fill = fill/&gt;</t>
  </si>
  <si>
    <t>list-nolabel  gridformat&lt;row = 2, col = 0, fill = fill/&gt;</t>
  </si>
  <si>
    <t>(.&gt;=0 or . = -99 and .&lt;=7) or .= -98 or .=8</t>
  </si>
  <si>
    <t>(.&gt;=0 and .&lt;=7) or .=-98 or .=8</t>
  </si>
  <si>
    <t>${f1_09_03}!= -98</t>
  </si>
  <si>
    <t xml:space="preserve">tagging-choices-noshow-v2-009688-ffffff-ffffff-009688 search-join-dbs('rawquery',concat('[', ${family_path},'/F1_Health_Facility_Staff.db::externalData as main,', ${localdb_path},'::f1_04_rr', ' as local',']'),'SELECT staff.code_staff, staff.staff || " - ID: "||staff.code_staff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',${f1_hf_id},${orig_inst}) 
 gridformat&lt;row = 2, col = 0, fill = fill/&gt; </t>
  </si>
  <si>
    <t>f1_11lb</t>
  </si>
  <si>
    <t xml:space="preserve">search-join-dbs('rawquery',concat('[', ${family_path},'/F1_Health_Facility_Staff.db::externalData as main,', ${localdb_path},'::f1_04_rr', ' as local',']'),'SELECT staff.staff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WHERE staff.code_staff = ?',${f1_hf_id},${orig_inst},${f1_11id}) checkall invisible </t>
  </si>
  <si>
    <t xml:space="preserve">${f1_12_24}!=-98 </t>
  </si>
  <si>
    <t xml:space="preserve">RECORD 9998 IF NOT FUNCTIONING and -98 IF NOT AVAILABLE </t>
  </si>
  <si>
    <t>selection_one_hide::na embed gridformat&lt;row = 4, col = 0, fill = fill/&gt;</t>
  </si>
  <si>
    <t>selection_one_hide::na embed  gridformat&lt;row = 5, col = 0, fill = fill/&gt;</t>
  </si>
  <si>
    <t>selection_one_hide::na embed  gridformat&lt;row = 6, col = 0, fill = fill/&gt;</t>
  </si>
  <si>
    <t>selection_one_hide::na embed  gridformat&lt;row = 7, col = 0, fill = fill/&gt;</t>
  </si>
  <si>
    <t>selection_one_hide::na embed  gridformat&lt;row = 4, col = 1, fill = fill/&gt;</t>
  </si>
  <si>
    <t>selection_one_hide::na embed  gridformat&lt;row = 5, col = 1, fill = fill/&gt;</t>
  </si>
  <si>
    <t>selection_one_hide::na embed  gridformat&lt;row = 6, col = 1, fill = fill/&gt;</t>
  </si>
  <si>
    <t>selection_one_hide::na embed  gridformat&lt;row = 7, col = 1, fill = fill/&gt;</t>
  </si>
  <si>
    <t>(.&gt;=0 and .&lt;=500) or .=9998 or . = -98</t>
  </si>
  <si>
    <t>selection_one_hide::na embed gridformat&lt;row = 1, col = 0, fill = fill/&gt;</t>
  </si>
  <si>
    <t>selection_one_hide::na embed gridformat&lt;row = 1, col = 1, fill = fill/&gt;</t>
  </si>
  <si>
    <t>selection_one_hide::na embed gridformat&lt;row = 2, col = 0, fill = fill/&gt;</t>
  </si>
  <si>
    <t>selection_one_hide::na embed gridformat&lt;row = 2, col = 1, fill = fill/&gt;</t>
  </si>
  <si>
    <t>selection_one_hide::na embed gridformat&lt;row = 3, col = 0, fill = fill/&gt;</t>
  </si>
  <si>
    <t>selection_one_hide::na embed gridformat&lt;row = 3, col = 1, fill = fill/&gt;</t>
  </si>
  <si>
    <t>selection_one_hide::na embed gridformat&lt;row = 4, col = 1, fill = fill/&gt;</t>
  </si>
  <si>
    <t>(.&gt;=0 and .&lt;21) or .=9998 or .=-98</t>
  </si>
  <si>
    <t>(.&gt;=0 and .&lt;21) or .=9998 or . =-98</t>
  </si>
  <si>
    <t xml:space="preserve">RECORD 9998 IF NOT FUNCTIONING AND -98 IF NOT AVAILABLE </t>
  </si>
  <si>
    <t xml:space="preserve">RECORD 9998 IF NOT FUNCTIONING AND -98 IF NOT AVAILABLE. </t>
  </si>
  <si>
    <t>(.&gt;=0 and .&lt;=500) or .=9998 or . =-98</t>
  </si>
  <si>
    <t>E.G. IF TODAY IS SEPTEMBER 13, RECORD PATIENTS FOR THE PERIOD OF JUNE 1 TO AUGUST, 31 IN ORDER TO HAVE 3 FULL MONTHS.
&lt;p&gt;If DON'T KNOW, write -99. &lt;/p&gt;</t>
  </si>
  <si>
    <t xml:space="preserve">tagging-choices-noshow-v2-009688-ffffff-ffffff-009688 search-join-dbs('rawquery',concat('[', ${family_path},'/F1_Health_Facility_Staff.db::externalData as main,', ${localdb_path},'::f1_04_rr', ' as local',']'),'SELECT staff.code_staff, staff.staff || " - ID: "||staff.code_staff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',${f1_hf_id},${orig_inst}) 
</t>
  </si>
  <si>
    <t>f1_14_01_0id</t>
  </si>
  <si>
    <t>f1_14_01_0lb</t>
  </si>
  <si>
    <t xml:space="preserve">search-join-dbs('rawquery',concat('[', ${family_path},'/F1_Health_Facility_Staff.db::externalData as main,', ${localdb_path},'::f1_04_rr', ' as local',']'),'SELECT staff.staff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WHERE INSTR(?,staff.code_staff )',${f1_hf_id},${orig_inst},${f1_14_01_0id}) checkall invisible </t>
  </si>
  <si>
    <t>count-selected(.) &lt;= 3</t>
  </si>
  <si>
    <t>You can only select up to 3 individuals. Please check your answer in Staff's name!</t>
  </si>
  <si>
    <t xml:space="preserve">&lt;b&gt;&lt;font color='#610B0B'&gt;INTERVIEWER: DO NOT READ OPTIONS ALOUD. FOR EACH OPTION, RECORD "1" IF MENTIONED, "2" IF NOT MENTIONED.&lt;/font&gt;&lt;b&gt;
</t>
  </si>
  <si>
    <t xml:space="preserve">&lt;b&gt;&lt;font&gt;INTERVIEWER: READ ALL OPTIONS ALOUD. FOR EACH OPTION, RECORD "1" IF YES/PRIORITY, "2" IF NO/NOT A PRIORITY.&lt;/font&gt;&lt;b&gt;
</t>
  </si>
  <si>
    <t>(2.22) &lt;u&gt;In the last 12 months&lt;/u&gt;, how many times was the performance of &lt;u&gt;staff&lt;/u&gt; assessed &lt;u&gt;externally&lt;/u&gt;, that is, by persons from outside the facility, e.g. the District (or Regional) Health Management Team?</t>
  </si>
  <si>
    <t>(2.24) &lt;u&gt;In the last 12 months&lt;/u&gt;, how many times was the performance of the &lt;u&gt;facility&lt;/u&gt; as a whole assessed externally, that is, by persons from outside the facility?</t>
  </si>
  <si>
    <t>(14.02) Could you bring me to the place in this facility that is used to store drugs?</t>
  </si>
  <si>
    <t>.&gt;=0 and .&lt;=${f1_05_08_cal}</t>
  </si>
  <si>
    <t>rating_box-fill-f6f6f6-009688-737373-ffffff gridformat&lt;row = 0, col = 0, colspan = 2, fill = fill/&gt;</t>
  </si>
  <si>
    <t>DAYS (MAXIMUM 7 DAYS)</t>
  </si>
  <si>
    <t>HOURS (MAXIMUM 168 HOURS)</t>
  </si>
  <si>
    <t xml:space="preserve">tagging-choices-noshow-v2-009688-ffffff-ffffff-ff0000-000000 default('rawquery',concat(${family_path},'/F1_Health_Facility.db::externalData'),'SELECT h_facility_id  FROM externalData WHERE code_hf = ?',${f1_hf_number}) search('rawquery',concat(${family_path},'/F1_Health_Facility.db::externalData'),'SELECT h_facility_id, h_facility  FROM externalData WHERE region_id  = ?',${f1_region_id}) </t>
  </si>
  <si>
    <t xml:space="preserve">rating_box-fill-f6f6f6-009688-737373-ffffff  gridformat&lt;row = 3, col = 0, fill = fill/&gt;
</t>
  </si>
  <si>
    <t xml:space="preserve">rating_box-fill-f6f6f6-009688-737373-ffffff  gridformat&lt;row = 4, col = 0, fill = fill/&gt;
</t>
  </si>
  <si>
    <t xml:space="preserve">rating_box-fill-f6f6f6-009688-737373-ffffff  gridformat&lt;row = 5, col = 0, fill = fill/&gt;
</t>
  </si>
  <si>
    <t xml:space="preserve">rating_box-fill-f6f6f6-009688-737373-ffffff  gridformat&lt;row = 6, col = 0, fill = fill/&gt;
</t>
  </si>
  <si>
    <t xml:space="preserve">rating_box-fill-f6f6f6-009688-737373-ffffff  gridformat&lt;row = 7, col = 0, fill = fill/&gt;
</t>
  </si>
  <si>
    <t xml:space="preserve">rating_box-fill-f6f6f6-009688-737373-ffffff  gridformat&lt;row = 8, col = 0, fill = fill/&gt;
</t>
  </si>
  <si>
    <t xml:space="preserve">rating_box-fill-f6f6f6-009688-737373-ffffff  gridformat&lt;row = 9, col = 0, fill = fill/&gt;
</t>
  </si>
  <si>
    <t xml:space="preserve">rating_box-fill-f6f6f6-009688-737373-ffffff  gridformat&lt;row = 10, col = 0, fill = fill/&gt;
</t>
  </si>
  <si>
    <t xml:space="preserve">rating_box-fill-f6f6f6-009688-737373-ffffff  gridformat&lt;row = 11, col = 0, fill = fill/&gt;
</t>
  </si>
  <si>
    <t xml:space="preserve">gridformat&lt;row = 2, col = 0, fill = fill/&gt;
</t>
  </si>
  <si>
    <t>&lt;minhint&gt;Please select the respondent&lt;/minhint&gt;</t>
  </si>
  <si>
    <t>rating_box-fill-f6f6f6-009688-737373-ffffff  gridformat&lt;row = 8, col = 0, fill = fill/&gt;</t>
  </si>
  <si>
    <t xml:space="preserve">.&gt; 0 </t>
  </si>
  <si>
    <t>(3.14) MINIMUM 1</t>
  </si>
  <si>
    <t>&lt;font color='red'&gt;(3.12.2_alert) Total Community Health Workers hire &lt;u&gt;in the last 12 months&lt;/u&gt;: 0, Please check again!&lt;/font&gt;</t>
  </si>
  <si>
    <t>&lt;font color ='red'&gt;&lt;b&gt;1 - Able to do this test today, 2 - Able to do in past 3 months but not today, &lt;br&gt;3 - Cannot do this test, today or in past 3 months&lt;b&gt;&lt;/font&gt;</t>
  </si>
  <si>
    <t>(5.08) THE NUMBER CANNOT EXCEED THE TOTAL NUMBER OF LABORATORY TECHNICIANS (Total 3.02k + 3.04k)</t>
  </si>
  <si>
    <t>&lt;minhint&gt;ID CODE&lt;/minhint&gt;</t>
  </si>
  <si>
    <t>f1_10lb</t>
  </si>
  <si>
    <t xml:space="preserve">search-join-dbs('rawquery',concat('[', ${family_path},'/F1_Health_Facility_Staff.db::externalData as main,', ${localdb_path},'::f1_04_rr', ' as local',']'),'SELECT staff.staff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WHERE staff.code_staff = ?',${f1_hf_id},${orig_inst},${f1_10id}) checkall invisible </t>
  </si>
  <si>
    <t xml:space="preserve">tagging-choices-noshow-v2-009688-ffffff-ffffff-009688 search-join-dbs('rawquery',concat('[', ${family_path},'/F1_Health_Facility_Staff.db::externalData as main,', ${localdb_path},'::f1_04_rr', ' as local',']'),'SELECT staff.code_staff, staff.staff || " - ID: "||staff.code_staff  FROM (SELECT main.externalData.code_staff,  main.externalData.staff FROM main.externalData WHERE main.externalData.h_facility_id = ? 
UNION
SELECT local.f1_04_rr.f1_04_01_id AS code_staff, local.f1_04_rr.f1_04_01_name AS staff FROM local.f1_04_rr WHERE  INSTR(local.f1_04_rr.f1_04_01,"-997") AND local.f1_04_rr.inst_rr = ?) AS staff ',${f1_hf_id},${orig_inst}) 
 gridformat&lt;row = 1, col = 0, fill = fill/&gt; </t>
  </si>
  <si>
    <t>selected-at(.,0) != - 997</t>
  </si>
  <si>
    <t>.&gt;=${f1_01_05} and .&lt;=2018</t>
  </si>
  <si>
    <t xml:space="preserve">(1.06) YEAR CANNOT BE LESS THAN YEAR IN QUESTION (1.05), MAXIMUM 2018. </t>
  </si>
  <si>
    <t>(3.08)  MINIMUM 0</t>
  </si>
  <si>
    <t xml:space="preserve">(3.11) MINIMUM FEMALE  0  </t>
  </si>
  <si>
    <t xml:space="preserve">(3.11) MINIMUM MALE 0 </t>
  </si>
  <si>
    <t>g.Other, specify:</t>
  </si>
  <si>
    <t xml:space="preserve">rating_box-fill-f6f6f6-009688-737373-ffffff search('rawquery',concat(${family_path},'/F1_Health_Facility.db::externalData'),'SELECT region_id, region || "-" ||region_id AS region FROM externalData') embed  gridformat&lt;row = 2, col = 0, colspan = 3, align = center/&gt; </t>
  </si>
  <si>
    <t>.&gt;0</t>
  </si>
  <si>
    <t>(2.02) MINIMUM 1</t>
  </si>
  <si>
    <t>DALASI</t>
  </si>
  <si>
    <t>MAX 168</t>
  </si>
  <si>
    <t>(4.09) How many hours per week does &lt;b&gt;${f1_04_01_name}&lt;/b&gt; usually spend providing medical care directly to patients?&lt;br&gt;INTERVIEWER: IF NON-CLINICAL STAFF: RECORD 00</t>
  </si>
  <si>
    <t>(2.20) &lt;u&gt;In the last 12 months&lt;/u&gt;, how many times was the performance of &lt;u&gt;staff&lt;/u&gt; assessed &lt;u&gt;internally&lt;/u&gt;, that is, by persons within the facility?</t>
  </si>
  <si>
    <t>gridformat&lt;row = 9, col = 0, colspan = 1, fill = fill/&gt;</t>
  </si>
  <si>
    <t>gridformat&lt;row = 9, col = 1, colspan = 1, fill = fill/&gt;</t>
  </si>
  <si>
    <t>f1_03_12_alert</t>
  </si>
  <si>
    <t>&lt;font color='red'&gt;(3.10_alert) Total Community Health Workers are currently active in this catchment area: 0, Please check again!&lt;/font&gt;</t>
  </si>
  <si>
    <t>&lt;font color='red'&gt;(3.12_alert) Total Community Health Workers  have stopped working &lt;u&gt;in the last 12 months&lt;/u&gt;: 0, Please check again!&lt;/font&gt;</t>
  </si>
  <si>
    <t>${f1_03_11}=1 and ${f1_03_12a} = 0  and ${f1_03_12b} = 0</t>
  </si>
  <si>
    <t>. &gt; 0 and .&lt;=12</t>
  </si>
  <si>
    <t>stata::guide</t>
  </si>
  <si>
    <t>Endtime interview</t>
  </si>
  <si>
    <t>Starttime interview</t>
  </si>
  <si>
    <t>Record code</t>
  </si>
  <si>
    <t>Username's Enumerator</t>
  </si>
  <si>
    <t>Fullname's Enumerator</t>
  </si>
  <si>
    <t>Code's Enumerator</t>
  </si>
  <si>
    <t>search region f1_health_facility</t>
  </si>
  <si>
    <t>search hf_number f1_health_facility</t>
  </si>
  <si>
    <t>search lga f1_health_facility</t>
  </si>
  <si>
    <t>search district f1_health_facility</t>
  </si>
  <si>
    <t>ID OF HEALTH FACILITY</t>
  </si>
  <si>
    <t>search h_facility f1_health_facility_staff</t>
  </si>
  <si>
    <t>NAME'S SUPERVISOR</t>
  </si>
  <si>
    <t>CODE'S SUPERVISOR</t>
  </si>
  <si>
    <t>(1.03) Other, specify:</t>
  </si>
  <si>
    <t>(1.06) When was the last major investment in the infrastructure? (MONTH)</t>
  </si>
  <si>
    <t>(1.06) When was the last major investment in the infrastructure? (YEAR)</t>
  </si>
  <si>
    <t>h.OTHER, SPECIFY:</t>
  </si>
  <si>
    <t>(1.15) OTHER, SPECIFY:</t>
  </si>
  <si>
    <t>(1.18) OTHER, SPECIFY:</t>
  </si>
  <si>
    <t>(1.19) OTHER, SPECIFY:</t>
  </si>
  <si>
    <t>(1.20) OTHER, SPECIFY:</t>
  </si>
  <si>
    <t>(1.23) OTHER, SPECIFY:</t>
  </si>
  <si>
    <t>j.Other, specify:</t>
  </si>
  <si>
    <t>(1.50) OTHER, SPECIFY:</t>
  </si>
  <si>
    <t>(1.51) OTHER, SPECIFY:</t>
  </si>
  <si>
    <t>(1.54) OTHER, SPECIFY:</t>
  </si>
  <si>
    <t>u.OTHER, SPECIFY:</t>
  </si>
  <si>
    <t>l.Other, specify:</t>
  </si>
  <si>
    <t>m.Other, specify:</t>
  </si>
  <si>
    <t>(2.23) OTHER, SPECIFY:</t>
  </si>
  <si>
    <t>u.Specify:</t>
  </si>
  <si>
    <t>(3.10) Total Male+Female</t>
  </si>
  <si>
    <t xml:space="preserve">j.Other, specify: </t>
  </si>
  <si>
    <t>Position</t>
  </si>
  <si>
    <t>Code's Record</t>
  </si>
  <si>
    <t>(4.01) ID OF STAFF</t>
  </si>
  <si>
    <t>(4.01) NAME OF STAFF</t>
  </si>
  <si>
    <t>autocomplete staff f1_health_facility_staff</t>
  </si>
  <si>
    <t>(4.05). OTHER CLINIC</t>
  </si>
  <si>
    <t>(4.12) OTHER, SPECIFY:</t>
  </si>
  <si>
    <t>NAME OF THE RESPONDENT FROM THE STAFF ROSTER</t>
  </si>
  <si>
    <t>(5.05) Other, specify</t>
  </si>
  <si>
    <t>(6.23_1N) Other, specify:</t>
  </si>
  <si>
    <t>(6.44) Other, specify:</t>
  </si>
  <si>
    <t>(6.48) Other, specify:</t>
  </si>
  <si>
    <t>(f1_07_04n_o) Total outpatients (7.03_o + 7.04_o)</t>
  </si>
  <si>
    <t>(f1_07_04n_i)Total inpatients (7.03_i + 7.04_i)</t>
  </si>
  <si>
    <t>(f1_07_07n_o) Total under 5 outpatients (7.06_o + 7.06_o)</t>
  </si>
  <si>
    <t>(f1_07_07n_i) Total under 5 inpatients (7.06_i + 7.06_i)</t>
  </si>
  <si>
    <t>(f1_07_09n_o) Total under 1 outpatients (7.06_o + 7.06_o)</t>
  </si>
  <si>
    <t>(f1_07_09n_i) Total under 1 inpatients (7.06_i + 7.06_i)</t>
  </si>
  <si>
    <t>.&gt;0 and .&lt;=${f1_01_14_cal}</t>
  </si>
  <si>
    <t>f1_02_03_alert</t>
  </si>
  <si>
    <t xml:space="preserve">${f1_02_03a}= 0 and ${f1_02_03b}= 0 and ${f1_02_03d}= 0 and ${f1_02_03e}= 0 and ${f1_02_03f}= 0 and ${f1_02_03g}= 0 </t>
  </si>
  <si>
    <t>(3.01r) How many authorized positions are there in the facility for &lt;b&gt;[Community Health Midwife]&lt;/b&gt;?</t>
  </si>
  <si>
    <t>(3.02r) How many authorized positions for &lt;b&gt;[Community Health Midwife]&lt;/b&gt; are currently filled?</t>
  </si>
  <si>
    <t>(3.03r) In the last 12 months, how many &lt;b&gt;[Community Health Midwife]&lt;/b&gt; have left the facility permanently?</t>
  </si>
  <si>
    <t>(3.04r) How many &lt;b&gt;[Community Health Midwife]&lt;/b&gt; work regularly in this facility without being in an authorized position?</t>
  </si>
  <si>
    <t>(3.05r) In the last 12 months, how many &lt;b&gt;[Community Health Midwife]&lt;/b&gt; have been hired?</t>
  </si>
  <si>
    <t>f1_03_15_alert</t>
  </si>
  <si>
    <t xml:space="preserve">${f1_03_15_a} = 0 and ${f1_03_15_b} = 0 and ${f1_03_15_c} = 0 and ${f1_03_15_d} = 0 and ${f1_03_15_e} = 0 and ${f1_03_15_f} = 0 and ${f1_03_15_g} = 0 and ${f1_03_15_h} = 0 and ${f1_03_15_i} = 0 and ${f1_03_15_j} = 0 </t>
  </si>
  <si>
    <t xml:space="preserve">(3.12.2a) MINIMUM FEMALE  0 </t>
  </si>
  <si>
    <t xml:space="preserve">(3.12.2b) MINIMUM FEMALE  0 </t>
  </si>
  <si>
    <t xml:space="preserve">(6.32) In the &lt;u&gt;last 12 months&lt;/u&gt;, how many maternal deaths were recorded in the &lt;u&gt;community&lt;/u&gt; (excluding those at the facility)? </t>
  </si>
  <si>
    <t>f.Other, specify:</t>
  </si>
  <si>
    <t>(13.01) Other, specify:</t>
  </si>
  <si>
    <t>(13.03) Other, specify:</t>
  </si>
  <si>
    <t>gridformat&lt;row = 1, col = 0, colspan = 2/&gt;</t>
  </si>
  <si>
    <t>selection_one_hide::na embed gridformat&lt;row = 2, col = 0, colspan = 1/&gt;</t>
  </si>
  <si>
    <t>selection_one_hide::na embed gridformat&lt;row = 3, col = 0, colspan = 1/&gt;</t>
  </si>
  <si>
    <t>selection_one_hide::na embed gridformat&lt;row = 4, col = 0, colspan = 1/&gt;</t>
  </si>
  <si>
    <t>selection_one_hide::na embed gridformat&lt;row = 5, col = 0, colspan = 1/&gt;</t>
  </si>
  <si>
    <t>selection_one_hide::na embed gridformat&lt;row = 2, col = 1, colspan = 1/&gt;</t>
  </si>
  <si>
    <t>selection_one_hide::na embed gridformat&lt;row = 3, col = 1, colspan = 1/&gt;</t>
  </si>
  <si>
    <t>selection_one_hide::na embed gridformat&lt;row = 4, col = 1, colspan = 1/&gt;</t>
  </si>
  <si>
    <t>selection_one_hide::na embed gridformat&lt;row = 5, col = 1, colspan = 1/&gt;</t>
  </si>
  <si>
    <t>selection_one_hide::na  gridformat&lt;row = 4, col = 0, fill = fill/&gt;</t>
  </si>
  <si>
    <t xml:space="preserve"> selection_one_hide::na  gridformat&lt;row = 5, col = 0, fill = fill/&gt;</t>
  </si>
  <si>
    <t>selection_one_hide::na  gridformat&lt;row = 6, col = 0, fill = fill/&gt;</t>
  </si>
  <si>
    <t>(13.05) Other, specify:</t>
  </si>
  <si>
    <t>selection_one_hide::na  gridformat&lt;row = 4, col = 0, colspan = 1,  fill = fill/&gt;</t>
  </si>
  <si>
    <t>selection_one_hide::na  gridformat&lt;row = 5, col = 0, colspan = 1,  fill = fill/&gt;</t>
  </si>
  <si>
    <t>selection_one_hide::na  gridformat&lt;row = 6, col = 0, colspan = 1,  fill = fill/&gt;</t>
  </si>
  <si>
    <t>selection_one_hide::na  gridformat&lt;row = 7, col = 0, colspan = 1,  fill = fill/&gt;</t>
  </si>
  <si>
    <t>selection_one_hide::na  gridformat&lt;row = 4, col = 1, colspan = 1,  fill = fill/&gt;</t>
  </si>
  <si>
    <t>selection_one_hide::na   gridformat&lt;row = 5, col = 1, colspan = 1,  fill = fill/&gt;</t>
  </si>
  <si>
    <t>selection_one_hide::na  gridformat&lt;row = 6, col = 1, colspan = 1,  fill = fill/&gt;</t>
  </si>
  <si>
    <t>(13.07) Other, specify:</t>
  </si>
  <si>
    <t>selection_one_hide::na  gridformat&lt;row = 5, col = 1, colspan = 1,  fill = fill/&gt;</t>
  </si>
  <si>
    <t>(13.09) Other, specify:</t>
  </si>
  <si>
    <t>(f1_14_01_0id) ID CODE OF THE RESPONDENT FROM THE STAFF ROSTER</t>
  </si>
  <si>
    <t>(f1_14_01_0lb) NAME OF THE RESPONDENT FROM THE STAFF ROSTER</t>
  </si>
  <si>
    <t xml:space="preserve">(6.50) In the &lt;u&gt;last 6 months&lt;/u&gt;, how many &lt;u&gt;presumptive&lt;/u&gt; cases of suspected malaria were seen in the facility? </t>
  </si>
  <si>
    <t>search staff f1_health_facility_staff</t>
  </si>
  <si>
    <t>Hospital</t>
  </si>
  <si>
    <t>Do not refer</t>
  </si>
  <si>
    <t>Birth preparednesscovered in health education sessions in this period</t>
  </si>
  <si>
    <t>Institutional deliverycovered in health education sessions in this period</t>
  </si>
  <si>
    <t>Postnatal care covered in health education sessions in this period</t>
  </si>
  <si>
    <t>Breastfeeding covered in health education sessions in this period</t>
  </si>
  <si>
    <t>Child health covered in health education sessions in this period</t>
  </si>
  <si>
    <t>Immunisation covered in health education sessions in this period</t>
  </si>
  <si>
    <t>Other, specify: covered in health education sessions in this period</t>
  </si>
  <si>
    <t>MOST OF THE TIME</t>
  </si>
  <si>
    <t>MORE THAN HALF OF THE TIME</t>
  </si>
  <si>
    <t>LESS THAN HALF OF THE TIME</t>
  </si>
  <si>
    <t>ONLY RARELY</t>
  </si>
  <si>
    <t>MOHSW/ Regional Health Management Team</t>
  </si>
  <si>
    <t>.&gt;0 and .&lt;201</t>
  </si>
  <si>
    <t>(3.12.2) Total Community Health Workers: Male + Female</t>
  </si>
  <si>
    <t>(1.06) MONTH: MiNIMUM  01  and MAXIMUM 12</t>
  </si>
  <si>
    <t>[h.Specify other source]</t>
  </si>
  <si>
    <t>&lt;font color ='red'&gt;[2.03_alert] No one of any representative in this committee!. Please check again!&lt;/font&gt;</t>
  </si>
  <si>
    <t>&lt;font color ='red'&gt;&lt;font color ='red'&gt;&lt;u&gt;[3.15_alert] In the last 3 months&lt;/u&gt;, The Community Health Nurse(s) don't any of the following activities. Please check again!&lt;/font&gt;</t>
  </si>
  <si>
    <t>selection_one_hide::na embed gridformat&lt;row = 4, col = 0, colspan = 1,  fill = fill/&gt;</t>
  </si>
  <si>
    <t>selection_one_hide::na embed gridformat&lt;row = 5, col = 0, colspan = 1,  fill = fill/&gt;</t>
  </si>
  <si>
    <t>selection_one_hide::na embed gridformat&lt;row = 6, col = 0, colspan = 1,  fill = fill/&gt;</t>
  </si>
  <si>
    <t>selection_one_hide::na embed gridformat&lt;row = 4, col = 1, colspan = 1,  fill = fill/&gt;</t>
  </si>
  <si>
    <t>selection_one_hide::na embed gridformat&lt;row = 5, col = 1, colspan = 1,  fill = fill/&gt;</t>
  </si>
  <si>
    <t>selection_one_hide::na embed gridformat&lt;row = 6, col = 1, colspan = 1,  fill = fill/&gt;</t>
  </si>
  <si>
    <t>toc-hide</t>
  </si>
  <si>
    <t>embed text-nolabel toc-hide</t>
  </si>
  <si>
    <t>rating_box-fill-f6f6f6-009688-737373-ffffff  toc-hide</t>
  </si>
  <si>
    <t>.&gt; 0 and .&lt;= (${f1_04_07}*24)</t>
  </si>
  <si>
    <t>(4.08) MINIMUM &gt; 0 and MAXIMUM less than or equal (4.07)*24 HOURS</t>
  </si>
  <si>
    <t>.&gt;= 0 and .&lt;= (${f1_04_07}*24)</t>
  </si>
  <si>
    <t>(4.09) MINIMUM 0 and MAXIMUM less than or equal (4.07)*24 HOURS</t>
  </si>
  <si>
    <t>if(${f1_01_12_1} = 96 or ${f1_01_12_2} = 96 or ${f1_01_12_3} = 96, .&gt; 0, 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</si>
</sst>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5">
    <font>
      <sz val="10"/>
      <name val="Arial"/>
    </font>
    <font>
      <sz val="12"/>
      <color theme="1"/>
      <name val="Calibri"/>
      <family val="2"/>
      <scheme val="minor"/>
    </font>
    <font>
      <sz val="11"/>
      <color theme="1"/>
      <name val="Calibri"/>
      <family val="2"/>
      <scheme val="minor"/>
    </font>
    <font>
      <sz val="10"/>
      <name val="Arial"/>
      <family val="2"/>
    </font>
    <font>
      <b/>
      <sz val="11"/>
      <name val="Arial"/>
      <family val="2"/>
    </font>
    <font>
      <sz val="6"/>
      <name val="ＭＳ Ｐゴシック"/>
      <family val="3"/>
      <charset val="128"/>
    </font>
    <font>
      <sz val="6"/>
      <name val="Calibri"/>
      <family val="2"/>
      <charset val="128"/>
      <scheme val="minor"/>
    </font>
    <font>
      <u/>
      <sz val="10"/>
      <color theme="10"/>
      <name val="Arial"/>
      <family val="2"/>
    </font>
    <font>
      <u/>
      <sz val="10"/>
      <color theme="11"/>
      <name val="Arial"/>
      <family val="2"/>
    </font>
    <font>
      <sz val="10"/>
      <name val="Verdana"/>
      <family val="2"/>
    </font>
    <font>
      <sz val="11"/>
      <color theme="1"/>
      <name val="Arial"/>
      <family val="2"/>
    </font>
    <font>
      <b/>
      <sz val="11"/>
      <color theme="1"/>
      <name val="Arial"/>
      <family val="2"/>
    </font>
    <font>
      <sz val="12"/>
      <color indexed="8"/>
      <name val="Calibri"/>
      <family val="2"/>
    </font>
    <font>
      <sz val="11"/>
      <color indexed="8"/>
      <name val="Arial"/>
      <family val="2"/>
    </font>
    <font>
      <b/>
      <sz val="12"/>
      <color indexed="8"/>
      <name val="Calibri"/>
      <family val="2"/>
    </font>
    <font>
      <b/>
      <sz val="12"/>
      <name val="Calibri"/>
      <family val="2"/>
      <charset val="163"/>
    </font>
    <font>
      <sz val="11"/>
      <name val="Arial"/>
      <family val="2"/>
    </font>
    <font>
      <sz val="11"/>
      <color rgb="FFFF0000"/>
      <name val="Arial"/>
      <family val="2"/>
    </font>
    <font>
      <sz val="11"/>
      <color rgb="FF000000"/>
      <name val="Arial"/>
      <family val="2"/>
    </font>
    <font>
      <b/>
      <sz val="11"/>
      <color rgb="FFFF3399"/>
      <name val="Arial"/>
      <family val="2"/>
    </font>
    <font>
      <b/>
      <sz val="10"/>
      <color rgb="FF7030A0"/>
      <name val="Arial"/>
      <family val="2"/>
      <charset val="163"/>
    </font>
    <font>
      <b/>
      <sz val="11"/>
      <color rgb="FF7030A0"/>
      <name val="Arial"/>
      <family val="2"/>
      <charset val="163"/>
    </font>
    <font>
      <sz val="10"/>
      <name val="Arial"/>
      <family val="2"/>
      <charset val="163"/>
    </font>
    <font>
      <b/>
      <sz val="11"/>
      <color rgb="FF002060"/>
      <name val="Arial"/>
      <family val="2"/>
      <charset val="163"/>
    </font>
    <font>
      <b/>
      <sz val="10"/>
      <color rgb="FF002060"/>
      <name val="Arial"/>
      <family val="2"/>
      <charset val="163"/>
    </font>
    <font>
      <b/>
      <sz val="11"/>
      <color rgb="FFC00000"/>
      <name val="Arial"/>
      <family val="2"/>
    </font>
    <font>
      <b/>
      <sz val="10"/>
      <color rgb="FFC00000"/>
      <name val="Arial"/>
      <family val="2"/>
      <charset val="163"/>
    </font>
    <font>
      <b/>
      <sz val="11"/>
      <color rgb="FF00B050"/>
      <name val="Arial"/>
      <family val="2"/>
      <charset val="163"/>
    </font>
    <font>
      <b/>
      <sz val="10"/>
      <color rgb="FF00B050"/>
      <name val="Arial"/>
      <family val="2"/>
      <charset val="163"/>
    </font>
    <font>
      <sz val="11"/>
      <name val="Arial"/>
      <family val="2"/>
      <charset val="163"/>
    </font>
    <font>
      <sz val="10"/>
      <color rgb="FF000000"/>
      <name val="Arial"/>
      <family val="2"/>
      <charset val="163"/>
    </font>
    <font>
      <sz val="11"/>
      <color rgb="FF454545"/>
      <name val="Arial"/>
      <family val="2"/>
    </font>
    <font>
      <sz val="11"/>
      <name val="Times New Roman"/>
      <family val="1"/>
    </font>
    <font>
      <b/>
      <sz val="11"/>
      <color rgb="FF7030A0"/>
      <name val="Calibri"/>
      <family val="2"/>
      <scheme val="minor"/>
    </font>
    <font>
      <i/>
      <sz val="11"/>
      <color theme="1"/>
      <name val="Calibri"/>
      <family val="2"/>
      <scheme val="minor"/>
    </font>
    <font>
      <b/>
      <sz val="11"/>
      <color rgb="FFFF0000"/>
      <name val="Calibri"/>
      <family val="2"/>
      <scheme val="minor"/>
    </font>
    <font>
      <b/>
      <sz val="11"/>
      <color theme="3"/>
      <name val="Calibri"/>
      <family val="2"/>
      <scheme val="minor"/>
    </font>
    <font>
      <b/>
      <sz val="11"/>
      <color rgb="FF00B050"/>
      <name val="Calibri"/>
      <family val="2"/>
      <scheme val="minor"/>
    </font>
    <font>
      <b/>
      <sz val="11"/>
      <color rgb="FF0000FF"/>
      <name val="Calibri"/>
      <family val="2"/>
      <scheme val="minor"/>
    </font>
    <font>
      <sz val="11"/>
      <color rgb="FFC00000"/>
      <name val="Calibri"/>
      <family val="2"/>
      <scheme val="minor"/>
    </font>
    <font>
      <sz val="12"/>
      <color rgb="FFFFC000"/>
      <name val="Calibri"/>
      <family val="2"/>
      <scheme val="minor"/>
    </font>
    <font>
      <b/>
      <sz val="12"/>
      <color rgb="FF800000"/>
      <name val="Calibri"/>
      <family val="2"/>
      <charset val="163"/>
    </font>
    <font>
      <sz val="12"/>
      <color rgb="FF000000"/>
      <name val="Calibri"/>
      <family val="2"/>
      <charset val="163"/>
    </font>
    <font>
      <sz val="9"/>
      <name val="Arial Narrow"/>
      <family val="2"/>
    </font>
    <font>
      <sz val="8"/>
      <color rgb="FFFF0000"/>
      <name val="Arial Narrow"/>
      <family val="2"/>
    </font>
    <font>
      <sz val="8"/>
      <name val="Arial Narrow"/>
      <family val="2"/>
    </font>
    <font>
      <sz val="11"/>
      <color rgb="FFFF0000"/>
      <name val="Calibri"/>
      <family val="2"/>
      <scheme val="minor"/>
    </font>
    <font>
      <b/>
      <sz val="10"/>
      <name val="Arial"/>
      <family val="2"/>
    </font>
    <font>
      <b/>
      <sz val="11"/>
      <color rgb="FFFF0000"/>
      <name val="Arial"/>
      <family val="2"/>
    </font>
    <font>
      <b/>
      <sz val="11"/>
      <color theme="8"/>
      <name val="Arial"/>
      <family val="2"/>
    </font>
    <font>
      <b/>
      <sz val="10"/>
      <color theme="8"/>
      <name val="Arial"/>
      <family val="2"/>
    </font>
    <font>
      <b/>
      <sz val="10"/>
      <color rgb="FFFF0000"/>
      <name val="Arial"/>
      <family val="2"/>
    </font>
    <font>
      <sz val="12"/>
      <name val="Arial Narrow"/>
      <family val="2"/>
    </font>
    <font>
      <sz val="10"/>
      <name val="Arial Narrow"/>
      <family val="2"/>
    </font>
    <font>
      <sz val="11"/>
      <name val="Calibri"/>
      <family val="2"/>
      <scheme val="minor"/>
    </font>
  </fonts>
  <fills count="15">
    <fill>
      <patternFill patternType="none"/>
    </fill>
    <fill>
      <patternFill patternType="gray125"/>
    </fill>
    <fill>
      <patternFill patternType="none"/>
    </fill>
    <fill>
      <patternFill patternType="solid">
        <fgColor theme="0"/>
        <bgColor indexed="64"/>
      </patternFill>
    </fill>
    <fill>
      <patternFill patternType="solid">
        <fgColor indexed="9"/>
        <bgColor indexed="64"/>
      </patternFill>
    </fill>
    <fill>
      <patternFill patternType="solid">
        <fgColor theme="9" tint="0.79998168889431442"/>
        <bgColor indexed="64"/>
      </patternFill>
    </fill>
    <fill>
      <patternFill patternType="solid">
        <fgColor indexed="2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A50021"/>
        <bgColor indexed="64"/>
      </patternFill>
    </fill>
  </fills>
  <borders count="46">
    <border>
      <left/>
      <right/>
      <top/>
      <bottom/>
      <diagonal/>
    </border>
    <border>
      <left/>
      <right/>
      <top/>
      <bottom/>
      <diagonal/>
    </border>
    <border>
      <left/>
      <right/>
      <top/>
      <bottom style="thin">
        <color rgb="FF000000"/>
      </bottom>
      <diagonal/>
    </border>
    <border>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medium">
        <color auto="1"/>
      </left>
      <right/>
      <top style="medium">
        <color auto="1"/>
      </top>
      <bottom/>
      <diagonal/>
    </border>
    <border>
      <left style="medium">
        <color auto="1"/>
      </left>
      <right/>
      <top/>
      <bottom/>
      <diagonal/>
    </border>
    <border>
      <left/>
      <right style="medium">
        <color auto="1"/>
      </right>
      <top/>
      <bottom style="medium">
        <color auto="1"/>
      </bottom>
      <diagonal/>
    </border>
    <border>
      <left style="medium">
        <color auto="1"/>
      </left>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top/>
      <bottom style="thin">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top style="hair">
        <color auto="1"/>
      </top>
      <bottom style="hair">
        <color auto="1"/>
      </bottom>
      <diagonal/>
    </border>
    <border>
      <left/>
      <right/>
      <top style="hair">
        <color auto="1"/>
      </top>
      <bottom style="medium">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bottom style="medium">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
      <left style="medium">
        <color auto="1"/>
      </left>
      <right/>
      <top style="hair">
        <color auto="1"/>
      </top>
      <bottom/>
      <diagonal/>
    </border>
    <border>
      <left style="medium">
        <color auto="1"/>
      </left>
      <right/>
      <top/>
      <bottom style="hair">
        <color auto="1"/>
      </bottom>
      <diagonal/>
    </border>
    <border>
      <left/>
      <right style="medium">
        <color auto="1"/>
      </right>
      <top style="thin">
        <color auto="1"/>
      </top>
      <bottom style="thin">
        <color auto="1"/>
      </bottom>
      <diagonal/>
    </border>
    <border>
      <left/>
      <right/>
      <top style="dotted">
        <color rgb="FF000000"/>
      </top>
      <bottom style="dotted">
        <color rgb="FF000000"/>
      </bottom>
      <diagonal/>
    </border>
    <border>
      <left style="thin">
        <color indexed="55"/>
      </left>
      <right style="thin">
        <color indexed="55"/>
      </right>
      <top style="thin">
        <color indexed="55"/>
      </top>
      <bottom style="thin">
        <color indexed="55"/>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top/>
      <bottom/>
      <diagonal/>
    </border>
    <border>
      <left style="thin">
        <color auto="1"/>
      </left>
      <right/>
      <top style="hair">
        <color auto="1"/>
      </top>
      <bottom style="hair">
        <color auto="1"/>
      </bottom>
      <diagonal/>
    </border>
    <border>
      <left/>
      <right/>
      <top/>
      <bottom style="hair">
        <color auto="1"/>
      </bottom>
      <diagonal/>
    </border>
  </borders>
  <cellStyleXfs count="1727">
    <xf numFmtId="0" fontId="0" fillId="0" borderId="0"/>
    <xf numFmtId="0" fontId="2" fillId="2" borderId="1"/>
    <xf numFmtId="0" fontId="2" fillId="2" borderId="1"/>
    <xf numFmtId="0" fontId="2" fillId="2" borderId="1"/>
    <xf numFmtId="0" fontId="3" fillId="2" borderId="1"/>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2" borderId="1"/>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2" fillId="2" borderId="1"/>
  </cellStyleXfs>
  <cellXfs count="240">
    <xf numFmtId="0" fontId="0" fillId="0" borderId="0" xfId="0"/>
    <xf numFmtId="0" fontId="3" fillId="0" borderId="0" xfId="0" applyFont="1"/>
    <xf numFmtId="0" fontId="11" fillId="0" borderId="17" xfId="0" applyFont="1" applyBorder="1"/>
    <xf numFmtId="0" fontId="14" fillId="6" borderId="38" xfId="0" applyFont="1" applyFill="1" applyBorder="1" applyAlignment="1">
      <alignment vertical="center"/>
    </xf>
    <xf numFmtId="49" fontId="14" fillId="6" borderId="38" xfId="0" applyNumberFormat="1" applyFont="1" applyFill="1" applyBorder="1" applyAlignment="1">
      <alignment vertical="center"/>
    </xf>
    <xf numFmtId="0" fontId="15" fillId="6" borderId="38" xfId="0" applyFont="1" applyFill="1" applyBorder="1" applyAlignment="1">
      <alignment vertical="center"/>
    </xf>
    <xf numFmtId="0" fontId="14" fillId="6" borderId="0" xfId="0" applyFont="1" applyFill="1" applyAlignment="1">
      <alignment vertical="center"/>
    </xf>
    <xf numFmtId="0" fontId="16" fillId="2" borderId="1" xfId="0" applyFont="1" applyFill="1" applyBorder="1"/>
    <xf numFmtId="0" fontId="13" fillId="2" borderId="1" xfId="1726" applyFont="1" applyFill="1" applyBorder="1" applyAlignment="1"/>
    <xf numFmtId="0" fontId="10" fillId="2" borderId="1" xfId="0" applyFont="1" applyFill="1" applyBorder="1" applyAlignment="1">
      <alignment vertical="center"/>
    </xf>
    <xf numFmtId="0" fontId="16" fillId="0" borderId="0" xfId="0" applyFont="1"/>
    <xf numFmtId="0" fontId="16" fillId="0" borderId="0" xfId="0" applyFont="1" applyAlignment="1">
      <alignment vertical="center"/>
    </xf>
    <xf numFmtId="0" fontId="18" fillId="2" borderId="1" xfId="0" applyFont="1" applyFill="1" applyBorder="1"/>
    <xf numFmtId="0" fontId="16" fillId="0" borderId="0" xfId="0" applyFont="1" applyAlignment="1"/>
    <xf numFmtId="0" fontId="16" fillId="2" borderId="37" xfId="0" applyFont="1" applyFill="1" applyBorder="1" applyAlignment="1">
      <alignment vertical="center"/>
    </xf>
    <xf numFmtId="0" fontId="16" fillId="2" borderId="37" xfId="0" applyFont="1" applyFill="1" applyBorder="1" applyAlignment="1"/>
    <xf numFmtId="0" fontId="16" fillId="2" borderId="1" xfId="0" applyFont="1" applyFill="1" applyBorder="1" applyAlignment="1"/>
    <xf numFmtId="0" fontId="16" fillId="2" borderId="1" xfId="0" applyFont="1" applyFill="1" applyBorder="1" applyAlignment="1">
      <alignment horizontal="left"/>
    </xf>
    <xf numFmtId="0" fontId="16" fillId="2" borderId="32" xfId="0" applyFont="1" applyFill="1" applyBorder="1" applyAlignment="1">
      <alignment vertical="top"/>
    </xf>
    <xf numFmtId="0" fontId="16" fillId="2" borderId="1" xfId="0" applyFont="1" applyFill="1" applyBorder="1" applyAlignment="1">
      <alignment horizontal="left" vertical="top"/>
    </xf>
    <xf numFmtId="0" fontId="17" fillId="7" borderId="35" xfId="0" applyFont="1" applyFill="1" applyBorder="1" applyAlignment="1">
      <alignment horizontal="left" vertical="top" wrapText="1"/>
    </xf>
    <xf numFmtId="0" fontId="17" fillId="7" borderId="32" xfId="0" applyFont="1" applyFill="1" applyBorder="1" applyAlignment="1">
      <alignment horizontal="left" vertical="top" wrapText="1"/>
    </xf>
    <xf numFmtId="0" fontId="16" fillId="2" borderId="1" xfId="0" applyFont="1" applyFill="1" applyBorder="1" applyAlignment="1">
      <alignment vertical="top"/>
    </xf>
    <xf numFmtId="0" fontId="4" fillId="2" borderId="1" xfId="0" applyFont="1" applyFill="1" applyBorder="1" applyAlignment="1">
      <alignment vertical="top"/>
    </xf>
    <xf numFmtId="0" fontId="16" fillId="2" borderId="4" xfId="0" applyFont="1" applyFill="1" applyBorder="1" applyAlignment="1">
      <alignment horizontal="left" vertical="top"/>
    </xf>
    <xf numFmtId="0" fontId="16" fillId="2" borderId="3" xfId="0" applyFont="1" applyFill="1" applyBorder="1" applyAlignment="1">
      <alignment vertical="top"/>
    </xf>
    <xf numFmtId="0" fontId="16" fillId="2" borderId="18" xfId="0" applyFont="1" applyFill="1" applyBorder="1" applyAlignment="1">
      <alignment vertical="top"/>
    </xf>
    <xf numFmtId="0" fontId="16" fillId="2" borderId="35" xfId="0" applyFont="1" applyFill="1" applyBorder="1" applyAlignment="1">
      <alignment vertical="top"/>
    </xf>
    <xf numFmtId="164" fontId="16" fillId="3" borderId="19" xfId="0" applyNumberFormat="1" applyFont="1" applyFill="1" applyBorder="1" applyAlignment="1">
      <alignment vertical="center" wrapText="1"/>
    </xf>
    <xf numFmtId="0" fontId="16" fillId="2" borderId="35" xfId="0" applyFont="1" applyFill="1" applyBorder="1" applyAlignment="1">
      <alignment vertical="top" wrapText="1"/>
    </xf>
    <xf numFmtId="0" fontId="16" fillId="0" borderId="20" xfId="0" applyFont="1" applyBorder="1" applyAlignment="1">
      <alignment vertical="center" wrapText="1"/>
    </xf>
    <xf numFmtId="0" fontId="16" fillId="0" borderId="21" xfId="0" applyFont="1" applyBorder="1" applyAlignment="1">
      <alignment vertical="center" wrapText="1"/>
    </xf>
    <xf numFmtId="0" fontId="16" fillId="2" borderId="13" xfId="0" applyFont="1" applyFill="1" applyBorder="1" applyAlignment="1">
      <alignment vertical="top" wrapText="1"/>
    </xf>
    <xf numFmtId="0" fontId="16" fillId="2" borderId="14" xfId="0" applyFont="1" applyFill="1" applyBorder="1" applyAlignment="1">
      <alignment vertical="top" wrapText="1"/>
    </xf>
    <xf numFmtId="0" fontId="16" fillId="2" borderId="15" xfId="0" applyFont="1" applyFill="1" applyBorder="1" applyAlignment="1">
      <alignment vertical="top" wrapText="1"/>
    </xf>
    <xf numFmtId="0" fontId="16" fillId="2" borderId="16" xfId="0" applyFont="1" applyFill="1" applyBorder="1" applyAlignment="1">
      <alignment vertical="top" wrapText="1"/>
    </xf>
    <xf numFmtId="0" fontId="16" fillId="2" borderId="36" xfId="0" applyFont="1" applyFill="1" applyBorder="1" applyAlignment="1">
      <alignment vertical="top" wrapText="1"/>
    </xf>
    <xf numFmtId="0" fontId="17" fillId="7" borderId="16" xfId="0" applyFont="1" applyFill="1" applyBorder="1" applyAlignment="1">
      <alignment vertical="top" wrapText="1"/>
    </xf>
    <xf numFmtId="0" fontId="17" fillId="7" borderId="36" xfId="0" applyFont="1" applyFill="1" applyBorder="1" applyAlignment="1">
      <alignment vertical="top" wrapText="1"/>
    </xf>
    <xf numFmtId="0" fontId="16" fillId="7" borderId="16" xfId="0" applyFont="1" applyFill="1" applyBorder="1" applyAlignment="1">
      <alignment vertical="top" wrapText="1"/>
    </xf>
    <xf numFmtId="0" fontId="16" fillId="7" borderId="36" xfId="0" applyFont="1" applyFill="1" applyBorder="1" applyAlignment="1">
      <alignment vertical="top" wrapText="1"/>
    </xf>
    <xf numFmtId="0" fontId="16" fillId="2" borderId="31" xfId="0" applyFont="1" applyFill="1" applyBorder="1" applyAlignment="1">
      <alignment vertical="top" wrapText="1"/>
    </xf>
    <xf numFmtId="0" fontId="16" fillId="2" borderId="12" xfId="0" applyFont="1" applyFill="1" applyBorder="1" applyAlignment="1">
      <alignment vertical="top" wrapText="1"/>
    </xf>
    <xf numFmtId="0" fontId="16" fillId="2" borderId="5" xfId="0" applyFont="1" applyFill="1" applyBorder="1" applyAlignment="1">
      <alignment vertical="top"/>
    </xf>
    <xf numFmtId="0" fontId="16" fillId="2" borderId="7" xfId="0" applyFont="1" applyFill="1" applyBorder="1" applyAlignment="1">
      <alignment horizontal="left" vertical="top"/>
    </xf>
    <xf numFmtId="0" fontId="16" fillId="8" borderId="18" xfId="0" applyFont="1" applyFill="1" applyBorder="1" applyAlignment="1">
      <alignment vertical="top" wrapText="1"/>
    </xf>
    <xf numFmtId="0" fontId="16" fillId="8" borderId="32" xfId="0" applyFont="1" applyFill="1" applyBorder="1" applyAlignment="1">
      <alignment vertical="top" wrapText="1"/>
    </xf>
    <xf numFmtId="0" fontId="16" fillId="8" borderId="33" xfId="0" applyFont="1" applyFill="1" applyBorder="1" applyAlignment="1">
      <alignment vertical="top" wrapText="1"/>
    </xf>
    <xf numFmtId="0" fontId="16" fillId="3" borderId="1" xfId="4" applyFont="1" applyFill="1" applyBorder="1" applyAlignment="1">
      <alignment horizontal="left" vertical="top" wrapText="1"/>
    </xf>
    <xf numFmtId="0" fontId="17" fillId="7" borderId="20" xfId="4" applyFont="1" applyFill="1" applyBorder="1" applyAlignment="1">
      <alignment horizontal="left" vertical="top" wrapText="1"/>
    </xf>
    <xf numFmtId="0" fontId="16" fillId="3" borderId="20" xfId="4" applyFont="1" applyFill="1" applyBorder="1" applyAlignment="1">
      <alignment vertical="top" wrapText="1"/>
    </xf>
    <xf numFmtId="0" fontId="16" fillId="2" borderId="2" xfId="0" applyFont="1" applyFill="1" applyBorder="1" applyAlignment="1">
      <alignment horizontal="left" vertical="top"/>
    </xf>
    <xf numFmtId="0" fontId="16" fillId="2" borderId="8" xfId="0" applyFont="1" applyFill="1" applyBorder="1" applyAlignment="1"/>
    <xf numFmtId="0" fontId="16" fillId="2" borderId="6" xfId="0" applyFont="1" applyFill="1" applyBorder="1" applyAlignment="1">
      <alignment horizontal="left"/>
    </xf>
    <xf numFmtId="0" fontId="17" fillId="7" borderId="18" xfId="0" applyFont="1" applyFill="1" applyBorder="1" applyAlignment="1">
      <alignment horizontal="left" vertical="center" wrapText="1"/>
    </xf>
    <xf numFmtId="0" fontId="17" fillId="7" borderId="32" xfId="0" applyFont="1" applyFill="1" applyBorder="1" applyAlignment="1">
      <alignment horizontal="left" vertical="center" wrapText="1"/>
    </xf>
    <xf numFmtId="0" fontId="16" fillId="2" borderId="1" xfId="0" applyFont="1" applyFill="1" applyBorder="1" applyAlignment="1">
      <alignment horizontal="center"/>
    </xf>
    <xf numFmtId="0" fontId="16" fillId="2" borderId="9" xfId="0" applyFont="1" applyFill="1" applyBorder="1" applyAlignment="1">
      <alignment horizontal="center"/>
    </xf>
    <xf numFmtId="0" fontId="16" fillId="3" borderId="18" xfId="0" applyFont="1" applyFill="1" applyBorder="1" applyAlignment="1">
      <alignment horizontal="left" vertical="center" wrapText="1"/>
    </xf>
    <xf numFmtId="0" fontId="16" fillId="3" borderId="11" xfId="0" applyFont="1" applyFill="1" applyBorder="1" applyAlignment="1">
      <alignment horizontal="left" vertical="center" wrapText="1"/>
    </xf>
    <xf numFmtId="0" fontId="16" fillId="3" borderId="13" xfId="0" applyFont="1" applyFill="1" applyBorder="1" applyAlignment="1">
      <alignment horizontal="left" vertical="center" wrapText="1"/>
    </xf>
    <xf numFmtId="0" fontId="13" fillId="3" borderId="19" xfId="0" applyFont="1" applyFill="1" applyBorder="1" applyAlignment="1">
      <alignment horizontal="left" vertical="center"/>
    </xf>
    <xf numFmtId="0" fontId="13" fillId="3" borderId="20" xfId="0" applyFont="1" applyFill="1" applyBorder="1" applyAlignment="1">
      <alignment horizontal="left" vertical="center"/>
    </xf>
    <xf numFmtId="0" fontId="13" fillId="3" borderId="21" xfId="0" applyFont="1" applyFill="1" applyBorder="1" applyAlignment="1">
      <alignment horizontal="left" vertical="center"/>
    </xf>
    <xf numFmtId="0" fontId="16" fillId="3" borderId="22" xfId="1" applyFont="1" applyFill="1" applyBorder="1" applyAlignment="1">
      <alignment horizontal="left" vertical="top" wrapText="1"/>
    </xf>
    <xf numFmtId="0" fontId="16" fillId="3" borderId="23" xfId="1" applyFont="1" applyFill="1" applyBorder="1" applyAlignment="1">
      <alignment horizontal="left" vertical="top" wrapText="1"/>
    </xf>
    <xf numFmtId="0" fontId="16" fillId="3" borderId="24" xfId="1" applyFont="1" applyFill="1" applyBorder="1" applyAlignment="1">
      <alignment horizontal="left" vertical="top" wrapText="1"/>
    </xf>
    <xf numFmtId="0" fontId="16" fillId="3" borderId="25" xfId="1" applyFont="1" applyFill="1" applyBorder="1" applyAlignment="1">
      <alignment horizontal="left" vertical="top" wrapText="1"/>
    </xf>
    <xf numFmtId="0" fontId="16" fillId="3" borderId="26" xfId="1" applyFont="1" applyFill="1" applyBorder="1" applyAlignment="1">
      <alignment horizontal="left" vertical="top" wrapText="1"/>
    </xf>
    <xf numFmtId="0" fontId="16" fillId="3" borderId="27" xfId="1" applyFont="1" applyFill="1" applyBorder="1" applyAlignment="1">
      <alignment horizontal="left" vertical="top" wrapText="1"/>
    </xf>
    <xf numFmtId="0" fontId="16" fillId="3" borderId="28" xfId="1" applyFont="1" applyFill="1" applyBorder="1" applyAlignment="1">
      <alignment horizontal="left" vertical="top" wrapText="1"/>
    </xf>
    <xf numFmtId="0" fontId="16" fillId="3" borderId="29" xfId="1" applyFont="1" applyFill="1" applyBorder="1" applyAlignment="1">
      <alignment horizontal="left" vertical="top" wrapText="1"/>
    </xf>
    <xf numFmtId="0" fontId="16" fillId="3" borderId="30" xfId="1" applyFont="1" applyFill="1" applyBorder="1" applyAlignment="1">
      <alignment horizontal="left" vertical="top" wrapText="1"/>
    </xf>
    <xf numFmtId="0" fontId="16" fillId="4" borderId="10" xfId="0" applyFont="1" applyFill="1" applyBorder="1" applyAlignment="1">
      <alignment vertical="center" wrapText="1"/>
    </xf>
    <xf numFmtId="0" fontId="16" fillId="3" borderId="32" xfId="0" applyFont="1" applyFill="1" applyBorder="1" applyAlignment="1">
      <alignment vertical="center" wrapText="1"/>
    </xf>
    <xf numFmtId="0" fontId="16" fillId="4" borderId="13" xfId="0" applyFont="1" applyFill="1" applyBorder="1" applyAlignment="1">
      <alignment vertical="center" wrapText="1"/>
    </xf>
    <xf numFmtId="0" fontId="16" fillId="3" borderId="18" xfId="0" applyFont="1" applyFill="1" applyBorder="1" applyAlignment="1">
      <alignment vertical="center" wrapText="1"/>
    </xf>
    <xf numFmtId="0" fontId="16" fillId="3" borderId="33" xfId="0" applyFont="1" applyFill="1" applyBorder="1" applyAlignment="1">
      <alignment vertical="center" wrapText="1"/>
    </xf>
    <xf numFmtId="0" fontId="16" fillId="5" borderId="18" xfId="0" applyFont="1" applyFill="1" applyBorder="1" applyAlignment="1">
      <alignment vertical="top" wrapText="1"/>
    </xf>
    <xf numFmtId="0" fontId="16" fillId="5" borderId="13" xfId="0" applyFont="1" applyFill="1" applyBorder="1" applyAlignment="1">
      <alignment vertical="top" wrapText="1"/>
    </xf>
    <xf numFmtId="164" fontId="16" fillId="3" borderId="18" xfId="0" applyNumberFormat="1" applyFont="1" applyFill="1" applyBorder="1" applyAlignment="1">
      <alignment vertical="center" wrapText="1"/>
    </xf>
    <xf numFmtId="164" fontId="16" fillId="3" borderId="32" xfId="0" applyNumberFormat="1" applyFont="1" applyFill="1" applyBorder="1" applyAlignment="1">
      <alignment vertical="center" wrapText="1"/>
    </xf>
    <xf numFmtId="164" fontId="16" fillId="3" borderId="20" xfId="0" applyNumberFormat="1" applyFont="1" applyFill="1" applyBorder="1" applyAlignment="1">
      <alignment vertical="center" wrapText="1"/>
    </xf>
    <xf numFmtId="164" fontId="16" fillId="3" borderId="33" xfId="0" applyNumberFormat="1" applyFont="1" applyFill="1" applyBorder="1" applyAlignment="1">
      <alignment vertical="center" wrapText="1"/>
    </xf>
    <xf numFmtId="164" fontId="16" fillId="3" borderId="21" xfId="0" applyNumberFormat="1" applyFont="1" applyFill="1" applyBorder="1" applyAlignment="1">
      <alignment vertical="center" wrapText="1"/>
    </xf>
    <xf numFmtId="164" fontId="16" fillId="2" borderId="18" xfId="0" applyNumberFormat="1" applyFont="1" applyFill="1" applyBorder="1" applyAlignment="1">
      <alignment vertical="center" wrapText="1"/>
    </xf>
    <xf numFmtId="164" fontId="16" fillId="2" borderId="19" xfId="0" applyNumberFormat="1" applyFont="1" applyFill="1" applyBorder="1" applyAlignment="1">
      <alignment vertical="center" wrapText="1"/>
    </xf>
    <xf numFmtId="164" fontId="16" fillId="2" borderId="32" xfId="0" applyNumberFormat="1" applyFont="1" applyFill="1" applyBorder="1" applyAlignment="1">
      <alignment vertical="center" wrapText="1"/>
    </xf>
    <xf numFmtId="164" fontId="16" fillId="2" borderId="20" xfId="0" applyNumberFormat="1" applyFont="1" applyFill="1" applyBorder="1" applyAlignment="1">
      <alignment vertical="center" wrapText="1"/>
    </xf>
    <xf numFmtId="164" fontId="16" fillId="2" borderId="33" xfId="0" applyNumberFormat="1" applyFont="1" applyFill="1" applyBorder="1" applyAlignment="1">
      <alignment vertical="center" wrapText="1"/>
    </xf>
    <xf numFmtId="164" fontId="16" fillId="2" borderId="21" xfId="0" applyNumberFormat="1" applyFont="1" applyFill="1" applyBorder="1" applyAlignment="1">
      <alignment vertical="center" wrapText="1"/>
    </xf>
    <xf numFmtId="164" fontId="16" fillId="2" borderId="18" xfId="0" applyNumberFormat="1" applyFont="1" applyFill="1" applyBorder="1" applyAlignment="1">
      <alignment horizontal="left" vertical="center"/>
    </xf>
    <xf numFmtId="164" fontId="16" fillId="2" borderId="34" xfId="0" applyNumberFormat="1" applyFont="1" applyFill="1" applyBorder="1" applyAlignment="1">
      <alignment horizontal="left" vertical="center"/>
    </xf>
    <xf numFmtId="164" fontId="16" fillId="2" borderId="11" xfId="0" applyNumberFormat="1" applyFont="1" applyFill="1" applyBorder="1" applyAlignment="1">
      <alignment horizontal="left" vertical="center"/>
    </xf>
    <xf numFmtId="164" fontId="16" fillId="3" borderId="18" xfId="0" applyNumberFormat="1" applyFont="1" applyFill="1" applyBorder="1" applyAlignment="1">
      <alignment horizontal="left" vertical="center"/>
    </xf>
    <xf numFmtId="164" fontId="16" fillId="3" borderId="11" xfId="0" applyNumberFormat="1" applyFont="1" applyFill="1" applyBorder="1" applyAlignment="1">
      <alignment horizontal="left" vertical="center"/>
    </xf>
    <xf numFmtId="164" fontId="16" fillId="3" borderId="33" xfId="0" applyNumberFormat="1" applyFont="1" applyFill="1" applyBorder="1" applyAlignment="1">
      <alignment horizontal="left" vertical="center"/>
    </xf>
    <xf numFmtId="164" fontId="16" fillId="3" borderId="35" xfId="0" applyNumberFormat="1" applyFont="1" applyFill="1" applyBorder="1" applyAlignment="1">
      <alignment horizontal="left" vertical="center"/>
    </xf>
    <xf numFmtId="0" fontId="16" fillId="3" borderId="1" xfId="0" applyFont="1" applyFill="1" applyBorder="1" applyAlignment="1">
      <alignment vertical="center"/>
    </xf>
    <xf numFmtId="0" fontId="13" fillId="3" borderId="14" xfId="3" applyFont="1" applyFill="1" applyBorder="1" applyAlignment="1">
      <alignment vertical="top"/>
    </xf>
    <xf numFmtId="0" fontId="13" fillId="3" borderId="1" xfId="3" applyFont="1" applyFill="1" applyBorder="1" applyAlignment="1">
      <alignment vertical="top"/>
    </xf>
    <xf numFmtId="0" fontId="4" fillId="0" borderId="0" xfId="0" applyFont="1"/>
    <xf numFmtId="0" fontId="19" fillId="0" borderId="0" xfId="0" applyFont="1"/>
    <xf numFmtId="0" fontId="16" fillId="2" borderId="1" xfId="0" applyFont="1" applyFill="1" applyBorder="1" applyAlignment="1">
      <alignment wrapText="1"/>
    </xf>
    <xf numFmtId="0" fontId="21" fillId="0" borderId="0" xfId="0" applyFont="1"/>
    <xf numFmtId="0" fontId="21" fillId="2" borderId="1" xfId="0" applyFont="1" applyFill="1" applyBorder="1" applyAlignment="1">
      <alignment vertical="center"/>
    </xf>
    <xf numFmtId="0" fontId="20" fillId="0" borderId="0" xfId="0" applyFont="1"/>
    <xf numFmtId="0" fontId="22" fillId="0" borderId="0" xfId="0" applyFont="1"/>
    <xf numFmtId="0" fontId="23" fillId="0" borderId="0" xfId="0" applyFont="1"/>
    <xf numFmtId="0" fontId="23" fillId="2" borderId="1" xfId="0" applyFont="1" applyFill="1" applyBorder="1" applyAlignment="1">
      <alignment vertical="center"/>
    </xf>
    <xf numFmtId="0" fontId="24" fillId="0" borderId="0" xfId="0" applyFont="1"/>
    <xf numFmtId="0" fontId="25" fillId="0" borderId="0" xfId="0" applyFont="1"/>
    <xf numFmtId="0" fontId="25" fillId="2" borderId="1" xfId="0" applyFont="1" applyFill="1" applyBorder="1" applyAlignment="1">
      <alignment vertical="center"/>
    </xf>
    <xf numFmtId="0" fontId="26" fillId="0" borderId="0" xfId="0" applyFont="1"/>
    <xf numFmtId="0" fontId="27" fillId="0" borderId="0" xfId="0" applyFont="1"/>
    <xf numFmtId="0" fontId="27" fillId="2" borderId="1" xfId="0" applyFont="1" applyFill="1" applyBorder="1" applyAlignment="1">
      <alignment vertical="center"/>
    </xf>
    <xf numFmtId="0" fontId="28" fillId="0" borderId="0" xfId="0" applyFont="1"/>
    <xf numFmtId="0" fontId="0" fillId="0" borderId="0" xfId="0" applyAlignment="1">
      <alignment wrapText="1"/>
    </xf>
    <xf numFmtId="0" fontId="0" fillId="0" borderId="0" xfId="0" applyAlignment="1"/>
    <xf numFmtId="0" fontId="16" fillId="3" borderId="1" xfId="0" applyFont="1" applyFill="1" applyBorder="1" applyAlignment="1">
      <alignment vertical="center" wrapText="1"/>
    </xf>
    <xf numFmtId="0" fontId="0" fillId="9" borderId="0" xfId="0" applyFill="1"/>
    <xf numFmtId="0" fontId="20" fillId="9" borderId="0" xfId="0" applyFont="1" applyFill="1"/>
    <xf numFmtId="0" fontId="28" fillId="9" borderId="0" xfId="0" applyFont="1" applyFill="1"/>
    <xf numFmtId="0" fontId="26" fillId="9" borderId="0" xfId="0" applyFont="1" applyFill="1"/>
    <xf numFmtId="0" fontId="24" fillId="9" borderId="0" xfId="0" applyFont="1" applyFill="1"/>
    <xf numFmtId="0" fontId="22" fillId="9" borderId="0" xfId="0" applyFont="1" applyFill="1"/>
    <xf numFmtId="0" fontId="10" fillId="0" borderId="0" xfId="0" applyFont="1" applyAlignment="1">
      <alignment vertical="center"/>
    </xf>
    <xf numFmtId="0" fontId="31" fillId="0" borderId="0" xfId="0" applyFont="1"/>
    <xf numFmtId="0" fontId="4" fillId="0" borderId="0" xfId="0" applyFont="1" applyAlignment="1"/>
    <xf numFmtId="0" fontId="30" fillId="0" borderId="0" xfId="0" applyFont="1" applyAlignment="1"/>
    <xf numFmtId="0" fontId="22" fillId="0" borderId="0" xfId="0" applyFont="1" applyAlignment="1"/>
    <xf numFmtId="0" fontId="0" fillId="9" borderId="0" xfId="0" applyFill="1" applyAlignment="1"/>
    <xf numFmtId="0" fontId="3" fillId="0" borderId="0" xfId="0" applyFont="1" applyAlignment="1"/>
    <xf numFmtId="0" fontId="22" fillId="0" borderId="0" xfId="0" applyFont="1" applyAlignment="1">
      <alignment wrapText="1"/>
    </xf>
    <xf numFmtId="0" fontId="32" fillId="0" borderId="0" xfId="0" applyFont="1"/>
    <xf numFmtId="0" fontId="17" fillId="0" borderId="0" xfId="0" applyFont="1"/>
    <xf numFmtId="0" fontId="1" fillId="2" borderId="0" xfId="0" applyFont="1" applyFill="1"/>
    <xf numFmtId="0" fontId="0" fillId="2" borderId="0" xfId="0" applyFont="1" applyFill="1" applyAlignment="1"/>
    <xf numFmtId="0" fontId="0" fillId="10" borderId="0" xfId="0" applyFill="1"/>
    <xf numFmtId="0" fontId="33" fillId="10" borderId="0" xfId="0" applyFont="1" applyFill="1"/>
    <xf numFmtId="0" fontId="34" fillId="10" borderId="0" xfId="0" applyFont="1" applyFill="1"/>
    <xf numFmtId="0" fontId="35" fillId="10" borderId="0" xfId="0" applyFont="1" applyFill="1" applyAlignment="1">
      <alignment vertical="center"/>
    </xf>
    <xf numFmtId="0" fontId="36" fillId="2" borderId="0" xfId="0" applyFont="1" applyFill="1"/>
    <xf numFmtId="0" fontId="37" fillId="2" borderId="0" xfId="0" applyFont="1" applyFill="1"/>
    <xf numFmtId="0" fontId="35" fillId="10" borderId="0" xfId="0" applyFont="1" applyFill="1"/>
    <xf numFmtId="0" fontId="38" fillId="2" borderId="0" xfId="0" applyFont="1" applyFill="1"/>
    <xf numFmtId="0" fontId="39" fillId="10" borderId="0" xfId="0" applyFont="1" applyFill="1" applyAlignment="1"/>
    <xf numFmtId="0" fontId="33" fillId="0" borderId="0" xfId="0" applyFont="1" applyAlignment="1"/>
    <xf numFmtId="0" fontId="34" fillId="0" borderId="0" xfId="0" applyFont="1" applyAlignment="1"/>
    <xf numFmtId="0" fontId="35" fillId="0" borderId="0" xfId="0" applyFont="1" applyAlignment="1">
      <alignment vertical="center"/>
    </xf>
    <xf numFmtId="0" fontId="35" fillId="0" borderId="0" xfId="0" applyFont="1"/>
    <xf numFmtId="0" fontId="39" fillId="0" borderId="0" xfId="0" applyFont="1" applyAlignment="1"/>
    <xf numFmtId="0" fontId="33" fillId="0" borderId="0" xfId="0" applyFont="1"/>
    <xf numFmtId="0" fontId="34" fillId="0" borderId="0" xfId="0" applyFont="1"/>
    <xf numFmtId="0" fontId="1" fillId="10" borderId="0" xfId="0" applyFont="1" applyFill="1"/>
    <xf numFmtId="0" fontId="0" fillId="10" borderId="0" xfId="0" applyFont="1" applyFill="1" applyAlignment="1"/>
    <xf numFmtId="0" fontId="36" fillId="10" borderId="0" xfId="0" applyFont="1" applyFill="1"/>
    <xf numFmtId="0" fontId="37" fillId="10" borderId="0" xfId="0" applyFont="1" applyFill="1"/>
    <xf numFmtId="0" fontId="38" fillId="10" borderId="0" xfId="0" applyFont="1" applyFill="1"/>
    <xf numFmtId="0" fontId="40" fillId="2" borderId="0" xfId="0" applyFont="1" applyFill="1"/>
    <xf numFmtId="0" fontId="41" fillId="2" borderId="1" xfId="1726" applyFont="1" applyBorder="1" applyAlignment="1">
      <alignment vertical="center"/>
    </xf>
    <xf numFmtId="0" fontId="42" fillId="2" borderId="1" xfId="1726" applyFont="1" applyBorder="1" applyAlignment="1"/>
    <xf numFmtId="0" fontId="0" fillId="0" borderId="0" xfId="0" applyFont="1"/>
    <xf numFmtId="0" fontId="0" fillId="0" borderId="0" xfId="0" applyFont="1" applyAlignment="1"/>
    <xf numFmtId="0" fontId="3" fillId="0" borderId="0" xfId="0" applyFont="1" applyAlignment="1">
      <alignment wrapText="1"/>
    </xf>
    <xf numFmtId="0" fontId="20" fillId="0" borderId="0" xfId="0" applyFont="1" applyAlignment="1"/>
    <xf numFmtId="0" fontId="28" fillId="0" borderId="0" xfId="0" applyFont="1" applyAlignment="1"/>
    <xf numFmtId="0" fontId="26" fillId="0" borderId="0" xfId="0" applyFont="1" applyAlignment="1"/>
    <xf numFmtId="0" fontId="24" fillId="0" borderId="0" xfId="0" applyFont="1" applyAlignment="1"/>
    <xf numFmtId="0" fontId="16" fillId="11" borderId="0" xfId="0" applyFont="1" applyFill="1"/>
    <xf numFmtId="0" fontId="46" fillId="0" borderId="0" xfId="0" applyFont="1"/>
    <xf numFmtId="0" fontId="43" fillId="3" borderId="27" xfId="0" applyFont="1" applyFill="1" applyBorder="1" applyAlignment="1">
      <alignment horizontal="left" vertical="top" wrapText="1"/>
    </xf>
    <xf numFmtId="0" fontId="43" fillId="3" borderId="27" xfId="0" applyFont="1" applyFill="1" applyBorder="1" applyAlignment="1">
      <alignment vertical="top" wrapText="1"/>
    </xf>
    <xf numFmtId="0" fontId="43" fillId="3" borderId="43" xfId="0" applyFont="1" applyFill="1" applyBorder="1" applyAlignment="1">
      <alignment horizontal="left" vertical="top" wrapText="1"/>
    </xf>
    <xf numFmtId="0" fontId="20" fillId="0" borderId="0" xfId="0" applyFont="1" applyAlignment="1">
      <alignment wrapText="1"/>
    </xf>
    <xf numFmtId="0" fontId="0" fillId="12" borderId="0" xfId="0" applyFill="1"/>
    <xf numFmtId="0" fontId="3" fillId="12" borderId="0" xfId="0" applyFont="1" applyFill="1" applyAlignment="1"/>
    <xf numFmtId="0" fontId="0" fillId="12" borderId="0" xfId="0" applyFill="1" applyAlignment="1"/>
    <xf numFmtId="0" fontId="20" fillId="12" borderId="0" xfId="0" applyFont="1" applyFill="1"/>
    <xf numFmtId="0" fontId="28" fillId="12" borderId="0" xfId="0" applyFont="1" applyFill="1"/>
    <xf numFmtId="0" fontId="26" fillId="12" borderId="0" xfId="0" applyFont="1" applyFill="1"/>
    <xf numFmtId="0" fontId="24" fillId="12" borderId="0" xfId="0" applyFont="1" applyFill="1"/>
    <xf numFmtId="0" fontId="4" fillId="12" borderId="0" xfId="0" applyFont="1" applyFill="1"/>
    <xf numFmtId="0" fontId="3" fillId="12" borderId="1" xfId="0" applyFont="1" applyFill="1" applyBorder="1"/>
    <xf numFmtId="0" fontId="0" fillId="13" borderId="0" xfId="0" applyFill="1"/>
    <xf numFmtId="0" fontId="22" fillId="13" borderId="0" xfId="0" applyFont="1" applyFill="1"/>
    <xf numFmtId="0" fontId="0" fillId="13" borderId="0" xfId="0" applyFill="1" applyAlignment="1"/>
    <xf numFmtId="0" fontId="20" fillId="13" borderId="0" xfId="0" applyFont="1" applyFill="1"/>
    <xf numFmtId="0" fontId="28" fillId="13" borderId="0" xfId="0" applyFont="1" applyFill="1"/>
    <xf numFmtId="0" fontId="26" fillId="13" borderId="0" xfId="0" applyFont="1" applyFill="1"/>
    <xf numFmtId="0" fontId="4" fillId="13" borderId="0" xfId="0" applyFont="1" applyFill="1"/>
    <xf numFmtId="0" fontId="24" fillId="13" borderId="0" xfId="0" applyFont="1" applyFill="1"/>
    <xf numFmtId="0" fontId="47" fillId="0" borderId="0" xfId="0" applyFont="1"/>
    <xf numFmtId="0" fontId="3" fillId="14" borderId="0" xfId="0" applyFont="1" applyFill="1"/>
    <xf numFmtId="0" fontId="0" fillId="14" borderId="0" xfId="0" applyFill="1"/>
    <xf numFmtId="0" fontId="0" fillId="14" borderId="0" xfId="0" applyFill="1" applyAlignment="1"/>
    <xf numFmtId="0" fontId="28" fillId="14" borderId="0" xfId="0" applyFont="1" applyFill="1"/>
    <xf numFmtId="0" fontId="26" fillId="14" borderId="0" xfId="0" applyFont="1" applyFill="1"/>
    <xf numFmtId="0" fontId="24" fillId="14" borderId="0" xfId="0" applyFont="1" applyFill="1"/>
    <xf numFmtId="0" fontId="4" fillId="14" borderId="0" xfId="0" applyFont="1" applyFill="1"/>
    <xf numFmtId="0" fontId="20" fillId="14" borderId="0" xfId="0" applyFont="1" applyFill="1" applyAlignment="1">
      <alignment wrapText="1"/>
    </xf>
    <xf numFmtId="0" fontId="20" fillId="14" borderId="0" xfId="0" applyFont="1" applyFill="1" applyAlignment="1"/>
    <xf numFmtId="0" fontId="20" fillId="0" borderId="0" xfId="0" applyFont="1" applyFill="1" applyAlignment="1"/>
    <xf numFmtId="0" fontId="48" fillId="0" borderId="0" xfId="0" applyFont="1"/>
    <xf numFmtId="0" fontId="49" fillId="0" borderId="0" xfId="0" applyFont="1"/>
    <xf numFmtId="0" fontId="49" fillId="2" borderId="1" xfId="0" applyFont="1" applyFill="1" applyBorder="1" applyAlignment="1">
      <alignment vertical="center"/>
    </xf>
    <xf numFmtId="0" fontId="50" fillId="0" borderId="0" xfId="0" applyFont="1"/>
    <xf numFmtId="0" fontId="50" fillId="10" borderId="0" xfId="0" applyFont="1" applyFill="1"/>
    <xf numFmtId="0" fontId="50" fillId="12" borderId="0" xfId="0" applyFont="1" applyFill="1"/>
    <xf numFmtId="0" fontId="50" fillId="13" borderId="0" xfId="0" applyFont="1" applyFill="1"/>
    <xf numFmtId="0" fontId="50" fillId="0" borderId="0" xfId="0" applyFont="1" applyAlignment="1"/>
    <xf numFmtId="0" fontId="50" fillId="9" borderId="0" xfId="0" applyFont="1" applyFill="1"/>
    <xf numFmtId="0" fontId="48" fillId="2" borderId="1" xfId="0" applyFont="1" applyFill="1" applyBorder="1" applyAlignment="1">
      <alignment vertical="center"/>
    </xf>
    <xf numFmtId="0" fontId="51" fillId="0" borderId="0" xfId="0" applyFont="1"/>
    <xf numFmtId="0" fontId="16" fillId="11" borderId="1" xfId="0" applyFont="1" applyFill="1" applyBorder="1" applyAlignment="1"/>
    <xf numFmtId="0" fontId="16" fillId="11" borderId="1" xfId="0" applyFont="1" applyFill="1" applyBorder="1" applyAlignment="1">
      <alignment horizontal="left"/>
    </xf>
    <xf numFmtId="0" fontId="16" fillId="11" borderId="1" xfId="0" applyFont="1" applyFill="1" applyBorder="1" applyAlignment="1">
      <alignment vertical="top"/>
    </xf>
    <xf numFmtId="0" fontId="16" fillId="11" borderId="1" xfId="0" applyFont="1" applyFill="1" applyBorder="1" applyAlignment="1">
      <alignment horizontal="left" vertical="top"/>
    </xf>
    <xf numFmtId="0" fontId="3" fillId="13" borderId="0" xfId="0" applyFont="1" applyFill="1"/>
    <xf numFmtId="0" fontId="51" fillId="13" borderId="0" xfId="0" applyFont="1" applyFill="1"/>
    <xf numFmtId="0" fontId="3" fillId="13" borderId="0" xfId="0" applyFont="1" applyFill="1" applyAlignment="1"/>
    <xf numFmtId="0" fontId="52" fillId="3" borderId="1" xfId="0" applyFont="1" applyFill="1" applyBorder="1" applyAlignment="1">
      <alignment vertical="top"/>
    </xf>
    <xf numFmtId="0" fontId="52" fillId="9" borderId="1" xfId="0" applyFont="1" applyFill="1" applyBorder="1" applyAlignment="1">
      <alignment vertical="top"/>
    </xf>
    <xf numFmtId="164" fontId="52" fillId="3" borderId="44" xfId="0" applyNumberFormat="1" applyFont="1" applyFill="1" applyBorder="1" applyAlignment="1">
      <alignment horizontal="left" vertical="top"/>
    </xf>
    <xf numFmtId="164" fontId="52" fillId="3" borderId="17" xfId="0" applyNumberFormat="1" applyFont="1" applyFill="1" applyBorder="1" applyAlignment="1">
      <alignment horizontal="left" vertical="top"/>
    </xf>
    <xf numFmtId="0" fontId="53" fillId="2" borderId="1" xfId="1" applyNumberFormat="1" applyFont="1" applyBorder="1" applyAlignment="1">
      <alignment horizontal="left" vertical="center"/>
    </xf>
    <xf numFmtId="0" fontId="54" fillId="2" borderId="20" xfId="2" applyFont="1" applyBorder="1"/>
    <xf numFmtId="0" fontId="53" fillId="2" borderId="45" xfId="1" applyNumberFormat="1" applyFont="1" applyBorder="1" applyAlignment="1">
      <alignment horizontal="left" vertical="center"/>
    </xf>
    <xf numFmtId="0" fontId="53" fillId="2" borderId="1" xfId="1" applyNumberFormat="1" applyFont="1" applyBorder="1" applyAlignment="1">
      <alignment horizontal="left" vertical="center" wrapText="1"/>
    </xf>
    <xf numFmtId="0" fontId="53" fillId="2" borderId="17" xfId="1" applyNumberFormat="1" applyFont="1" applyBorder="1" applyAlignment="1">
      <alignment horizontal="left" vertical="center"/>
    </xf>
    <xf numFmtId="0" fontId="45" fillId="2" borderId="43" xfId="0" applyFont="1" applyFill="1" applyBorder="1" applyAlignment="1">
      <alignment horizontal="left" vertical="top" wrapText="1"/>
    </xf>
    <xf numFmtId="0" fontId="45" fillId="2" borderId="1" xfId="0" applyFont="1" applyFill="1" applyBorder="1" applyAlignment="1">
      <alignment horizontal="left" vertical="top" wrapText="1"/>
    </xf>
    <xf numFmtId="0" fontId="43" fillId="3" borderId="17" xfId="0" applyFont="1" applyFill="1" applyBorder="1" applyAlignment="1">
      <alignment horizontal="left" vertical="top" wrapText="1"/>
    </xf>
    <xf numFmtId="0" fontId="43" fillId="3" borderId="22" xfId="0" applyFont="1" applyFill="1" applyBorder="1" applyAlignment="1">
      <alignment horizontal="left" vertical="top" wrapText="1"/>
    </xf>
    <xf numFmtId="0" fontId="43" fillId="3" borderId="16" xfId="0" applyFont="1" applyFill="1" applyBorder="1" applyAlignment="1">
      <alignment horizontal="left" vertical="top" wrapText="1"/>
    </xf>
    <xf numFmtId="0" fontId="43" fillId="3" borderId="25" xfId="0" applyFont="1" applyFill="1" applyBorder="1" applyAlignment="1">
      <alignment horizontal="left" vertical="top" wrapText="1"/>
    </xf>
    <xf numFmtId="0" fontId="43" fillId="3" borderId="39" xfId="0" applyFont="1" applyFill="1" applyBorder="1" applyAlignment="1">
      <alignment horizontal="left" vertical="top" wrapText="1"/>
    </xf>
    <xf numFmtId="0" fontId="43" fillId="3" borderId="40" xfId="0" applyFont="1" applyFill="1" applyBorder="1" applyAlignment="1">
      <alignment horizontal="left" vertical="top" wrapText="1"/>
    </xf>
    <xf numFmtId="0" fontId="44" fillId="9" borderId="41" xfId="0" applyFont="1" applyFill="1" applyBorder="1" applyAlignment="1">
      <alignment horizontal="left" vertical="top" wrapText="1"/>
    </xf>
    <xf numFmtId="0" fontId="44" fillId="9" borderId="42" xfId="0" applyFont="1" applyFill="1" applyBorder="1" applyAlignment="1">
      <alignment horizontal="left" vertical="top" wrapText="1"/>
    </xf>
  </cellXfs>
  <cellStyles count="1727">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Normal" xfId="0" builtinId="0"/>
    <cellStyle name="Normal 3" xfId="1726"/>
    <cellStyle name="Normal 3 10" xfId="4"/>
    <cellStyle name="Normal 4" xfId="1225"/>
    <cellStyle name="Normal 6" xfId="1"/>
    <cellStyle name="Normal 7" xfId="2"/>
    <cellStyle name="Normal 8" xfId="3"/>
  </cellStyles>
  <dxfs count="214">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auto="1"/>
      </font>
      <fill>
        <patternFill patternType="solid">
          <fgColor indexed="64"/>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theme="9" tint="-0.24994659260841701"/>
      </font>
    </dxf>
    <dxf>
      <font>
        <b/>
        <i val="0"/>
      </font>
      <fill>
        <patternFill>
          <bgColor rgb="FF00B0F0"/>
        </patternFill>
      </fill>
    </dxf>
    <dxf>
      <font>
        <b/>
        <i val="0"/>
      </font>
      <fill>
        <patternFill>
          <bgColor rgb="FFFF99FF"/>
        </patternFill>
      </fill>
    </dxf>
    <dxf>
      <font>
        <b/>
        <i val="0"/>
        <color rgb="FF0099FF"/>
      </font>
    </dxf>
    <dxf>
      <font>
        <strike/>
      </font>
      <fill>
        <patternFill>
          <bgColor theme="0" tint="-0.14996795556505021"/>
        </patternFill>
      </fill>
    </dxf>
    <dxf>
      <font>
        <b/>
        <i val="0"/>
        <color rgb="FFFF66FF"/>
      </font>
    </dxf>
    <dxf>
      <font>
        <b/>
        <i val="0"/>
      </font>
      <fill>
        <patternFill>
          <bgColor rgb="FFFFC000"/>
        </patternFill>
      </fill>
    </dxf>
    <dxf>
      <font>
        <b/>
        <i val="0"/>
        <color theme="9" tint="-0.24994659260841701"/>
      </font>
    </dxf>
    <dxf>
      <font>
        <b/>
        <i val="0"/>
      </font>
      <fill>
        <patternFill>
          <bgColor rgb="FF00B0F0"/>
        </patternFill>
      </fill>
    </dxf>
    <dxf>
      <font>
        <b/>
        <i val="0"/>
      </font>
      <fill>
        <patternFill>
          <bgColor rgb="FFFF99FF"/>
        </patternFill>
      </fill>
    </dxf>
    <dxf>
      <font>
        <b/>
        <i val="0"/>
        <color rgb="FF0099FF"/>
      </font>
    </dxf>
    <dxf>
      <font>
        <strike/>
      </font>
      <fill>
        <patternFill>
          <bgColor theme="0" tint="-0.14996795556505021"/>
        </patternFill>
      </fill>
    </dxf>
    <dxf>
      <font>
        <b/>
        <i val="0"/>
        <color rgb="FFFF66FF"/>
      </font>
    </dxf>
    <dxf>
      <font>
        <b/>
        <i val="0"/>
      </font>
      <fill>
        <patternFill>
          <bgColor rgb="FFFFC000"/>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FB8DB4"/>
      </font>
    </dxf>
    <dxf>
      <font>
        <b/>
        <i val="0"/>
      </font>
      <fill>
        <patternFill>
          <bgColor rgb="FFFB8DB4"/>
        </patternFill>
      </fill>
    </dxf>
    <dxf>
      <font>
        <b/>
        <color rgb="FF9C0006"/>
      </font>
      <border diagonalUp="0" diagonalDown="0">
        <left/>
        <right/>
        <top/>
        <bottom/>
      </border>
    </dxf>
    <dxf>
      <font>
        <b/>
        <i val="0"/>
        <color rgb="FFFB8DB4"/>
      </font>
    </dxf>
    <dxf>
      <font>
        <b/>
        <i val="0"/>
      </font>
      <fill>
        <patternFill>
          <bgColor rgb="FFFB8DB4"/>
        </patternFill>
      </fill>
    </dxf>
    <dxf>
      <font>
        <b/>
        <i val="0"/>
        <color theme="1"/>
      </font>
      <fill>
        <patternFill>
          <bgColor rgb="FFFFFFAF"/>
        </patternFill>
      </fill>
    </dxf>
    <dxf>
      <font>
        <b/>
        <i val="0"/>
        <color rgb="FF00B0F0"/>
      </font>
    </dxf>
    <dxf>
      <font>
        <b/>
        <i val="0"/>
        <color theme="1"/>
      </font>
      <fill>
        <patternFill>
          <bgColor rgb="FF8FDAFF"/>
        </patternFill>
      </fill>
    </dxf>
    <dxf>
      <font>
        <b/>
        <i/>
        <strike val="0"/>
        <color rgb="FFFFFFAF"/>
      </font>
      <fill>
        <patternFill>
          <bgColor rgb="FF760000"/>
        </patternFill>
      </fill>
    </dxf>
    <dxf>
      <font>
        <b val="0"/>
        <i val="0"/>
        <strike/>
        <color auto="1"/>
      </font>
      <fill>
        <patternFill>
          <bgColor theme="1" tint="0.24994659260841701"/>
        </patternFill>
      </fill>
    </dxf>
    <dxf>
      <font>
        <b/>
        <i val="0"/>
        <color rgb="FFFB8DB4"/>
      </font>
    </dxf>
    <dxf>
      <font>
        <b/>
        <i val="0"/>
      </font>
      <fill>
        <patternFill>
          <bgColor rgb="FFFB8DB4"/>
        </patternFill>
      </fill>
    </dxf>
    <dxf>
      <font>
        <b/>
        <color rgb="FF9C0006"/>
      </font>
      <border diagonalUp="0" diagonalDown="0">
        <left/>
        <right/>
        <top/>
        <bottom/>
      </border>
    </dxf>
    <dxf>
      <font>
        <b/>
        <i val="0"/>
        <color rgb="FFFFFF00"/>
      </font>
      <fill>
        <patternFill>
          <bgColor rgb="FFFF0000"/>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9" tint="-0.24994659260841701"/>
      </font>
    </dxf>
    <dxf>
      <font>
        <b/>
        <i val="0"/>
      </font>
      <fill>
        <patternFill>
          <bgColor rgb="FF00B0F0"/>
        </patternFill>
      </fill>
    </dxf>
    <dxf>
      <font>
        <b/>
        <i val="0"/>
      </font>
      <fill>
        <patternFill>
          <bgColor rgb="FFFF99FF"/>
        </patternFill>
      </fill>
    </dxf>
    <dxf>
      <font>
        <b/>
        <i val="0"/>
        <color rgb="FF0099FF"/>
      </font>
    </dxf>
    <dxf>
      <font>
        <strike/>
      </font>
      <fill>
        <patternFill>
          <bgColor theme="0" tint="-0.14996795556505021"/>
        </patternFill>
      </fill>
    </dxf>
    <dxf>
      <font>
        <b/>
        <i val="0"/>
        <color rgb="FFFF66FF"/>
      </font>
    </dxf>
    <dxf>
      <font>
        <b/>
        <i val="0"/>
      </font>
      <fill>
        <patternFill>
          <bgColor rgb="FFFFC000"/>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rgb="FF9C0006"/>
      </font>
      <fill>
        <patternFill patternType="none">
          <bgColor auto="1"/>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color rgb="FF9C0006"/>
      </font>
      <fill>
        <patternFill>
          <bgColor rgb="FFFFC7CE"/>
        </patternFill>
      </fill>
    </dxf>
    <dxf>
      <font>
        <b/>
        <i val="0"/>
        <color rgb="FFFFFF00"/>
      </font>
      <fill>
        <patternFill>
          <bgColor rgb="FFFF0000"/>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theme="5"/>
      </font>
      <fill>
        <patternFill patternType="none">
          <bgColor auto="1"/>
        </patternFill>
      </fill>
    </dxf>
    <dxf>
      <font>
        <b/>
        <i val="0"/>
        <color auto="1"/>
      </font>
      <fill>
        <patternFill>
          <bgColor theme="7" tint="0.39994506668294322"/>
        </patternFill>
      </fill>
    </dxf>
    <dxf>
      <font>
        <b/>
        <i val="0"/>
        <color rgb="FF00D600"/>
      </font>
    </dxf>
    <dxf>
      <font>
        <b/>
        <i val="0"/>
      </font>
      <fill>
        <patternFill>
          <bgColor rgb="FF9BF094"/>
        </patternFill>
      </fill>
    </dxf>
    <dxf>
      <font>
        <b/>
        <i val="0"/>
        <strike val="0"/>
        <color rgb="FF0070C0"/>
      </font>
      <fill>
        <patternFill patternType="none">
          <bgColor auto="1"/>
        </patternFill>
      </fill>
    </dxf>
    <dxf>
      <font>
        <b/>
        <i val="0"/>
        <color auto="1"/>
      </font>
      <fill>
        <patternFill>
          <bgColor theme="8" tint="0.59996337778862885"/>
        </patternFill>
      </fill>
    </dxf>
    <dxf>
      <font>
        <b/>
        <i val="0"/>
        <strike val="0"/>
        <color rgb="FFFF3399"/>
      </font>
      <fill>
        <patternFill patternType="none">
          <bgColor auto="1"/>
        </patternFill>
      </fill>
    </dxf>
    <dxf>
      <font>
        <b/>
        <i val="0"/>
        <color auto="1"/>
      </font>
      <fill>
        <patternFill patternType="solid">
          <bgColor rgb="FFFF99CC"/>
        </patternFill>
      </fill>
    </dxf>
    <dxf>
      <font>
        <strike/>
        <color auto="1"/>
      </font>
      <fill>
        <patternFill>
          <bgColor theme="0" tint="-0.499984740745262"/>
        </patternFill>
      </fill>
    </dxf>
    <dxf>
      <font>
        <b/>
        <i val="0"/>
        <color rgb="FFFFFF00"/>
      </font>
      <fill>
        <patternFill>
          <bgColor rgb="FFFF0000"/>
        </patternFill>
      </fill>
    </dxf>
    <dxf>
      <font>
        <b/>
        <i val="0"/>
        <color rgb="FF9C0006"/>
      </font>
      <fill>
        <patternFill patternType="none">
          <bgColor auto="1"/>
        </patternFill>
      </fill>
    </dxf>
    <dxf>
      <font>
        <b/>
        <color rgb="FF008F00"/>
      </font>
      <fill>
        <patternFill patternType="none">
          <bgColor auto="1"/>
        </patternFill>
      </fill>
      <border diagonalUp="0" diagonalDown="0">
        <left/>
        <right/>
        <top/>
        <bottom/>
      </border>
    </dxf>
    <dxf>
      <font>
        <b/>
        <color rgb="FF7030A0"/>
      </font>
      <fill>
        <patternFill patternType="none">
          <bgColor auto="1"/>
        </patternFill>
      </fill>
      <border diagonalUp="0" diagonalDown="0">
        <left/>
        <right/>
        <top/>
        <bottom/>
      </border>
    </dxf>
    <dxf>
      <font>
        <b/>
        <color rgb="FFFF0000"/>
      </font>
      <fill>
        <patternFill patternType="none">
          <bgColor auto="1"/>
        </patternFill>
      </fill>
      <border diagonalUp="0" diagonalDown="0">
        <left/>
        <right/>
        <top/>
        <bottom/>
      </border>
    </dxf>
    <dxf>
      <fill>
        <patternFill>
          <bgColor rgb="FFC4BD97"/>
        </patternFill>
      </fill>
      <border diagonalUp="0" diagonalDown="0">
        <left/>
        <right/>
        <top/>
        <bottom/>
      </border>
    </dxf>
    <dxf>
      <font>
        <b/>
        <color rgb="FF0432FF"/>
      </font>
      <fill>
        <patternFill patternType="none">
          <bgColor auto="1"/>
        </patternFill>
      </fill>
      <border diagonalUp="0" diagonalDown="0">
        <left/>
        <right/>
        <top/>
        <bottom/>
      </border>
    </dxf>
  </dxfs>
  <tableStyles count="0" defaultTableStyle="TableStyleMedium9" defaultPivotStyle="PivotStyleMedium4"/>
  <colors>
    <mruColors>
      <color rgb="FFA50021"/>
      <color rgb="FF990000"/>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CODE_Settlements_FH_Full"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taff_List_All_Facilities_Aug03_F1"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33"/>
  <sheetViews>
    <sheetView topLeftCell="I1" zoomScale="95" zoomScaleNormal="95" zoomScalePageLayoutView="115" workbookViewId="0">
      <pane ySplit="1" topLeftCell="A109" activePane="bottomLeft" state="frozen"/>
      <selection activeCell="A443" sqref="A2:M1014"/>
      <selection pane="bottomLeft" activeCell="K115" sqref="K115"/>
    </sheetView>
  </sheetViews>
  <sheetFormatPr defaultColWidth="14.42578125" defaultRowHeight="14.25" customHeight="1"/>
  <cols>
    <col min="1" max="1" width="21" bestFit="1" customWidth="1"/>
    <col min="2" max="2" width="24.42578125" customWidth="1"/>
    <col min="3" max="3" width="11" customWidth="1"/>
    <col min="4" max="4" width="14.42578125" customWidth="1"/>
    <col min="5" max="5" width="23.5703125" style="118" customWidth="1"/>
    <col min="6" max="6" width="11.140625" style="118" customWidth="1"/>
    <col min="7" max="7" width="11.85546875" customWidth="1"/>
    <col min="8" max="8" width="92.140625" style="206" customWidth="1"/>
    <col min="9" max="9" width="19.7109375" style="213" customWidth="1"/>
    <col min="10" max="10" width="50.5703125" style="106" customWidth="1"/>
    <col min="11" max="11" width="14.140625" style="116" customWidth="1"/>
    <col min="12" max="12" width="38.5703125" style="118" customWidth="1"/>
    <col min="13" max="13" width="24.28515625" style="113" customWidth="1"/>
    <col min="14" max="14" width="8.42578125" customWidth="1"/>
    <col min="15" max="15" width="7.85546875" style="110" customWidth="1"/>
    <col min="16" max="16" width="12" style="101" customWidth="1"/>
    <col min="17" max="17" width="12.28515625" customWidth="1"/>
    <col min="18" max="18" width="22" customWidth="1"/>
    <col min="19" max="19" width="8.5703125" customWidth="1"/>
    <col min="20" max="20" width="8.28515625" customWidth="1"/>
    <col min="21" max="23" width="14.42578125" customWidth="1"/>
  </cols>
  <sheetData>
    <row r="1" spans="1:25" s="101" customFormat="1" ht="14.25" customHeight="1">
      <c r="A1" s="101" t="s">
        <v>4142</v>
      </c>
      <c r="B1" s="101" t="s">
        <v>0</v>
      </c>
      <c r="C1" s="101" t="s">
        <v>3028</v>
      </c>
      <c r="D1" s="101" t="s">
        <v>2717</v>
      </c>
      <c r="E1" s="128" t="s">
        <v>2718</v>
      </c>
      <c r="F1" s="128" t="s">
        <v>2719</v>
      </c>
      <c r="G1" s="101" t="s">
        <v>8</v>
      </c>
      <c r="H1" s="204" t="s">
        <v>4911</v>
      </c>
      <c r="I1" s="203" t="s">
        <v>6721</v>
      </c>
      <c r="J1" s="104" t="s">
        <v>3</v>
      </c>
      <c r="K1" s="114" t="s">
        <v>6522</v>
      </c>
      <c r="L1" s="128" t="s">
        <v>2721</v>
      </c>
      <c r="M1" s="111" t="s">
        <v>4</v>
      </c>
      <c r="N1" s="127" t="s">
        <v>2720</v>
      </c>
      <c r="O1" s="108" t="s">
        <v>2</v>
      </c>
      <c r="P1" s="101" t="s">
        <v>5</v>
      </c>
      <c r="Q1" s="101" t="s">
        <v>6</v>
      </c>
      <c r="R1" s="101" t="s">
        <v>7</v>
      </c>
      <c r="S1" s="101" t="s">
        <v>2723</v>
      </c>
      <c r="T1" s="101" t="s">
        <v>2722</v>
      </c>
      <c r="U1" s="101" t="s">
        <v>2725</v>
      </c>
      <c r="V1" s="101" t="s">
        <v>2727</v>
      </c>
      <c r="W1" s="101" t="s">
        <v>2729</v>
      </c>
      <c r="X1" s="102" t="s">
        <v>3029</v>
      </c>
      <c r="Y1" s="101" t="s">
        <v>2730</v>
      </c>
    </row>
    <row r="2" spans="1:25" s="7" customFormat="1" ht="15">
      <c r="A2" s="7" t="s">
        <v>9</v>
      </c>
      <c r="B2" s="8" t="s">
        <v>2756</v>
      </c>
      <c r="C2" s="8"/>
      <c r="D2" s="8"/>
      <c r="E2" s="8" t="s">
        <v>6723</v>
      </c>
      <c r="F2" s="9"/>
      <c r="G2" s="9"/>
      <c r="H2" s="205" t="str">
        <f>IF(E2 =" ","",E2)</f>
        <v>Starttime interview</v>
      </c>
      <c r="I2" s="212" t="s">
        <v>16</v>
      </c>
      <c r="J2" s="105"/>
      <c r="K2" s="115"/>
      <c r="L2" s="9"/>
      <c r="M2" s="112"/>
      <c r="N2"/>
      <c r="O2" s="109"/>
      <c r="P2" s="101"/>
      <c r="Q2" s="9"/>
      <c r="R2" s="9"/>
      <c r="S2" s="9"/>
      <c r="T2" s="9"/>
      <c r="U2" s="9"/>
      <c r="V2" s="9"/>
      <c r="W2" s="9"/>
      <c r="X2" s="9"/>
      <c r="Y2" s="9"/>
    </row>
    <row r="3" spans="1:25" ht="15">
      <c r="A3" t="s">
        <v>10</v>
      </c>
      <c r="B3" t="s">
        <v>2757</v>
      </c>
      <c r="E3" s="8" t="s">
        <v>6722</v>
      </c>
      <c r="H3" s="205" t="str">
        <f t="shared" ref="H3:H16" si="0">IF(E3 =" ","",E3)</f>
        <v>Endtime interview</v>
      </c>
      <c r="I3" s="212" t="s">
        <v>16</v>
      </c>
    </row>
    <row r="4" spans="1:25" ht="15">
      <c r="A4" t="s">
        <v>11</v>
      </c>
      <c r="B4" t="s">
        <v>11</v>
      </c>
      <c r="H4" s="205"/>
      <c r="I4" s="212" t="s">
        <v>17</v>
      </c>
    </row>
    <row r="5" spans="1:25" ht="15">
      <c r="A5" t="s">
        <v>2758</v>
      </c>
      <c r="B5" t="s">
        <v>2758</v>
      </c>
      <c r="H5" s="205"/>
      <c r="I5" s="212" t="s">
        <v>17</v>
      </c>
    </row>
    <row r="6" spans="1:25" ht="15">
      <c r="A6" t="s">
        <v>2759</v>
      </c>
      <c r="B6" t="s">
        <v>2760</v>
      </c>
      <c r="H6" s="205"/>
      <c r="I6" s="212" t="s">
        <v>17</v>
      </c>
    </row>
    <row r="7" spans="1:25" ht="15">
      <c r="A7" t="s">
        <v>2761</v>
      </c>
      <c r="B7" t="s">
        <v>2762</v>
      </c>
      <c r="H7" s="205"/>
      <c r="I7" s="212" t="s">
        <v>17</v>
      </c>
    </row>
    <row r="8" spans="1:25" ht="15">
      <c r="A8" t="s">
        <v>2473</v>
      </c>
      <c r="B8" t="s">
        <v>2763</v>
      </c>
      <c r="F8" s="118" t="str">
        <f>D8&amp;E8</f>
        <v/>
      </c>
      <c r="H8" s="205"/>
      <c r="I8" s="212" t="s">
        <v>17</v>
      </c>
      <c r="P8" s="101" t="s">
        <v>2764</v>
      </c>
    </row>
    <row r="9" spans="1:25" ht="15">
      <c r="A9" t="s">
        <v>2473</v>
      </c>
      <c r="B9" t="s">
        <v>4124</v>
      </c>
      <c r="F9" s="118" t="str">
        <f>D9&amp;E9</f>
        <v/>
      </c>
      <c r="H9" s="205"/>
      <c r="I9" s="212" t="s">
        <v>17</v>
      </c>
      <c r="P9" s="101" t="s">
        <v>4125</v>
      </c>
    </row>
    <row r="10" spans="1:25" ht="15">
      <c r="A10" t="s">
        <v>2473</v>
      </c>
      <c r="B10" t="s">
        <v>2765</v>
      </c>
      <c r="H10" s="205"/>
      <c r="I10" s="212" t="s">
        <v>17</v>
      </c>
      <c r="P10" s="101" t="s">
        <v>2766</v>
      </c>
    </row>
    <row r="11" spans="1:25" ht="15">
      <c r="H11" s="205"/>
    </row>
    <row r="12" spans="1:25" ht="14.25" customHeight="1">
      <c r="A12" s="162" t="s">
        <v>2473</v>
      </c>
      <c r="B12" s="1" t="s">
        <v>4799</v>
      </c>
      <c r="E12" s="118" t="s">
        <v>6724</v>
      </c>
      <c r="H12" s="205" t="str">
        <f t="shared" si="0"/>
        <v>Record code</v>
      </c>
      <c r="I12" s="212" t="s">
        <v>16</v>
      </c>
      <c r="P12" s="101" t="s">
        <v>4800</v>
      </c>
    </row>
    <row r="13" spans="1:25" ht="15">
      <c r="A13" t="s">
        <v>2473</v>
      </c>
      <c r="B13" t="s">
        <v>2767</v>
      </c>
      <c r="H13" s="205"/>
      <c r="I13" s="212" t="s">
        <v>17</v>
      </c>
      <c r="P13" s="101" t="str">
        <f>"concat('"&amp;settings!$B$2&amp;"'"&amp;",' - HF: ',${f1_hf_lb},' - Region: ',${f1_region_lb},'- District: ',${f1_district_lb},' - Village: ',${f1_village_lb},' - Location: ',${f1_location},' - ',${starttime_str})"</f>
        <v>concat('GAMBIA_EL_F1_HF_TEST_G15',' - HF: ',${f1_hf_lb},' - Region: ',${f1_region_lb},'- District: ',${f1_district_lb},' - Village: ',${f1_village_lb},' - Location: ',${f1_location},' - ',${starttime_str})</v>
      </c>
    </row>
    <row r="14" spans="1:25" s="10" customFormat="1" ht="15.75">
      <c r="A14" s="10" t="s">
        <v>2473</v>
      </c>
      <c r="B14" s="10" t="s">
        <v>2768</v>
      </c>
      <c r="E14" s="10" t="s">
        <v>6725</v>
      </c>
      <c r="H14" s="205" t="str">
        <f t="shared" si="0"/>
        <v>Username's Enumerator</v>
      </c>
      <c r="I14" s="212" t="s">
        <v>16</v>
      </c>
      <c r="P14" s="160" t="s">
        <v>4320</v>
      </c>
    </row>
    <row r="15" spans="1:25" s="10" customFormat="1" ht="15.75">
      <c r="A15" s="10" t="s">
        <v>2473</v>
      </c>
      <c r="B15" s="10" t="s">
        <v>4321</v>
      </c>
      <c r="E15" s="10" t="s">
        <v>6726</v>
      </c>
      <c r="H15" s="205" t="str">
        <f t="shared" si="0"/>
        <v>Fullname's Enumerator</v>
      </c>
      <c r="I15" s="212" t="s">
        <v>16</v>
      </c>
      <c r="P15" s="160" t="s">
        <v>4322</v>
      </c>
    </row>
    <row r="16" spans="1:25" s="10" customFormat="1" ht="15.75">
      <c r="A16" s="10" t="s">
        <v>2473</v>
      </c>
      <c r="B16" s="10" t="s">
        <v>4323</v>
      </c>
      <c r="E16" s="10" t="s">
        <v>6727</v>
      </c>
      <c r="H16" s="205" t="str">
        <f t="shared" si="0"/>
        <v>Code's Enumerator</v>
      </c>
      <c r="I16" s="212" t="s">
        <v>16</v>
      </c>
      <c r="P16" s="160" t="s">
        <v>4324</v>
      </c>
    </row>
    <row r="17" spans="1:24" s="10" customFormat="1" ht="15.75">
      <c r="A17" s="161" t="s">
        <v>2473</v>
      </c>
      <c r="B17" s="161" t="s">
        <v>1544</v>
      </c>
      <c r="H17" s="205"/>
      <c r="I17" s="203" t="s">
        <v>17</v>
      </c>
      <c r="P17" s="160" t="str">
        <f>"concat('"&amp;settings!$B$2&amp;"')"</f>
        <v>concat('GAMBIA_EL_F1_HF_TEST_G15')</v>
      </c>
    </row>
    <row r="18" spans="1:24" s="10" customFormat="1" ht="15.75">
      <c r="A18" s="161" t="s">
        <v>2473</v>
      </c>
      <c r="B18" s="161" t="s">
        <v>4325</v>
      </c>
      <c r="H18" s="205"/>
      <c r="I18" s="203" t="s">
        <v>17</v>
      </c>
      <c r="P18" s="160" t="s">
        <v>5305</v>
      </c>
    </row>
    <row r="19" spans="1:24" s="10" customFormat="1" ht="15.75">
      <c r="A19" s="161" t="s">
        <v>2473</v>
      </c>
      <c r="B19" s="161" t="s">
        <v>4326</v>
      </c>
      <c r="H19" s="205"/>
      <c r="I19" s="203" t="s">
        <v>17</v>
      </c>
      <c r="P19" s="160" t="s">
        <v>4327</v>
      </c>
    </row>
    <row r="20" spans="1:24" s="10" customFormat="1" ht="15.75">
      <c r="A20" s="161" t="s">
        <v>2473</v>
      </c>
      <c r="B20" s="161" t="s">
        <v>4328</v>
      </c>
      <c r="H20" s="205"/>
      <c r="I20" s="203" t="s">
        <v>17</v>
      </c>
      <c r="P20" s="160" t="s">
        <v>4329</v>
      </c>
    </row>
    <row r="21" spans="1:24" ht="15"/>
    <row r="22" spans="1:24" s="138" customFormat="1" ht="15.75">
      <c r="A22" s="154" t="s">
        <v>264</v>
      </c>
      <c r="B22" s="155" t="s">
        <v>4309</v>
      </c>
      <c r="E22" s="139"/>
      <c r="F22" s="140"/>
      <c r="H22" s="207"/>
      <c r="I22" s="141"/>
      <c r="K22" s="156"/>
      <c r="L22" s="157"/>
      <c r="N22" s="144"/>
      <c r="P22" s="158"/>
      <c r="Q22" s="146"/>
    </row>
    <row r="23" spans="1:24" ht="15.75">
      <c r="A23" s="136" t="s">
        <v>16</v>
      </c>
      <c r="B23" s="137" t="s">
        <v>4310</v>
      </c>
      <c r="E23" s="147" t="s">
        <v>4311</v>
      </c>
      <c r="F23" s="148" t="s">
        <v>4311</v>
      </c>
      <c r="I23" s="149" t="s">
        <v>17</v>
      </c>
      <c r="J23"/>
      <c r="K23" s="142"/>
      <c r="L23" s="143"/>
      <c r="M23"/>
      <c r="N23" s="150"/>
      <c r="O23"/>
      <c r="P23" s="145"/>
      <c r="Q23" s="151"/>
    </row>
    <row r="24" spans="1:24" ht="15.75">
      <c r="A24" s="136" t="s">
        <v>16</v>
      </c>
      <c r="B24" s="137" t="s">
        <v>4312</v>
      </c>
      <c r="E24" s="147" t="s">
        <v>4313</v>
      </c>
      <c r="F24" s="148" t="s">
        <v>4313</v>
      </c>
      <c r="I24" s="149" t="s">
        <v>17</v>
      </c>
      <c r="J24"/>
      <c r="K24" s="142"/>
      <c r="L24" s="143"/>
      <c r="M24"/>
      <c r="N24" s="150"/>
      <c r="O24"/>
      <c r="P24" s="145"/>
      <c r="Q24" s="151"/>
    </row>
    <row r="25" spans="1:24" ht="15.75">
      <c r="A25" s="136" t="s">
        <v>16</v>
      </c>
      <c r="B25" s="137" t="s">
        <v>4314</v>
      </c>
      <c r="E25" s="147" t="s">
        <v>4315</v>
      </c>
      <c r="F25" s="148" t="s">
        <v>4315</v>
      </c>
      <c r="I25" s="149" t="s">
        <v>17</v>
      </c>
      <c r="J25"/>
      <c r="K25" s="142"/>
      <c r="L25" s="143"/>
      <c r="M25"/>
      <c r="N25" s="150"/>
      <c r="O25"/>
      <c r="P25" s="145"/>
      <c r="Q25" s="151"/>
    </row>
    <row r="26" spans="1:24" ht="15.75">
      <c r="A26" s="136" t="s">
        <v>16</v>
      </c>
      <c r="B26" s="137" t="s">
        <v>4316</v>
      </c>
      <c r="E26" s="147" t="s">
        <v>4317</v>
      </c>
      <c r="F26" s="148" t="s">
        <v>4317</v>
      </c>
      <c r="I26" s="149" t="s">
        <v>17</v>
      </c>
      <c r="J26"/>
      <c r="K26" s="142"/>
      <c r="L26" s="143"/>
      <c r="M26"/>
      <c r="N26" s="150"/>
      <c r="O26"/>
      <c r="P26" s="145"/>
      <c r="Q26" s="151"/>
    </row>
    <row r="27" spans="1:24" ht="15.75">
      <c r="A27" s="136" t="s">
        <v>16</v>
      </c>
      <c r="B27" s="137" t="s">
        <v>4318</v>
      </c>
      <c r="E27" s="147" t="s">
        <v>4319</v>
      </c>
      <c r="F27" s="148" t="s">
        <v>4319</v>
      </c>
      <c r="I27" s="149" t="s">
        <v>17</v>
      </c>
      <c r="J27"/>
      <c r="K27" s="142"/>
      <c r="L27" s="143"/>
      <c r="M27"/>
      <c r="N27" s="150"/>
      <c r="O27"/>
      <c r="P27" s="145"/>
      <c r="Q27" s="151"/>
    </row>
    <row r="28" spans="1:24" ht="15.75">
      <c r="A28" s="159" t="s">
        <v>281</v>
      </c>
      <c r="B28" s="137"/>
      <c r="E28" s="152"/>
      <c r="F28" s="153"/>
      <c r="I28" s="149"/>
      <c r="J28"/>
      <c r="K28" s="142"/>
      <c r="L28" s="143"/>
      <c r="M28"/>
      <c r="N28" s="150"/>
      <c r="O28"/>
      <c r="P28" s="145"/>
      <c r="Q28" s="151"/>
    </row>
    <row r="30" spans="1:24" ht="15">
      <c r="A30" t="s">
        <v>2683</v>
      </c>
      <c r="B30" t="s">
        <v>2783</v>
      </c>
      <c r="E30" s="118" t="s">
        <v>2784</v>
      </c>
      <c r="J30" s="106" t="s">
        <v>2778</v>
      </c>
      <c r="X30" t="s">
        <v>2778</v>
      </c>
    </row>
    <row r="31" spans="1:24" ht="14.25" customHeight="1">
      <c r="A31" t="s">
        <v>12</v>
      </c>
      <c r="B31" t="s">
        <v>4394</v>
      </c>
      <c r="J31" s="106" t="s">
        <v>5387</v>
      </c>
      <c r="X31" t="s">
        <v>3033</v>
      </c>
    </row>
    <row r="32" spans="1:24" ht="14.25" customHeight="1">
      <c r="A32" s="162" t="s">
        <v>17</v>
      </c>
      <c r="B32" s="162" t="s">
        <v>4330</v>
      </c>
      <c r="E32" s="132" t="s">
        <v>5391</v>
      </c>
      <c r="I32" s="213" t="s">
        <v>17</v>
      </c>
      <c r="J32" s="106" t="s">
        <v>4334</v>
      </c>
    </row>
    <row r="33" spans="1:24" ht="14.25" customHeight="1">
      <c r="A33" t="s">
        <v>17</v>
      </c>
      <c r="B33" s="162" t="s">
        <v>4331</v>
      </c>
      <c r="E33" s="118" t="s">
        <v>5388</v>
      </c>
      <c r="I33" s="213" t="s">
        <v>17</v>
      </c>
      <c r="J33" s="106" t="s">
        <v>5307</v>
      </c>
    </row>
    <row r="34" spans="1:24" ht="14.25" customHeight="1">
      <c r="A34" t="s">
        <v>4245</v>
      </c>
      <c r="B34" t="s">
        <v>4402</v>
      </c>
      <c r="E34" s="118" t="s">
        <v>4404</v>
      </c>
      <c r="F34" s="118" t="s">
        <v>6513</v>
      </c>
      <c r="H34" s="206" t="str">
        <f>E34</f>
        <v>HEALTH REGION CODE</v>
      </c>
      <c r="I34" s="213" t="s">
        <v>6728</v>
      </c>
      <c r="J34" s="106" t="s">
        <v>6707</v>
      </c>
      <c r="K34" s="116" t="s">
        <v>2443</v>
      </c>
      <c r="L34" s="118" t="str">
        <f>"("&amp;E34&amp;") Sorry, question  is required!"</f>
        <v>(HEALTH REGION CODE) Sorry, question  is required!</v>
      </c>
      <c r="M34" s="113" t="s">
        <v>5377</v>
      </c>
      <c r="N34" t="s">
        <v>5373</v>
      </c>
    </row>
    <row r="35" spans="1:24" ht="14.25" customHeight="1">
      <c r="A35" t="s">
        <v>2473</v>
      </c>
      <c r="B35" t="s">
        <v>4246</v>
      </c>
      <c r="E35" s="118" t="s">
        <v>4403</v>
      </c>
      <c r="H35" s="206" t="str">
        <f>E35</f>
        <v>HEALTH REGION NAME</v>
      </c>
      <c r="I35" s="213" t="s">
        <v>16</v>
      </c>
      <c r="P35" s="101" t="s">
        <v>5306</v>
      </c>
    </row>
    <row r="36" spans="1:24" ht="14.25" customHeight="1">
      <c r="A36" t="s">
        <v>4400</v>
      </c>
      <c r="B36" t="s">
        <v>4332</v>
      </c>
      <c r="E36" s="118" t="s">
        <v>4333</v>
      </c>
      <c r="F36" s="118" t="s">
        <v>6514</v>
      </c>
      <c r="H36" s="206" t="str">
        <f>E36</f>
        <v>HF NUMBER</v>
      </c>
      <c r="I36" s="213" t="s">
        <v>6729</v>
      </c>
      <c r="J36" s="106" t="s">
        <v>6515</v>
      </c>
      <c r="K36" s="116" t="s">
        <v>2443</v>
      </c>
      <c r="L36" s="118" t="str">
        <f>"("&amp;E36&amp;") Sorry, question  is required!"</f>
        <v>(HF NUMBER) Sorry, question  is required!</v>
      </c>
      <c r="M36" s="113" t="s">
        <v>5377</v>
      </c>
      <c r="N36" t="s">
        <v>5374</v>
      </c>
    </row>
    <row r="37" spans="1:24" ht="14.25" customHeight="1">
      <c r="A37" t="s">
        <v>5596</v>
      </c>
      <c r="B37" t="s">
        <v>4384</v>
      </c>
      <c r="E37" s="118" t="s">
        <v>5382</v>
      </c>
      <c r="F37" s="118" t="s">
        <v>5605</v>
      </c>
      <c r="H37" s="206" t="s">
        <v>5381</v>
      </c>
      <c r="I37" s="213" t="s">
        <v>6730</v>
      </c>
      <c r="J37" s="106" t="s">
        <v>6517</v>
      </c>
      <c r="K37" s="116" t="s">
        <v>2443</v>
      </c>
      <c r="L37" s="118" t="str">
        <f>"("&amp;E37&amp;") Sorry, question  is required!"</f>
        <v>(LGA NAME:) Sorry, question  is required!</v>
      </c>
    </row>
    <row r="38" spans="1:24" ht="14.25" customHeight="1">
      <c r="A38" t="s">
        <v>16</v>
      </c>
      <c r="B38" t="s">
        <v>5598</v>
      </c>
      <c r="E38" s="118" t="s">
        <v>5381</v>
      </c>
      <c r="I38" s="213" t="s">
        <v>17</v>
      </c>
      <c r="J38" s="106" t="s">
        <v>6516</v>
      </c>
      <c r="K38" s="116" t="s">
        <v>2443</v>
      </c>
      <c r="L38" s="118" t="str">
        <f>"("&amp;E38&amp;") Sorry, question  is required!"</f>
        <v>(LGA CODE:) Sorry, question  is required!</v>
      </c>
      <c r="O38" s="110" t="s">
        <v>6520</v>
      </c>
      <c r="T38" t="s">
        <v>2443</v>
      </c>
    </row>
    <row r="39" spans="1:24" ht="14.25" customHeight="1">
      <c r="A39" t="s">
        <v>2473</v>
      </c>
      <c r="B39" t="s">
        <v>4383</v>
      </c>
      <c r="E39" s="118" t="s">
        <v>5382</v>
      </c>
      <c r="H39" s="206" t="str">
        <f>E39</f>
        <v>LGA NAME:</v>
      </c>
      <c r="I39" s="213" t="s">
        <v>16</v>
      </c>
      <c r="P39" s="101" t="s">
        <v>5600</v>
      </c>
    </row>
    <row r="40" spans="1:24" ht="14.25" customHeight="1">
      <c r="A40" t="s">
        <v>5597</v>
      </c>
      <c r="B40" t="s">
        <v>4385</v>
      </c>
      <c r="E40" s="118" t="s">
        <v>5384</v>
      </c>
      <c r="F40" s="118" t="s">
        <v>5604</v>
      </c>
      <c r="H40" s="206" t="s">
        <v>5383</v>
      </c>
      <c r="I40" s="213" t="s">
        <v>6731</v>
      </c>
      <c r="J40" s="106" t="s">
        <v>6519</v>
      </c>
      <c r="K40" s="116" t="s">
        <v>2443</v>
      </c>
      <c r="L40" s="118" t="str">
        <f>"("&amp;E40&amp;") Sorry, question  is required!"</f>
        <v>(DISTRICT NAME:) Sorry, question  is required!</v>
      </c>
    </row>
    <row r="41" spans="1:24" ht="14.25" customHeight="1">
      <c r="A41" t="s">
        <v>16</v>
      </c>
      <c r="B41" t="s">
        <v>5599</v>
      </c>
      <c r="E41" s="118" t="s">
        <v>5383</v>
      </c>
      <c r="I41" s="213" t="s">
        <v>17</v>
      </c>
      <c r="J41" s="106" t="s">
        <v>6518</v>
      </c>
      <c r="K41" s="116" t="s">
        <v>2443</v>
      </c>
      <c r="L41" s="118" t="str">
        <f>"("&amp;E41&amp;") Sorry, question  is required!"</f>
        <v>(DISTRICT CODE:) Sorry, question  is required!</v>
      </c>
      <c r="O41" s="110" t="s">
        <v>6521</v>
      </c>
      <c r="T41" t="s">
        <v>2443</v>
      </c>
    </row>
    <row r="42" spans="1:24" ht="14.25" customHeight="1">
      <c r="A42" t="s">
        <v>2473</v>
      </c>
      <c r="B42" t="s">
        <v>4386</v>
      </c>
      <c r="E42" s="118" t="s">
        <v>5384</v>
      </c>
      <c r="H42" s="206" t="str">
        <f>E42</f>
        <v>DISTRICT NAME:</v>
      </c>
      <c r="I42" s="213" t="s">
        <v>16</v>
      </c>
      <c r="P42" s="101" t="s">
        <v>5601</v>
      </c>
    </row>
    <row r="43" spans="1:24" ht="14.25" customHeight="1">
      <c r="A43" t="s">
        <v>16</v>
      </c>
      <c r="B43" t="s">
        <v>4387</v>
      </c>
      <c r="E43" s="118" t="s">
        <v>5385</v>
      </c>
      <c r="H43" s="206" t="str">
        <f t="shared" ref="H43:H44" si="1">E43</f>
        <v>VILLAGE CODE:</v>
      </c>
      <c r="I43" s="213" t="s">
        <v>16</v>
      </c>
      <c r="J43" s="106" t="s">
        <v>5390</v>
      </c>
      <c r="K43" s="116" t="s">
        <v>2443</v>
      </c>
      <c r="L43" s="118" t="str">
        <f>"("&amp;E43&amp;") Sorry, question  is required!"</f>
        <v>(VILLAGE CODE:) Sorry, question  is required!</v>
      </c>
    </row>
    <row r="44" spans="1:24" ht="14.25" customHeight="1">
      <c r="A44" t="s">
        <v>16</v>
      </c>
      <c r="B44" t="s">
        <v>4388</v>
      </c>
      <c r="E44" s="118" t="s">
        <v>5386</v>
      </c>
      <c r="H44" s="206" t="str">
        <f t="shared" si="1"/>
        <v>VILLAGE NAME:</v>
      </c>
      <c r="I44" s="213" t="s">
        <v>16</v>
      </c>
      <c r="J44" s="106" t="s">
        <v>5389</v>
      </c>
      <c r="K44" s="116" t="s">
        <v>2443</v>
      </c>
      <c r="L44" s="118" t="str">
        <f>"("&amp;E44&amp;") Sorry, question  is required!"</f>
        <v>(VILLAGE NAME:) Sorry, question  is required!</v>
      </c>
    </row>
    <row r="45" spans="1:24" ht="14.25" customHeight="1">
      <c r="A45" t="s">
        <v>4390</v>
      </c>
      <c r="B45" t="s">
        <v>4391</v>
      </c>
      <c r="E45" s="118" t="s">
        <v>4389</v>
      </c>
      <c r="F45" s="118" t="s">
        <v>4393</v>
      </c>
      <c r="J45" s="106" t="s">
        <v>4392</v>
      </c>
      <c r="K45" s="116" t="s">
        <v>2443</v>
      </c>
      <c r="S45" t="s">
        <v>2443</v>
      </c>
    </row>
    <row r="46" spans="1:24" ht="14.25" customHeight="1">
      <c r="A46" t="s">
        <v>15</v>
      </c>
      <c r="X46" t="s">
        <v>3033</v>
      </c>
    </row>
    <row r="47" spans="1:24" ht="14.25" customHeight="1">
      <c r="A47" t="s">
        <v>12</v>
      </c>
      <c r="B47" t="s">
        <v>4395</v>
      </c>
      <c r="J47" s="106" t="s">
        <v>4419</v>
      </c>
      <c r="X47" t="s">
        <v>3033</v>
      </c>
    </row>
    <row r="48" spans="1:24" ht="15">
      <c r="A48" t="s">
        <v>5595</v>
      </c>
      <c r="B48" s="107" t="s">
        <v>4398</v>
      </c>
      <c r="E48" s="118" t="s">
        <v>4397</v>
      </c>
      <c r="F48" s="118" t="s">
        <v>5603</v>
      </c>
      <c r="H48" s="206" t="s">
        <v>6732</v>
      </c>
      <c r="I48" s="213" t="s">
        <v>6733</v>
      </c>
      <c r="J48" s="106" t="s">
        <v>6678</v>
      </c>
      <c r="K48" s="116" t="s">
        <v>2443</v>
      </c>
      <c r="L48" s="118" t="str">
        <f>"("&amp;E48&amp;") Sorry, question  is required!"</f>
        <v>(NAME OF HEALTH FACILITY) Sorry, question  is required!</v>
      </c>
      <c r="M48" s="113" t="s">
        <v>5377</v>
      </c>
      <c r="N48" t="s">
        <v>5376</v>
      </c>
    </row>
    <row r="49" spans="1:24" ht="15">
      <c r="A49" s="107" t="s">
        <v>2473</v>
      </c>
      <c r="B49" s="107" t="s">
        <v>4399</v>
      </c>
      <c r="E49" s="118" t="s">
        <v>4397</v>
      </c>
      <c r="H49" s="206" t="str">
        <f>E49</f>
        <v>NAME OF HEALTH FACILITY</v>
      </c>
      <c r="I49" s="213" t="s">
        <v>16</v>
      </c>
      <c r="P49" s="101" t="s">
        <v>5287</v>
      </c>
    </row>
    <row r="50" spans="1:24" ht="15">
      <c r="A50" t="s">
        <v>16</v>
      </c>
      <c r="B50" s="107" t="s">
        <v>5602</v>
      </c>
      <c r="E50" s="118" t="s">
        <v>4396</v>
      </c>
      <c r="H50" s="206" t="str">
        <f>E50</f>
        <v>LOCATION OF HEALTH FACILITY</v>
      </c>
      <c r="I50" s="213" t="s">
        <v>16</v>
      </c>
      <c r="K50" s="116" t="s">
        <v>2443</v>
      </c>
      <c r="L50" s="118" t="str">
        <f>"("&amp;E50&amp;") Sorry, question  is required!"</f>
        <v>(LOCATION OF HEALTH FACILITY) Sorry, question  is required!</v>
      </c>
      <c r="M50" s="113" t="s">
        <v>5377</v>
      </c>
      <c r="N50" t="s">
        <v>5375</v>
      </c>
    </row>
    <row r="51" spans="1:24" ht="15">
      <c r="A51" s="107" t="s">
        <v>4409</v>
      </c>
      <c r="B51" s="107" t="s">
        <v>4406</v>
      </c>
      <c r="E51" s="118" t="s">
        <v>4405</v>
      </c>
      <c r="H51" s="206" t="str">
        <f>E51</f>
        <v>TYPE OF HEALTH FACILITY</v>
      </c>
      <c r="I51" s="213" t="s">
        <v>4409</v>
      </c>
      <c r="J51" s="106" t="s">
        <v>4407</v>
      </c>
      <c r="K51" s="116" t="s">
        <v>2443</v>
      </c>
      <c r="L51" s="118" t="str">
        <f>"("&amp;E51&amp;") Sorry, question  is required!"</f>
        <v>(TYPE OF HEALTH FACILITY) Sorry, question  is required!</v>
      </c>
    </row>
    <row r="52" spans="1:24" ht="14.25" customHeight="1">
      <c r="A52" t="s">
        <v>15</v>
      </c>
      <c r="X52" t="s">
        <v>3033</v>
      </c>
    </row>
    <row r="53" spans="1:24" ht="14.25" customHeight="1">
      <c r="A53" s="1" t="s">
        <v>12</v>
      </c>
      <c r="B53" s="1" t="s">
        <v>4412</v>
      </c>
      <c r="J53" s="106" t="s">
        <v>5387</v>
      </c>
      <c r="X53" t="s">
        <v>3033</v>
      </c>
    </row>
    <row r="54" spans="1:24" ht="14.25" customHeight="1">
      <c r="A54" s="1" t="s">
        <v>4413</v>
      </c>
      <c r="B54" s="107" t="s">
        <v>4424</v>
      </c>
      <c r="E54" s="132" t="s">
        <v>4414</v>
      </c>
      <c r="H54" s="206" t="str">
        <f>E54</f>
        <v>VISITS</v>
      </c>
      <c r="I54" s="213" t="str">
        <f>A54</f>
        <v>select_one visit</v>
      </c>
      <c r="J54" s="106" t="s">
        <v>4428</v>
      </c>
      <c r="K54" s="116" t="s">
        <v>2443</v>
      </c>
      <c r="L54" s="118" t="str">
        <f>"("&amp;E54&amp;") Sorry, question  is required!"</f>
        <v>(VISITS) Sorry, question  is required!</v>
      </c>
    </row>
    <row r="55" spans="1:24" ht="14.25" customHeight="1">
      <c r="A55" s="1" t="s">
        <v>2473</v>
      </c>
      <c r="B55" s="107" t="s">
        <v>4423</v>
      </c>
      <c r="E55" s="132"/>
      <c r="I55" s="213" t="s">
        <v>17</v>
      </c>
      <c r="P55" s="101" t="s">
        <v>4425</v>
      </c>
    </row>
    <row r="56" spans="1:24" ht="14.25" customHeight="1">
      <c r="A56" s="1" t="s">
        <v>4420</v>
      </c>
      <c r="B56" s="107" t="s">
        <v>4421</v>
      </c>
      <c r="E56" s="132" t="s">
        <v>4442</v>
      </c>
      <c r="H56" s="206" t="str">
        <f>E56</f>
        <v>VISIT DATE</v>
      </c>
      <c r="I56" s="213" t="s">
        <v>16</v>
      </c>
      <c r="J56" s="142" t="s">
        <v>4429</v>
      </c>
      <c r="K56" s="116" t="s">
        <v>2443</v>
      </c>
      <c r="L56" s="118" t="str">
        <f t="shared" ref="L56:L61" si="2">"("&amp;E56&amp;") Sorry, question  is required!"</f>
        <v>(VISIT DATE) Sorry, question  is required!</v>
      </c>
      <c r="M56" s="113" t="s">
        <v>4426</v>
      </c>
      <c r="N56" s="1" t="s">
        <v>4427</v>
      </c>
    </row>
    <row r="57" spans="1:24" ht="14.25" customHeight="1">
      <c r="A57" s="1" t="s">
        <v>16</v>
      </c>
      <c r="B57" s="107" t="s">
        <v>4430</v>
      </c>
      <c r="E57" s="132" t="s">
        <v>4432</v>
      </c>
      <c r="I57" s="213" t="s">
        <v>17</v>
      </c>
      <c r="J57" s="106" t="s">
        <v>4434</v>
      </c>
      <c r="K57" s="116" t="s">
        <v>2443</v>
      </c>
      <c r="L57" s="118" t="str">
        <f t="shared" si="2"/>
        <v>(INTERVIEWER) Sorry, question  is required!</v>
      </c>
      <c r="T57" t="s">
        <v>2443</v>
      </c>
    </row>
    <row r="58" spans="1:24" ht="14.25" customHeight="1">
      <c r="A58" s="1" t="s">
        <v>16</v>
      </c>
      <c r="B58" s="107" t="s">
        <v>4431</v>
      </c>
      <c r="E58" s="132" t="s">
        <v>4433</v>
      </c>
      <c r="I58" s="213" t="s">
        <v>17</v>
      </c>
      <c r="J58" s="106" t="s">
        <v>4435</v>
      </c>
      <c r="K58" s="116" t="s">
        <v>2443</v>
      </c>
      <c r="L58" s="118" t="str">
        <f t="shared" si="2"/>
        <v>(CODE) Sorry, question  is required!</v>
      </c>
      <c r="T58" t="s">
        <v>2443</v>
      </c>
    </row>
    <row r="59" spans="1:24" ht="14.25" customHeight="1">
      <c r="A59" s="1" t="s">
        <v>16</v>
      </c>
      <c r="B59" s="107" t="s">
        <v>4436</v>
      </c>
      <c r="E59" s="118" t="s">
        <v>4438</v>
      </c>
      <c r="H59" s="206" t="s">
        <v>6734</v>
      </c>
      <c r="I59" s="213" t="s">
        <v>16</v>
      </c>
      <c r="J59" s="106" t="s">
        <v>4439</v>
      </c>
      <c r="K59" s="116" t="s">
        <v>2443</v>
      </c>
      <c r="L59" s="118" t="str">
        <f t="shared" si="2"/>
        <v>(SUPERVISOR) Sorry, question  is required!</v>
      </c>
    </row>
    <row r="60" spans="1:24" ht="14.25" customHeight="1">
      <c r="A60" s="1" t="s">
        <v>16</v>
      </c>
      <c r="B60" s="107" t="s">
        <v>4437</v>
      </c>
      <c r="E60" s="163" t="s">
        <v>4433</v>
      </c>
      <c r="H60" s="206" t="s">
        <v>6735</v>
      </c>
      <c r="I60" s="213" t="s">
        <v>16</v>
      </c>
      <c r="J60" s="106" t="s">
        <v>4440</v>
      </c>
      <c r="K60" s="116" t="s">
        <v>2443</v>
      </c>
      <c r="L60" s="118" t="str">
        <f t="shared" si="2"/>
        <v>(CODE) Sorry, question  is required!</v>
      </c>
    </row>
    <row r="61" spans="1:24" ht="14.25" customHeight="1">
      <c r="A61" s="1" t="s">
        <v>4420</v>
      </c>
      <c r="B61" s="107" t="s">
        <v>4441</v>
      </c>
      <c r="E61" s="163" t="s">
        <v>4422</v>
      </c>
      <c r="H61" s="206" t="str">
        <f>E61</f>
        <v>DATE</v>
      </c>
      <c r="I61" s="213" t="s">
        <v>16</v>
      </c>
      <c r="J61" s="142" t="s">
        <v>4443</v>
      </c>
      <c r="K61" s="116" t="s">
        <v>2443</v>
      </c>
      <c r="L61" s="118" t="str">
        <f t="shared" si="2"/>
        <v>(DATE) Sorry, question  is required!</v>
      </c>
    </row>
    <row r="62" spans="1:24" ht="14.25" customHeight="1">
      <c r="A62" t="s">
        <v>15</v>
      </c>
      <c r="X62" t="s">
        <v>3033</v>
      </c>
    </row>
    <row r="63" spans="1:24" ht="13.5" customHeight="1">
      <c r="A63" t="s">
        <v>5249</v>
      </c>
      <c r="B63" t="s">
        <v>5250</v>
      </c>
      <c r="E63" s="118" t="s">
        <v>5251</v>
      </c>
      <c r="H63" s="206" t="str">
        <f>E63</f>
        <v>Do you agree to participate and answer the following survey questions?</v>
      </c>
      <c r="I63" s="213" t="str">
        <f>A63</f>
        <v>select_one accord</v>
      </c>
      <c r="J63" s="106" t="s">
        <v>4457</v>
      </c>
      <c r="K63" s="116" t="s">
        <v>2443</v>
      </c>
      <c r="L63" s="118" t="str">
        <f>"("&amp;E63&amp;") Sorry, question  is required!"</f>
        <v>(Do you agree to participate and answer the following survey questions?) Sorry, question  is required!</v>
      </c>
    </row>
    <row r="64" spans="1:24" ht="13.5" customHeight="1">
      <c r="A64" t="s">
        <v>15</v>
      </c>
      <c r="X64" t="s">
        <v>2778</v>
      </c>
    </row>
    <row r="65" spans="1:24" ht="13.15" customHeight="1"/>
    <row r="66" spans="1:24" ht="14.25" customHeight="1">
      <c r="A66" t="s">
        <v>19</v>
      </c>
      <c r="B66" t="s">
        <v>2102</v>
      </c>
      <c r="E66" s="118" t="s">
        <v>2785</v>
      </c>
      <c r="J66" s="106" t="s">
        <v>2778</v>
      </c>
      <c r="O66" s="110" t="s">
        <v>3582</v>
      </c>
      <c r="X66" t="s">
        <v>3032</v>
      </c>
    </row>
    <row r="67" spans="1:24" ht="14.25" customHeight="1">
      <c r="A67" t="s">
        <v>20</v>
      </c>
      <c r="B67" s="1" t="s">
        <v>4455</v>
      </c>
      <c r="J67" s="106" t="s">
        <v>3526</v>
      </c>
      <c r="X67" t="s">
        <v>3033</v>
      </c>
    </row>
    <row r="68" spans="1:24" ht="15" customHeight="1">
      <c r="A68" t="s">
        <v>17</v>
      </c>
      <c r="B68" s="1" t="s">
        <v>4445</v>
      </c>
      <c r="E68" s="130" t="s">
        <v>5308</v>
      </c>
      <c r="I68" s="213" t="str">
        <f>A68</f>
        <v>note</v>
      </c>
      <c r="J68" s="106" t="s">
        <v>3528</v>
      </c>
    </row>
    <row r="69" spans="1:24" ht="14.25" customHeight="1">
      <c r="A69" t="s">
        <v>21</v>
      </c>
      <c r="B69" s="1" t="s">
        <v>4446</v>
      </c>
      <c r="E69" s="130" t="s">
        <v>4147</v>
      </c>
      <c r="I69" s="213" t="str">
        <f>A69</f>
        <v>note</v>
      </c>
      <c r="J69" s="106" t="s">
        <v>3529</v>
      </c>
    </row>
    <row r="70" spans="1:24" ht="14.25" customHeight="1">
      <c r="A70" t="s">
        <v>22</v>
      </c>
      <c r="B70" s="1" t="s">
        <v>4447</v>
      </c>
      <c r="E70" s="130" t="s">
        <v>4200</v>
      </c>
      <c r="I70" s="213" t="str">
        <f>A70</f>
        <v>note</v>
      </c>
      <c r="J70" s="106" t="s">
        <v>3373</v>
      </c>
    </row>
    <row r="71" spans="1:24" ht="14.25" customHeight="1">
      <c r="A71" t="s">
        <v>15</v>
      </c>
      <c r="X71" t="s">
        <v>3033</v>
      </c>
    </row>
    <row r="72" spans="1:24" ht="14.25" customHeight="1">
      <c r="A72" t="s">
        <v>12</v>
      </c>
      <c r="B72" s="1" t="s">
        <v>4456</v>
      </c>
      <c r="J72" s="106" t="s">
        <v>13</v>
      </c>
      <c r="X72" t="s">
        <v>3033</v>
      </c>
    </row>
    <row r="73" spans="1:24" ht="14.25" customHeight="1">
      <c r="A73" t="s">
        <v>23</v>
      </c>
      <c r="B73" t="s">
        <v>24</v>
      </c>
      <c r="E73" s="118" t="s">
        <v>25</v>
      </c>
      <c r="H73" s="206" t="str">
        <f>E73</f>
        <v>(1.01) Are you in charge of this facility today?</v>
      </c>
      <c r="I73" s="213" t="str">
        <f>A73</f>
        <v>select_one yesno</v>
      </c>
      <c r="J73" s="106" t="s">
        <v>4457</v>
      </c>
      <c r="K73" s="116" t="s">
        <v>2443</v>
      </c>
      <c r="L73" s="118" t="str">
        <f>IF(K73="yes",("Sorry, question "&amp;LEFT(E73, 6)&amp;" is required!"),"")</f>
        <v>Sorry, question (1.01) is required!</v>
      </c>
    </row>
    <row r="74" spans="1:24" ht="14.25" customHeight="1">
      <c r="A74" t="s">
        <v>26</v>
      </c>
      <c r="B74" t="s">
        <v>27</v>
      </c>
      <c r="E74" s="132" t="s">
        <v>28</v>
      </c>
      <c r="H74" s="206" t="str">
        <f t="shared" ref="H74:H77" si="3">E74</f>
        <v>(1.02) Are you authorized to represent this facility?</v>
      </c>
      <c r="I74" s="213" t="str">
        <f t="shared" ref="I74:I77" si="4">A74</f>
        <v>select_one yesno</v>
      </c>
      <c r="J74" s="106" t="s">
        <v>4457</v>
      </c>
      <c r="K74" s="116" t="s">
        <v>2443</v>
      </c>
      <c r="L74" s="118" t="str">
        <f t="shared" ref="L74:L104" si="5">IF(K74="yes",("Sorry, question "&amp;LEFT(E74, 6)&amp;" is required!"),"")</f>
        <v>Sorry, question (1.02) is required!</v>
      </c>
    </row>
    <row r="75" spans="1:24" ht="14.25" customHeight="1">
      <c r="A75" t="s">
        <v>30</v>
      </c>
      <c r="B75" t="s">
        <v>31</v>
      </c>
      <c r="E75" s="118" t="s">
        <v>32</v>
      </c>
      <c r="H75" s="206" t="str">
        <f t="shared" si="3"/>
        <v>(1.03) What is your job title at this facility?</v>
      </c>
      <c r="I75" s="213" t="str">
        <f t="shared" si="4"/>
        <v>select_one job</v>
      </c>
      <c r="K75" s="116" t="s">
        <v>2443</v>
      </c>
      <c r="L75" s="118" t="str">
        <f t="shared" si="5"/>
        <v>Sorry, question (1.03) is required!</v>
      </c>
    </row>
    <row r="76" spans="1:24" ht="14.25" customHeight="1">
      <c r="A76" t="s">
        <v>33</v>
      </c>
      <c r="B76" t="s">
        <v>34</v>
      </c>
      <c r="E76" s="118" t="s">
        <v>35</v>
      </c>
      <c r="F76" s="118" t="s">
        <v>35</v>
      </c>
      <c r="H76" s="132" t="s">
        <v>6736</v>
      </c>
      <c r="I76" s="213" t="str">
        <f t="shared" si="4"/>
        <v>text</v>
      </c>
      <c r="J76" s="106" t="s">
        <v>2773</v>
      </c>
      <c r="K76" s="116" t="s">
        <v>2443</v>
      </c>
      <c r="L76" s="118" t="str">
        <f t="shared" si="5"/>
        <v>Sorry, question Other, is required!</v>
      </c>
      <c r="O76" s="110" t="s">
        <v>36</v>
      </c>
    </row>
    <row r="77" spans="1:24" ht="14.25" customHeight="1">
      <c r="A77" t="s">
        <v>37</v>
      </c>
      <c r="B77" t="s">
        <v>38</v>
      </c>
      <c r="E77" s="132" t="s">
        <v>4292</v>
      </c>
      <c r="H77" s="206" t="str">
        <f t="shared" si="3"/>
        <v>(1.04) Is this facility a hospital, a health center?</v>
      </c>
      <c r="I77" s="213" t="str">
        <f t="shared" si="4"/>
        <v>select_one hos</v>
      </c>
      <c r="K77" s="116" t="s">
        <v>2443</v>
      </c>
      <c r="L77" s="118" t="str">
        <f t="shared" si="5"/>
        <v>Sorry, question (1.04) is required!</v>
      </c>
    </row>
    <row r="78" spans="1:24" ht="14.25" customHeight="1">
      <c r="A78" t="s">
        <v>29</v>
      </c>
      <c r="L78" s="118" t="str">
        <f t="shared" si="5"/>
        <v/>
      </c>
      <c r="X78" t="s">
        <v>3033</v>
      </c>
    </row>
    <row r="79" spans="1:24" ht="14.25" customHeight="1">
      <c r="A79" t="s">
        <v>39</v>
      </c>
      <c r="B79" s="1" t="s">
        <v>4466</v>
      </c>
      <c r="J79" s="106" t="s">
        <v>3371</v>
      </c>
      <c r="L79" s="118" t="str">
        <f t="shared" si="5"/>
        <v/>
      </c>
      <c r="X79" t="s">
        <v>3033</v>
      </c>
    </row>
    <row r="80" spans="1:24" ht="14.25" customHeight="1">
      <c r="A80" s="1" t="s">
        <v>14</v>
      </c>
      <c r="B80" t="s">
        <v>2811</v>
      </c>
      <c r="E80" s="118" t="s">
        <v>3118</v>
      </c>
      <c r="F80" s="118" t="s">
        <v>3574</v>
      </c>
      <c r="H80" s="206" t="str">
        <f>E80</f>
        <v>(1.05) In what year was the facility commissioned?</v>
      </c>
      <c r="I80" s="213" t="str">
        <f>A80</f>
        <v>integer</v>
      </c>
      <c r="J80" s="106" t="s">
        <v>3370</v>
      </c>
      <c r="K80" s="116" t="s">
        <v>2443</v>
      </c>
      <c r="L80" s="118" t="str">
        <f t="shared" si="5"/>
        <v>Sorry, question (1.05) is required!</v>
      </c>
      <c r="M80" s="113" t="s">
        <v>4468</v>
      </c>
      <c r="N80" s="107" t="s">
        <v>4469</v>
      </c>
    </row>
    <row r="81" spans="1:25" ht="14.25" customHeight="1">
      <c r="A81" t="s">
        <v>17</v>
      </c>
      <c r="B81" s="1" t="s">
        <v>4470</v>
      </c>
      <c r="E81" s="132" t="s">
        <v>2812</v>
      </c>
      <c r="F81" s="118" t="s">
        <v>2712</v>
      </c>
      <c r="H81" s="206" t="str">
        <f t="shared" ref="H81:H84" si="6">E81</f>
        <v xml:space="preserve">(1.06) When was the last major investment in the infrastructure? </v>
      </c>
      <c r="I81" s="213" t="str">
        <f t="shared" ref="I81:I84" si="7">A81</f>
        <v>note</v>
      </c>
      <c r="J81" s="106" t="s">
        <v>3477</v>
      </c>
      <c r="L81" s="118" t="str">
        <f t="shared" si="5"/>
        <v/>
      </c>
    </row>
    <row r="82" spans="1:25" ht="14.25" customHeight="1">
      <c r="A82" t="s">
        <v>40</v>
      </c>
      <c r="B82" t="s">
        <v>2813</v>
      </c>
      <c r="E82" s="118" t="s">
        <v>5392</v>
      </c>
      <c r="F82" s="118" t="s">
        <v>5309</v>
      </c>
      <c r="H82" s="206" t="s">
        <v>6737</v>
      </c>
      <c r="I82" s="213" t="str">
        <f t="shared" si="7"/>
        <v>integer</v>
      </c>
      <c r="J82" s="106" t="s">
        <v>5394</v>
      </c>
      <c r="K82" s="116" t="s">
        <v>2443</v>
      </c>
      <c r="L82" s="118" t="str">
        <f>("Sorry, question "&amp;LEFT(E82, 6)&amp;" is required!")</f>
        <v>Sorry, question MONTH: is required!</v>
      </c>
      <c r="M82" s="113" t="s">
        <v>6720</v>
      </c>
      <c r="N82" t="s">
        <v>6833</v>
      </c>
    </row>
    <row r="83" spans="1:25" ht="14.25" customHeight="1">
      <c r="A83" t="s">
        <v>41</v>
      </c>
      <c r="B83" t="s">
        <v>2814</v>
      </c>
      <c r="E83" s="118" t="s">
        <v>5393</v>
      </c>
      <c r="F83" s="129" t="s">
        <v>4130</v>
      </c>
      <c r="H83" s="206" t="s">
        <v>6738</v>
      </c>
      <c r="I83" s="213" t="str">
        <f t="shared" si="7"/>
        <v>integer</v>
      </c>
      <c r="J83" s="106" t="s">
        <v>5395</v>
      </c>
      <c r="K83" s="116" t="s">
        <v>2443</v>
      </c>
      <c r="L83" s="118" t="str">
        <f t="shared" si="5"/>
        <v>Sorry, question YEAR: is required!</v>
      </c>
      <c r="M83" s="113" t="s">
        <v>6701</v>
      </c>
      <c r="N83" t="s">
        <v>6702</v>
      </c>
      <c r="Y83" s="113" t="s">
        <v>4262</v>
      </c>
    </row>
    <row r="84" spans="1:25" ht="14.25" customHeight="1">
      <c r="A84" s="1" t="s">
        <v>4471</v>
      </c>
      <c r="B84" t="s">
        <v>2815</v>
      </c>
      <c r="E84" s="118" t="s">
        <v>2816</v>
      </c>
      <c r="H84" s="206" t="str">
        <f t="shared" si="6"/>
        <v>(1.07) Does this facility provide care round-the-clock (i.e. 24 hours)?</v>
      </c>
      <c r="I84" s="213" t="str">
        <f t="shared" si="7"/>
        <v>select_one provide_care</v>
      </c>
      <c r="J84" s="106" t="s">
        <v>3495</v>
      </c>
      <c r="K84" s="116" t="s">
        <v>2443</v>
      </c>
      <c r="L84" s="118" t="str">
        <f t="shared" si="5"/>
        <v>Sorry, question (1.07) is required!</v>
      </c>
    </row>
    <row r="85" spans="1:25" ht="14.25" customHeight="1">
      <c r="A85" t="s">
        <v>15</v>
      </c>
      <c r="L85" s="118" t="str">
        <f t="shared" si="5"/>
        <v/>
      </c>
      <c r="X85" t="s">
        <v>3033</v>
      </c>
    </row>
    <row r="86" spans="1:25" ht="14.25" customHeight="1">
      <c r="A86" t="s">
        <v>12</v>
      </c>
      <c r="B86" s="1" t="s">
        <v>4467</v>
      </c>
      <c r="J86" s="106" t="s">
        <v>4477</v>
      </c>
      <c r="L86" s="118" t="str">
        <f t="shared" si="5"/>
        <v/>
      </c>
      <c r="O86" s="110" t="s">
        <v>4510</v>
      </c>
      <c r="X86" s="107" t="s">
        <v>3033</v>
      </c>
    </row>
    <row r="87" spans="1:25" ht="14.25" customHeight="1">
      <c r="A87" t="s">
        <v>17</v>
      </c>
      <c r="B87" s="1" t="s">
        <v>4482</v>
      </c>
      <c r="E87" s="132" t="s">
        <v>4483</v>
      </c>
      <c r="F87" s="130" t="s">
        <v>4509</v>
      </c>
      <c r="I87" s="213" t="str">
        <f>A87</f>
        <v>note</v>
      </c>
      <c r="J87" s="106" t="s">
        <v>5310</v>
      </c>
      <c r="L87" s="118" t="str">
        <f t="shared" si="5"/>
        <v/>
      </c>
    </row>
    <row r="88" spans="1:25" ht="14.25" customHeight="1">
      <c r="A88" s="162" t="s">
        <v>17</v>
      </c>
      <c r="B88" s="1" t="s">
        <v>4481</v>
      </c>
      <c r="E88" s="132" t="s">
        <v>4485</v>
      </c>
      <c r="F88" s="130"/>
      <c r="I88" s="213" t="str">
        <f t="shared" ref="I88:I101" si="8">A88</f>
        <v>note</v>
      </c>
      <c r="J88" s="106" t="s">
        <v>4487</v>
      </c>
      <c r="L88" s="118" t="str">
        <f t="shared" si="5"/>
        <v/>
      </c>
    </row>
    <row r="89" spans="1:25" ht="14.25" customHeight="1">
      <c r="A89" s="162" t="s">
        <v>17</v>
      </c>
      <c r="B89" s="1" t="s">
        <v>4484</v>
      </c>
      <c r="E89" s="132" t="s">
        <v>4486</v>
      </c>
      <c r="F89" s="130"/>
      <c r="I89" s="213" t="str">
        <f t="shared" si="8"/>
        <v>note</v>
      </c>
      <c r="J89" s="106" t="s">
        <v>4488</v>
      </c>
    </row>
    <row r="90" spans="1:25" ht="14.25" customHeight="1">
      <c r="A90" s="162" t="s">
        <v>17</v>
      </c>
      <c r="B90" s="1" t="s">
        <v>4489</v>
      </c>
      <c r="E90" s="130" t="s">
        <v>5311</v>
      </c>
      <c r="I90" s="213" t="str">
        <f t="shared" si="8"/>
        <v>note</v>
      </c>
      <c r="J90" s="106" t="s">
        <v>4493</v>
      </c>
      <c r="L90" s="118" t="str">
        <f>IF(K90="yes",("Sorry, question "&amp;MID(#REF!, 6,8)&amp;" is required!"),"")</f>
        <v/>
      </c>
    </row>
    <row r="91" spans="1:25" ht="14.25" customHeight="1">
      <c r="A91" s="162" t="s">
        <v>17</v>
      </c>
      <c r="B91" s="1" t="s">
        <v>4490</v>
      </c>
      <c r="E91" s="130" t="s">
        <v>5312</v>
      </c>
      <c r="I91" s="213" t="str">
        <f t="shared" si="8"/>
        <v>note</v>
      </c>
      <c r="J91" s="106" t="s">
        <v>4494</v>
      </c>
      <c r="L91" s="118" t="str">
        <f>IF(K91="yes",("Sorry, question "&amp;MID(#REF!, 6,8)&amp;" is required!"),"")</f>
        <v/>
      </c>
    </row>
    <row r="92" spans="1:25" ht="14.25" customHeight="1">
      <c r="A92" s="162" t="s">
        <v>17</v>
      </c>
      <c r="B92" s="1" t="s">
        <v>4491</v>
      </c>
      <c r="E92" s="130" t="s">
        <v>5313</v>
      </c>
      <c r="I92" s="213" t="str">
        <f t="shared" si="8"/>
        <v>note</v>
      </c>
      <c r="J92" s="106" t="s">
        <v>4495</v>
      </c>
      <c r="L92" s="118" t="str">
        <f>IF(K92="yes",("Sorry, question "&amp;MID(#REF!, 6,8)&amp;" is required!"),"")</f>
        <v/>
      </c>
    </row>
    <row r="93" spans="1:25" ht="14.25" customHeight="1">
      <c r="A93" s="162" t="s">
        <v>17</v>
      </c>
      <c r="B93" s="1" t="s">
        <v>4492</v>
      </c>
      <c r="E93" s="130" t="s">
        <v>5314</v>
      </c>
      <c r="I93" s="213" t="str">
        <f t="shared" si="8"/>
        <v>note</v>
      </c>
      <c r="J93" s="106" t="s">
        <v>4496</v>
      </c>
      <c r="L93" s="118" t="str">
        <f>IF(K93="yes",("Sorry, question "&amp;MID(#REF!, 6,6)&amp;" is required!"),"")</f>
        <v/>
      </c>
    </row>
    <row r="94" spans="1:25" ht="14.25" customHeight="1">
      <c r="A94" t="s">
        <v>14</v>
      </c>
      <c r="B94" s="1" t="s">
        <v>4476</v>
      </c>
      <c r="E94" s="130" t="s">
        <v>5311</v>
      </c>
      <c r="H94" s="206" t="str">
        <f>E88&amp;E94</f>
        <v>(1.08) Care start&lt;b&gt;Weekdays&lt;/b&gt;</v>
      </c>
      <c r="I94" s="213" t="str">
        <f t="shared" si="8"/>
        <v>integer</v>
      </c>
      <c r="J94" s="106" t="s">
        <v>4501</v>
      </c>
      <c r="K94" s="116" t="s">
        <v>2443</v>
      </c>
      <c r="L94" s="118" t="str">
        <f>"("&amp;H94&amp;") Sorry, question  is required!"</f>
        <v>((1.08) Care start&lt;b&gt;Weekdays&lt;/b&gt;) Sorry, question  is required!</v>
      </c>
      <c r="M94" s="113" t="s">
        <v>4537</v>
      </c>
      <c r="N94" t="s">
        <v>6524</v>
      </c>
    </row>
    <row r="95" spans="1:25" ht="14.25" customHeight="1">
      <c r="A95" t="s">
        <v>14</v>
      </c>
      <c r="B95" s="1" t="s">
        <v>4478</v>
      </c>
      <c r="E95" s="130" t="s">
        <v>5312</v>
      </c>
      <c r="H95" s="206" t="str">
        <f>E88&amp;E95</f>
        <v>(1.08) Care start&lt;b&gt;Saturday&lt;/b&gt;</v>
      </c>
      <c r="I95" s="213" t="str">
        <f t="shared" si="8"/>
        <v>integer</v>
      </c>
      <c r="J95" s="106" t="s">
        <v>4502</v>
      </c>
      <c r="K95" s="116" t="s">
        <v>2443</v>
      </c>
      <c r="L95" s="118" t="str">
        <f t="shared" ref="L95:L101" si="9">"("&amp;H95&amp;") Sorry, question  is required!"</f>
        <v>((1.08) Care start&lt;b&gt;Saturday&lt;/b&gt;) Sorry, question  is required!</v>
      </c>
      <c r="M95" s="113" t="s">
        <v>4537</v>
      </c>
      <c r="N95" t="s">
        <v>6524</v>
      </c>
    </row>
    <row r="96" spans="1:25" ht="14.25" customHeight="1">
      <c r="A96" t="s">
        <v>14</v>
      </c>
      <c r="B96" s="1" t="s">
        <v>4479</v>
      </c>
      <c r="E96" s="130" t="s">
        <v>5313</v>
      </c>
      <c r="H96" s="206" t="str">
        <f>E88&amp;E96</f>
        <v>(1.08) Care start&lt;b&gt;Sunday&lt;/b&gt;</v>
      </c>
      <c r="I96" s="213" t="str">
        <f t="shared" si="8"/>
        <v>integer</v>
      </c>
      <c r="J96" s="106" t="s">
        <v>4503</v>
      </c>
      <c r="K96" s="116" t="s">
        <v>2443</v>
      </c>
      <c r="L96" s="118" t="str">
        <f t="shared" si="9"/>
        <v>((1.08) Care start&lt;b&gt;Sunday&lt;/b&gt;) Sorry, question  is required!</v>
      </c>
      <c r="M96" s="113" t="s">
        <v>4537</v>
      </c>
      <c r="N96" t="s">
        <v>6524</v>
      </c>
    </row>
    <row r="97" spans="1:24" ht="14.25" customHeight="1">
      <c r="A97" t="s">
        <v>14</v>
      </c>
      <c r="B97" s="1" t="s">
        <v>4480</v>
      </c>
      <c r="E97" s="130" t="s">
        <v>5314</v>
      </c>
      <c r="H97" s="206" t="str">
        <f>E88&amp;E97</f>
        <v>(1.08) Care start&lt;b&gt;Holidays&lt;/b&gt;</v>
      </c>
      <c r="I97" s="213" t="str">
        <f t="shared" si="8"/>
        <v>integer</v>
      </c>
      <c r="J97" s="106" t="s">
        <v>4504</v>
      </c>
      <c r="K97" s="116" t="s">
        <v>2443</v>
      </c>
      <c r="L97" s="118" t="str">
        <f t="shared" si="9"/>
        <v>((1.08) Care start&lt;b&gt;Holidays&lt;/b&gt;) Sorry, question  is required!</v>
      </c>
      <c r="M97" s="113" t="s">
        <v>4537</v>
      </c>
      <c r="N97" t="s">
        <v>6524</v>
      </c>
    </row>
    <row r="98" spans="1:24" ht="14.25" customHeight="1">
      <c r="A98" t="s">
        <v>14</v>
      </c>
      <c r="B98" s="1" t="s">
        <v>4497</v>
      </c>
      <c r="E98" s="130" t="s">
        <v>5311</v>
      </c>
      <c r="H98" s="206" t="str">
        <f>E89&amp;E98</f>
        <v>(1.09) Care end&lt;b&gt;Weekdays&lt;/b&gt;</v>
      </c>
      <c r="I98" s="213" t="str">
        <f t="shared" si="8"/>
        <v>integer</v>
      </c>
      <c r="J98" s="106" t="s">
        <v>4505</v>
      </c>
      <c r="K98" s="116" t="s">
        <v>2443</v>
      </c>
      <c r="L98" s="118" t="str">
        <f t="shared" si="9"/>
        <v>((1.09) Care end&lt;b&gt;Weekdays&lt;/b&gt;) Sorry, question  is required!</v>
      </c>
      <c r="M98" s="113" t="s">
        <v>4533</v>
      </c>
      <c r="N98" t="s">
        <v>6523</v>
      </c>
    </row>
    <row r="99" spans="1:24" ht="14.25" customHeight="1">
      <c r="A99" t="s">
        <v>14</v>
      </c>
      <c r="B99" s="1" t="s">
        <v>4498</v>
      </c>
      <c r="E99" s="130" t="s">
        <v>5312</v>
      </c>
      <c r="H99" s="206" t="str">
        <f>E89&amp;E99</f>
        <v>(1.09) Care end&lt;b&gt;Saturday&lt;/b&gt;</v>
      </c>
      <c r="I99" s="213" t="str">
        <f t="shared" si="8"/>
        <v>integer</v>
      </c>
      <c r="J99" s="106" t="s">
        <v>4506</v>
      </c>
      <c r="K99" s="116" t="s">
        <v>2443</v>
      </c>
      <c r="L99" s="118" t="str">
        <f t="shared" si="9"/>
        <v>((1.09) Care end&lt;b&gt;Saturday&lt;/b&gt;) Sorry, question  is required!</v>
      </c>
      <c r="M99" s="113" t="s">
        <v>4534</v>
      </c>
      <c r="N99" t="s">
        <v>6523</v>
      </c>
    </row>
    <row r="100" spans="1:24" ht="14.25" customHeight="1">
      <c r="A100" t="s">
        <v>14</v>
      </c>
      <c r="B100" s="1" t="s">
        <v>4499</v>
      </c>
      <c r="E100" s="130" t="s">
        <v>5313</v>
      </c>
      <c r="H100" s="206" t="str">
        <f>E89&amp;E100</f>
        <v>(1.09) Care end&lt;b&gt;Sunday&lt;/b&gt;</v>
      </c>
      <c r="I100" s="213" t="str">
        <f t="shared" si="8"/>
        <v>integer</v>
      </c>
      <c r="J100" s="106" t="s">
        <v>4507</v>
      </c>
      <c r="K100" s="116" t="s">
        <v>2443</v>
      </c>
      <c r="L100" s="118" t="str">
        <f t="shared" si="9"/>
        <v>((1.09) Care end&lt;b&gt;Sunday&lt;/b&gt;) Sorry, question  is required!</v>
      </c>
      <c r="M100" s="113" t="s">
        <v>4535</v>
      </c>
      <c r="N100" t="s">
        <v>6523</v>
      </c>
    </row>
    <row r="101" spans="1:24" ht="14.25" customHeight="1">
      <c r="A101" t="s">
        <v>14</v>
      </c>
      <c r="B101" s="1" t="s">
        <v>4500</v>
      </c>
      <c r="E101" s="130" t="s">
        <v>5314</v>
      </c>
      <c r="H101" s="206" t="str">
        <f>E89&amp;E101</f>
        <v>(1.09) Care end&lt;b&gt;Holidays&lt;/b&gt;</v>
      </c>
      <c r="I101" s="213" t="str">
        <f t="shared" si="8"/>
        <v>integer</v>
      </c>
      <c r="J101" s="106" t="s">
        <v>4508</v>
      </c>
      <c r="K101" s="116" t="s">
        <v>2443</v>
      </c>
      <c r="L101" s="118" t="str">
        <f t="shared" si="9"/>
        <v>((1.09) Care end&lt;b&gt;Holidays&lt;/b&gt;) Sorry, question  is required!</v>
      </c>
      <c r="M101" s="113" t="s">
        <v>4536</v>
      </c>
      <c r="N101" t="s">
        <v>6523</v>
      </c>
    </row>
    <row r="102" spans="1:24" ht="14.25" customHeight="1">
      <c r="A102" t="s">
        <v>15</v>
      </c>
      <c r="L102" s="118" t="str">
        <f t="shared" si="5"/>
        <v/>
      </c>
      <c r="X102" t="s">
        <v>3033</v>
      </c>
    </row>
    <row r="103" spans="1:24" ht="14.25" customHeight="1">
      <c r="A103" t="s">
        <v>42</v>
      </c>
      <c r="B103" s="1" t="s">
        <v>4511</v>
      </c>
      <c r="J103" s="106" t="s">
        <v>43</v>
      </c>
      <c r="L103" s="118" t="str">
        <f t="shared" si="5"/>
        <v/>
      </c>
      <c r="X103" t="s">
        <v>3033</v>
      </c>
    </row>
    <row r="104" spans="1:24" ht="14.25" customHeight="1">
      <c r="A104" t="s">
        <v>17</v>
      </c>
      <c r="B104" s="1" t="s">
        <v>4512</v>
      </c>
      <c r="E104" s="132" t="s">
        <v>2817</v>
      </c>
      <c r="F104" s="132" t="s">
        <v>5315</v>
      </c>
      <c r="I104" s="213" t="str">
        <f>A104</f>
        <v>note</v>
      </c>
      <c r="L104" s="118" t="str">
        <f t="shared" si="5"/>
        <v/>
      </c>
    </row>
    <row r="105" spans="1:24" ht="15">
      <c r="A105" s="1" t="s">
        <v>4518</v>
      </c>
      <c r="B105" s="1" t="s">
        <v>4513</v>
      </c>
      <c r="E105" s="164" t="s">
        <v>4520</v>
      </c>
      <c r="H105" s="206" t="str">
        <f t="shared" ref="H105:H110" si="10">"(1.12) Three main sources of funding or income - "&amp;E105</f>
        <v>(1.12) Three main sources of funding or income - (1.12.1) The first choose</v>
      </c>
      <c r="I105" s="213" t="str">
        <f t="shared" ref="I105:I110" si="11">A105</f>
        <v>select_one incom_facility</v>
      </c>
      <c r="K105" s="116" t="s">
        <v>2443</v>
      </c>
      <c r="L105" s="118" t="str">
        <f>IF(K105="yes",("Sorry, question "&amp;LEFT(E105, 8)&amp;" is required!"),"")</f>
        <v>Sorry, question (1.12.1) is required!</v>
      </c>
    </row>
    <row r="106" spans="1:24" ht="14.25" customHeight="1">
      <c r="A106" s="1" t="s">
        <v>16</v>
      </c>
      <c r="B106" s="1" t="s">
        <v>4514</v>
      </c>
      <c r="E106" s="164" t="s">
        <v>4521</v>
      </c>
      <c r="F106" s="132" t="s">
        <v>4521</v>
      </c>
      <c r="H106" s="206" t="str">
        <f t="shared" si="10"/>
        <v>(1.12) Three main sources of funding or income - (1.12.1ot) Other, specify</v>
      </c>
      <c r="I106" s="213" t="str">
        <f t="shared" si="11"/>
        <v>text</v>
      </c>
      <c r="J106" s="106" t="s">
        <v>4554</v>
      </c>
      <c r="K106" s="116" t="s">
        <v>2443</v>
      </c>
      <c r="L106" s="118" t="str">
        <f>IF(K106="yes",("Sorry, question "&amp;LEFT(E106, 9)&amp;" is required!"),"")</f>
        <v>Sorry, question (1.12.1ot is required!</v>
      </c>
      <c r="O106" s="110" t="s">
        <v>4527</v>
      </c>
    </row>
    <row r="107" spans="1:24" ht="14.25" customHeight="1">
      <c r="A107" s="1" t="s">
        <v>4518</v>
      </c>
      <c r="B107" s="1" t="s">
        <v>4515</v>
      </c>
      <c r="E107" s="164" t="s">
        <v>4522</v>
      </c>
      <c r="H107" s="206" t="str">
        <f t="shared" si="10"/>
        <v>(1.12) Three main sources of funding or income - (1.12.2) The second choose</v>
      </c>
      <c r="I107" s="213" t="str">
        <f t="shared" si="11"/>
        <v>select_one incom_facility</v>
      </c>
      <c r="K107" s="116" t="s">
        <v>2443</v>
      </c>
      <c r="L107" s="118" t="str">
        <f t="shared" ref="L107:L109" si="12">IF(K107="yes",("Sorry, question "&amp;LEFT(E107, 8)&amp;" is required!"),"")</f>
        <v>Sorry, question (1.12.2) is required!</v>
      </c>
      <c r="M107" s="113" t="s">
        <v>4532</v>
      </c>
      <c r="N107" s="1" t="s">
        <v>4540</v>
      </c>
      <c r="O107" s="110" t="s">
        <v>4530</v>
      </c>
    </row>
    <row r="108" spans="1:24" ht="14.25" customHeight="1">
      <c r="A108" s="1" t="s">
        <v>16</v>
      </c>
      <c r="B108" s="1" t="s">
        <v>4516</v>
      </c>
      <c r="E108" s="164" t="s">
        <v>4523</v>
      </c>
      <c r="F108" s="132" t="s">
        <v>4523</v>
      </c>
      <c r="H108" s="206" t="str">
        <f t="shared" si="10"/>
        <v>(1.12) Three main sources of funding or income - (1.12.2ot) Other, specify</v>
      </c>
      <c r="I108" s="213" t="str">
        <f t="shared" si="11"/>
        <v>text</v>
      </c>
      <c r="J108" s="106" t="s">
        <v>4554</v>
      </c>
      <c r="K108" s="116" t="s">
        <v>2443</v>
      </c>
      <c r="L108" s="118" t="str">
        <f>IF(K108="yes",("Sorry, question "&amp;LEFT(E108, 9)&amp;" is required!"),"")</f>
        <v>Sorry, question (1.12.2ot is required!</v>
      </c>
      <c r="O108" s="110" t="s">
        <v>4528</v>
      </c>
    </row>
    <row r="109" spans="1:24" ht="14.25" customHeight="1">
      <c r="A109" s="1" t="s">
        <v>4518</v>
      </c>
      <c r="B109" s="1" t="s">
        <v>4517</v>
      </c>
      <c r="E109" s="164" t="s">
        <v>4524</v>
      </c>
      <c r="H109" s="206" t="str">
        <f t="shared" si="10"/>
        <v>(1.12) Three main sources of funding or income - (1.12.3) The third choose</v>
      </c>
      <c r="I109" s="213" t="str">
        <f t="shared" si="11"/>
        <v>select_one incom_facility</v>
      </c>
      <c r="K109" s="116" t="s">
        <v>2443</v>
      </c>
      <c r="L109" s="118" t="str">
        <f t="shared" si="12"/>
        <v>Sorry, question (1.12.3) is required!</v>
      </c>
      <c r="M109" s="113" t="s">
        <v>4538</v>
      </c>
      <c r="N109" s="1" t="s">
        <v>4539</v>
      </c>
      <c r="O109" s="110" t="s">
        <v>4531</v>
      </c>
    </row>
    <row r="110" spans="1:24" ht="14.25" customHeight="1">
      <c r="A110" s="1" t="s">
        <v>16</v>
      </c>
      <c r="B110" s="1" t="s">
        <v>4519</v>
      </c>
      <c r="E110" s="164" t="s">
        <v>4525</v>
      </c>
      <c r="F110" s="132" t="s">
        <v>4525</v>
      </c>
      <c r="H110" s="206" t="str">
        <f t="shared" si="10"/>
        <v>(1.12) Three main sources of funding or income - (1.12.3ot) Other, specify</v>
      </c>
      <c r="I110" s="213" t="str">
        <f t="shared" si="11"/>
        <v>text</v>
      </c>
      <c r="J110" s="106" t="s">
        <v>4554</v>
      </c>
      <c r="K110" s="116" t="s">
        <v>2443</v>
      </c>
      <c r="L110" s="118" t="str">
        <f>IF(K110="yes",("Sorry, question "&amp;LEFT(E110, 9)&amp;" is required!"),"")</f>
        <v>Sorry, question (1.12.3ot is required!</v>
      </c>
      <c r="O110" s="110" t="s">
        <v>4529</v>
      </c>
    </row>
    <row r="111" spans="1:24" ht="14.25" customHeight="1">
      <c r="A111" t="s">
        <v>45</v>
      </c>
      <c r="L111" s="118" t="str">
        <f t="shared" ref="L111:L175" si="13">IF(K111="yes",("Sorry, question "&amp;LEFT(E111, 6)&amp;" is required!"),"")</f>
        <v/>
      </c>
      <c r="X111" t="s">
        <v>3033</v>
      </c>
    </row>
    <row r="112" spans="1:24" ht="14.25" customHeight="1">
      <c r="A112" t="s">
        <v>12</v>
      </c>
      <c r="B112" s="1" t="s">
        <v>4541</v>
      </c>
      <c r="J112" s="106" t="s">
        <v>13</v>
      </c>
      <c r="L112" s="118" t="str">
        <f t="shared" si="13"/>
        <v/>
      </c>
      <c r="X112" t="s">
        <v>3033</v>
      </c>
    </row>
    <row r="113" spans="1:24" ht="14.25" customHeight="1">
      <c r="A113" t="s">
        <v>17</v>
      </c>
      <c r="B113" t="s">
        <v>44</v>
      </c>
      <c r="E113" s="132" t="s">
        <v>4542</v>
      </c>
      <c r="F113" s="132" t="s">
        <v>4551</v>
      </c>
      <c r="I113" s="213" t="str">
        <f>A113</f>
        <v>note</v>
      </c>
      <c r="L113" s="118" t="str">
        <f t="shared" si="13"/>
        <v/>
      </c>
    </row>
    <row r="114" spans="1:24" ht="14.25" customHeight="1">
      <c r="A114" t="s">
        <v>14</v>
      </c>
      <c r="B114" t="s">
        <v>2445</v>
      </c>
      <c r="E114" s="118" t="s">
        <v>4543</v>
      </c>
      <c r="H114" s="206" t="str">
        <f>"(1.13) The amount received from in 2017/2018 in Dalasi - "&amp;E114</f>
        <v>(1.13) The amount received from in 2017/2018 in Dalasi - a.MOHSW / REGIONAL HEALTH MANAGEMENT TEAM</v>
      </c>
      <c r="I114" s="213" t="str">
        <f t="shared" ref="I114:I121" si="14">A114</f>
        <v>integer</v>
      </c>
      <c r="J114" s="106" t="s">
        <v>4553</v>
      </c>
      <c r="K114" s="116" t="s">
        <v>2443</v>
      </c>
      <c r="L114" s="118" t="str">
        <f>IF(K114="yes",("Sorry, question "&amp;LEFT($E$113, 6)&amp;LEFT(C114,1)&amp;" is required!"),"")</f>
        <v>Sorry, question (1.13) is required!</v>
      </c>
      <c r="M114" s="113" t="s">
        <v>6525</v>
      </c>
      <c r="N114" t="str">
        <f xml:space="preserve"> "(1.13) " &amp; LEFT(E114,2) &amp; " Please check question (1.12)"</f>
        <v>(1.13) a. Please check question (1.12)</v>
      </c>
    </row>
    <row r="115" spans="1:24" ht="14.25" customHeight="1">
      <c r="A115" t="s">
        <v>14</v>
      </c>
      <c r="B115" t="s">
        <v>2446</v>
      </c>
      <c r="E115" s="118" t="s">
        <v>4544</v>
      </c>
      <c r="H115" s="206" t="str">
        <f t="shared" ref="H115:H123" si="15">"(1.13) The amount received from in 2017/2018 in Dalasi - "&amp;E115</f>
        <v>(1.13) The amount received from in 2017/2018 in Dalasi - b.USER FEES</v>
      </c>
      <c r="I115" s="213" t="str">
        <f t="shared" si="14"/>
        <v>integer</v>
      </c>
      <c r="J115" s="106" t="s">
        <v>4553</v>
      </c>
      <c r="K115" s="116" t="s">
        <v>2443</v>
      </c>
      <c r="L115" s="118" t="str">
        <f t="shared" ref="L115:L121" si="16">IF(K115="yes",("Sorry, question "&amp;LEFT($E$113, 6)&amp;LEFT(C115,1)&amp;" is required!"),"")</f>
        <v>Sorry, question (1.13) is required!</v>
      </c>
      <c r="M115" s="113" t="s">
        <v>6526</v>
      </c>
      <c r="N115" t="str">
        <f t="shared" ref="N115:N121" si="17" xml:space="preserve"> "(1.13) " &amp; LEFT(E115,2) &amp; " Please check question (1.12)"</f>
        <v>(1.13) b. Please check question (1.12)</v>
      </c>
    </row>
    <row r="116" spans="1:24" ht="14.25" customHeight="1">
      <c r="A116" t="s">
        <v>14</v>
      </c>
      <c r="B116" t="s">
        <v>2447</v>
      </c>
      <c r="E116" s="118" t="s">
        <v>4545</v>
      </c>
      <c r="H116" s="206" t="str">
        <f t="shared" si="15"/>
        <v>(1.13) The amount received from in 2017/2018 in Dalasi - c.DRUG SALES</v>
      </c>
      <c r="I116" s="213" t="str">
        <f t="shared" si="14"/>
        <v>integer</v>
      </c>
      <c r="J116" s="106" t="s">
        <v>4553</v>
      </c>
      <c r="K116" s="116" t="s">
        <v>2443</v>
      </c>
      <c r="L116" s="118" t="str">
        <f t="shared" si="16"/>
        <v>Sorry, question (1.13) is required!</v>
      </c>
      <c r="M116" s="113" t="s">
        <v>6527</v>
      </c>
      <c r="N116" t="str">
        <f t="shared" si="17"/>
        <v>(1.13) c. Please check question (1.12)</v>
      </c>
    </row>
    <row r="117" spans="1:24" ht="14.25" customHeight="1">
      <c r="A117" t="s">
        <v>14</v>
      </c>
      <c r="B117" t="s">
        <v>2448</v>
      </c>
      <c r="E117" s="118" t="s">
        <v>4546</v>
      </c>
      <c r="H117" s="206" t="str">
        <f t="shared" si="15"/>
        <v>(1.13) The amount received from in 2017/2018 in Dalasi - d.FAITH BASED ORGANIZATIONS</v>
      </c>
      <c r="I117" s="213" t="str">
        <f t="shared" si="14"/>
        <v>integer</v>
      </c>
      <c r="J117" s="106" t="s">
        <v>4553</v>
      </c>
      <c r="K117" s="116" t="s">
        <v>2443</v>
      </c>
      <c r="L117" s="118" t="str">
        <f t="shared" si="16"/>
        <v>Sorry, question (1.13) is required!</v>
      </c>
      <c r="M117" s="113" t="s">
        <v>6528</v>
      </c>
      <c r="N117" t="str">
        <f t="shared" si="17"/>
        <v>(1.13) d. Please check question (1.12)</v>
      </c>
    </row>
    <row r="118" spans="1:24" ht="14.25" customHeight="1">
      <c r="A118" t="s">
        <v>14</v>
      </c>
      <c r="B118" t="s">
        <v>2449</v>
      </c>
      <c r="E118" s="118" t="s">
        <v>4547</v>
      </c>
      <c r="H118" s="206" t="str">
        <f t="shared" si="15"/>
        <v>(1.13) The amount received from in 2017/2018 in Dalasi - e.PRIVATE COMPANY</v>
      </c>
      <c r="I118" s="213" t="str">
        <f t="shared" si="14"/>
        <v>integer</v>
      </c>
      <c r="J118" s="106" t="s">
        <v>4553</v>
      </c>
      <c r="K118" s="116" t="s">
        <v>2443</v>
      </c>
      <c r="L118" s="118" t="str">
        <f t="shared" si="16"/>
        <v>Sorry, question (1.13) is required!</v>
      </c>
      <c r="M118" s="113" t="s">
        <v>6529</v>
      </c>
      <c r="N118" t="str">
        <f t="shared" si="17"/>
        <v>(1.13) e. Please check question (1.12)</v>
      </c>
    </row>
    <row r="119" spans="1:24" ht="14.25" customHeight="1">
      <c r="A119" t="s">
        <v>14</v>
      </c>
      <c r="B119" t="s">
        <v>2450</v>
      </c>
      <c r="E119" s="118" t="s">
        <v>4548</v>
      </c>
      <c r="H119" s="206" t="str">
        <f t="shared" si="15"/>
        <v>(1.13) The amount received from in 2017/2018 in Dalasi - f.DONOR</v>
      </c>
      <c r="I119" s="213" t="str">
        <f t="shared" si="14"/>
        <v>integer</v>
      </c>
      <c r="J119" s="106" t="s">
        <v>4553</v>
      </c>
      <c r="K119" s="116" t="s">
        <v>2443</v>
      </c>
      <c r="L119" s="118" t="str">
        <f t="shared" si="16"/>
        <v>Sorry, question (1.13) is required!</v>
      </c>
      <c r="M119" s="113" t="s">
        <v>6530</v>
      </c>
      <c r="N119" t="str">
        <f t="shared" si="17"/>
        <v>(1.13) f. Please check question (1.12)</v>
      </c>
    </row>
    <row r="120" spans="1:24" ht="14.25" customHeight="1">
      <c r="A120" t="s">
        <v>14</v>
      </c>
      <c r="B120" t="s">
        <v>2451</v>
      </c>
      <c r="E120" s="118" t="s">
        <v>4549</v>
      </c>
      <c r="H120" s="206" t="str">
        <f t="shared" si="15"/>
        <v>(1.13) The amount received from in 2017/2018 in Dalasi - g.INSURANCE PAYMENTS</v>
      </c>
      <c r="I120" s="213" t="str">
        <f t="shared" si="14"/>
        <v>integer</v>
      </c>
      <c r="J120" s="106" t="s">
        <v>4553</v>
      </c>
      <c r="K120" s="116" t="s">
        <v>2443</v>
      </c>
      <c r="L120" s="118" t="str">
        <f t="shared" si="16"/>
        <v>Sorry, question (1.13) is required!</v>
      </c>
      <c r="M120" s="113" t="s">
        <v>6531</v>
      </c>
      <c r="N120" t="str">
        <f t="shared" si="17"/>
        <v>(1.13) g. Please check question (1.12)</v>
      </c>
    </row>
    <row r="121" spans="1:24" ht="14.25" customHeight="1">
      <c r="A121" t="s">
        <v>14</v>
      </c>
      <c r="B121" t="s">
        <v>2452</v>
      </c>
      <c r="D121" s="107"/>
      <c r="E121" s="118" t="s">
        <v>4550</v>
      </c>
      <c r="H121" s="206" t="str">
        <f t="shared" si="15"/>
        <v>(1.13) The amount received from in 2017/2018 in Dalasi - h.OTHER</v>
      </c>
      <c r="I121" s="213" t="str">
        <f t="shared" si="14"/>
        <v>integer</v>
      </c>
      <c r="J121" s="106" t="s">
        <v>4553</v>
      </c>
      <c r="K121" s="116" t="s">
        <v>2443</v>
      </c>
      <c r="L121" s="118" t="str">
        <f t="shared" si="16"/>
        <v>Sorry, question (1.13) is required!</v>
      </c>
      <c r="M121" s="113" t="s">
        <v>6850</v>
      </c>
      <c r="N121" t="str">
        <f t="shared" si="17"/>
        <v>(1.13) h. Please check question (1.12)</v>
      </c>
    </row>
    <row r="122" spans="1:24" ht="14.25" customHeight="1">
      <c r="A122" t="s">
        <v>15</v>
      </c>
      <c r="L122" s="118" t="str">
        <f t="shared" si="13"/>
        <v/>
      </c>
      <c r="X122" t="s">
        <v>3033</v>
      </c>
    </row>
    <row r="123" spans="1:24" ht="14.25" customHeight="1">
      <c r="A123" t="s">
        <v>47</v>
      </c>
      <c r="B123" t="s">
        <v>5288</v>
      </c>
      <c r="E123" s="132" t="s">
        <v>6739</v>
      </c>
      <c r="F123" s="118" t="s">
        <v>6834</v>
      </c>
      <c r="H123" s="206" t="str">
        <f t="shared" si="15"/>
        <v>(1.13) The amount received from in 2017/2018 in Dalasi - h.OTHER, SPECIFY:</v>
      </c>
      <c r="I123" s="213" t="str">
        <f>A123</f>
        <v>text</v>
      </c>
      <c r="J123" s="106" t="s">
        <v>4554</v>
      </c>
      <c r="K123" s="116" t="s">
        <v>2443</v>
      </c>
      <c r="L123" s="118" t="str">
        <f>IF(K123="yes",("Sorry, question "&amp;LEFT($E$123, 8)&amp;LEFT(C123,4)&amp;" is required!"),"")</f>
        <v>Sorry, question h.OTHER, is required!</v>
      </c>
      <c r="O123" s="110" t="s">
        <v>4555</v>
      </c>
    </row>
    <row r="124" spans="1:24" ht="14.25" customHeight="1">
      <c r="A124" t="s">
        <v>2473</v>
      </c>
      <c r="B124" s="1" t="s">
        <v>4556</v>
      </c>
      <c r="I124" s="213" t="s">
        <v>17</v>
      </c>
      <c r="L124" s="118" t="str">
        <f t="shared" si="13"/>
        <v/>
      </c>
      <c r="P124" s="101" t="s">
        <v>5289</v>
      </c>
    </row>
    <row r="125" spans="1:24" ht="14.25" customHeight="1">
      <c r="A125" t="s">
        <v>12</v>
      </c>
      <c r="B125" s="1" t="s">
        <v>4558</v>
      </c>
      <c r="J125" s="106" t="s">
        <v>13</v>
      </c>
      <c r="L125" s="118" t="str">
        <f t="shared" si="13"/>
        <v/>
      </c>
      <c r="X125" t="s">
        <v>3033</v>
      </c>
    </row>
    <row r="126" spans="1:24" ht="14.25" customHeight="1">
      <c r="A126" t="s">
        <v>23</v>
      </c>
      <c r="B126" t="s">
        <v>2818</v>
      </c>
      <c r="E126" s="132" t="s">
        <v>6552</v>
      </c>
      <c r="F126" s="132" t="s">
        <v>5396</v>
      </c>
      <c r="H126" s="206" t="str">
        <f>E126</f>
        <v>(1.14) Can you please tell me the total amount received in 2017/2018 in DALASI.&lt;br&gt;Is the total amount of money received in 2017/2018:  &lt;font color ='red'&gt;&lt;b&gt; thousandsep(3,,,${f1_01_14_cal}) &lt;/b&gt;&lt;/font&gt; DALASI?</v>
      </c>
      <c r="I126" s="213" t="str">
        <f>A126</f>
        <v>select_one yesno</v>
      </c>
      <c r="J126" s="106" t="s">
        <v>4457</v>
      </c>
      <c r="K126" s="116" t="s">
        <v>2443</v>
      </c>
      <c r="L126" s="118" t="str">
        <f t="shared" si="13"/>
        <v>Sorry, question (1.14) is required!</v>
      </c>
      <c r="M126" s="113" t="s">
        <v>2506</v>
      </c>
      <c r="N126" t="s">
        <v>3694</v>
      </c>
    </row>
    <row r="127" spans="1:24" ht="14.25" customHeight="1">
      <c r="A127" t="s">
        <v>48</v>
      </c>
      <c r="B127" t="s">
        <v>2819</v>
      </c>
      <c r="E127" s="118" t="s">
        <v>2820</v>
      </c>
      <c r="H127" s="206" t="str">
        <f>E127</f>
        <v>(1.15) INTERVIEWER: SOURCE OF INFORMATION CONSULTED TO OBTAIN BUDGET FIGURES</v>
      </c>
      <c r="I127" s="213" t="str">
        <f t="shared" ref="I127:I190" si="18">A127</f>
        <v>select_one obtain</v>
      </c>
      <c r="K127" s="116" t="s">
        <v>2443</v>
      </c>
      <c r="L127" s="118" t="str">
        <f t="shared" si="13"/>
        <v>Sorry, question (1.15) is required!</v>
      </c>
    </row>
    <row r="128" spans="1:24" ht="14.25" customHeight="1">
      <c r="A128" t="s">
        <v>49</v>
      </c>
      <c r="B128" t="s">
        <v>2821</v>
      </c>
      <c r="E128" s="132" t="s">
        <v>6740</v>
      </c>
      <c r="F128" s="118" t="s">
        <v>35</v>
      </c>
      <c r="H128" s="206" t="str">
        <f>E128</f>
        <v>(1.15) OTHER, SPECIFY:</v>
      </c>
      <c r="I128" s="213" t="str">
        <f t="shared" si="18"/>
        <v>text</v>
      </c>
      <c r="J128" s="106" t="s">
        <v>2773</v>
      </c>
      <c r="K128" s="116" t="s">
        <v>2443</v>
      </c>
      <c r="L128" s="118" t="str">
        <f t="shared" si="13"/>
        <v>Sorry, question (1.15) is required!</v>
      </c>
      <c r="O128" s="110" t="s">
        <v>2735</v>
      </c>
    </row>
    <row r="129" spans="1:24" ht="14.25" customHeight="1">
      <c r="A129" t="s">
        <v>50</v>
      </c>
      <c r="B129" t="s">
        <v>2822</v>
      </c>
      <c r="E129" s="132" t="s">
        <v>4557</v>
      </c>
      <c r="H129" s="206" t="str">
        <f>E129</f>
        <v>(1.16) Can you please tell me whether the facility paid out any performance bonuses or salary top ups to staff in 2017/2018, in addition to salary/regular allowances?</v>
      </c>
      <c r="I129" s="213" t="str">
        <f t="shared" si="18"/>
        <v>select_one yesno</v>
      </c>
      <c r="J129" s="106" t="s">
        <v>4457</v>
      </c>
      <c r="K129" s="116" t="s">
        <v>2443</v>
      </c>
      <c r="L129" s="118" t="str">
        <f t="shared" si="13"/>
        <v>Sorry, question (1.16) is required!</v>
      </c>
    </row>
    <row r="130" spans="1:24" ht="14.25" customHeight="1">
      <c r="A130" t="s">
        <v>15</v>
      </c>
      <c r="L130" s="118" t="str">
        <f t="shared" ref="L130" si="19">IF(K130="yes",("Sorry, question "&amp;LEFT(E130, 6)&amp;" is required!"),"")</f>
        <v/>
      </c>
      <c r="X130" t="s">
        <v>3033</v>
      </c>
    </row>
    <row r="131" spans="1:24" ht="14.25" customHeight="1">
      <c r="A131" t="s">
        <v>12</v>
      </c>
      <c r="B131" s="1" t="s">
        <v>4559</v>
      </c>
      <c r="J131" s="106" t="s">
        <v>13</v>
      </c>
      <c r="L131" s="118" t="str">
        <f t="shared" ref="L131" si="20">IF(K131="yes",("Sorry, question "&amp;LEFT(E131, 6)&amp;" is required!"),"")</f>
        <v/>
      </c>
      <c r="O131" s="110" t="s">
        <v>2736</v>
      </c>
      <c r="X131" t="s">
        <v>3033</v>
      </c>
    </row>
    <row r="132" spans="1:24" ht="14.25" customHeight="1">
      <c r="A132" t="s">
        <v>51</v>
      </c>
      <c r="B132" t="s">
        <v>2823</v>
      </c>
      <c r="E132" s="132" t="s">
        <v>4560</v>
      </c>
      <c r="F132" s="118" t="s">
        <v>6710</v>
      </c>
      <c r="H132" s="206" t="str">
        <f>E132</f>
        <v>(1.17) How much did the facility pay for performance bonuses or salary top ups to staff in 2017/2018 in Dalasi?</v>
      </c>
      <c r="I132" s="213" t="str">
        <f t="shared" si="18"/>
        <v>integer</v>
      </c>
      <c r="J132" s="106" t="s">
        <v>4561</v>
      </c>
      <c r="K132" s="116" t="s">
        <v>2443</v>
      </c>
      <c r="L132" s="118" t="str">
        <f t="shared" si="13"/>
        <v>Sorry, question (1.17) is required!</v>
      </c>
      <c r="M132" s="113" t="s">
        <v>6774</v>
      </c>
      <c r="N132" t="s">
        <v>3695</v>
      </c>
    </row>
    <row r="133" spans="1:24" s="175" customFormat="1" ht="14.25" customHeight="1">
      <c r="A133" s="175" t="s">
        <v>17</v>
      </c>
      <c r="B133" s="175" t="s">
        <v>6532</v>
      </c>
      <c r="E133" s="176" t="s">
        <v>6533</v>
      </c>
      <c r="F133" s="177"/>
      <c r="H133" s="208"/>
      <c r="I133" s="213" t="str">
        <f t="shared" si="18"/>
        <v>note</v>
      </c>
      <c r="J133" s="178"/>
      <c r="K133" s="179"/>
      <c r="L133" s="177"/>
      <c r="M133" s="180"/>
      <c r="O133" s="181" t="s">
        <v>6534</v>
      </c>
      <c r="P133" s="182"/>
    </row>
    <row r="134" spans="1:24" ht="14.25" customHeight="1">
      <c r="A134" t="s">
        <v>2460</v>
      </c>
      <c r="B134" t="s">
        <v>2824</v>
      </c>
      <c r="E134" s="118" t="s">
        <v>2453</v>
      </c>
      <c r="H134" s="206" t="str">
        <f>E134</f>
        <v>(1.18) Who is eligible to receive pay for performance bonuses?</v>
      </c>
      <c r="I134" s="213" t="str">
        <f t="shared" si="18"/>
        <v>select_one pay</v>
      </c>
      <c r="K134" s="116" t="s">
        <v>2443</v>
      </c>
      <c r="L134" s="118" t="str">
        <f t="shared" si="13"/>
        <v>Sorry, question (1.18) is required!</v>
      </c>
    </row>
    <row r="135" spans="1:24" ht="14.25" customHeight="1">
      <c r="A135" t="s">
        <v>16</v>
      </c>
      <c r="B135" t="s">
        <v>2585</v>
      </c>
      <c r="E135" s="132" t="s">
        <v>6741</v>
      </c>
      <c r="F135" s="118" t="s">
        <v>35</v>
      </c>
      <c r="H135" s="206" t="str">
        <f>E135</f>
        <v>(1.18) OTHER, SPECIFY:</v>
      </c>
      <c r="I135" s="213" t="str">
        <f t="shared" si="18"/>
        <v>text</v>
      </c>
      <c r="J135" s="106" t="s">
        <v>2773</v>
      </c>
      <c r="K135" s="116" t="s">
        <v>2443</v>
      </c>
      <c r="L135" s="118" t="str">
        <f t="shared" si="13"/>
        <v>Sorry, question (1.18) is required!</v>
      </c>
      <c r="O135" s="110" t="s">
        <v>2586</v>
      </c>
    </row>
    <row r="136" spans="1:24" ht="14.25" customHeight="1">
      <c r="A136" s="1" t="s">
        <v>4563</v>
      </c>
      <c r="B136" t="s">
        <v>2825</v>
      </c>
      <c r="E136" s="118" t="s">
        <v>2826</v>
      </c>
      <c r="H136" s="206" t="str">
        <f>E136</f>
        <v>(1.19) INTERVIEWER: SOURCE OF INFORMATION CONSULTED TO OBTAIN RBF EXPENSE FIGURES</v>
      </c>
      <c r="I136" s="213" t="str">
        <f t="shared" si="18"/>
        <v>select_one infor_consult</v>
      </c>
      <c r="K136" s="116" t="s">
        <v>2443</v>
      </c>
      <c r="L136" s="118" t="str">
        <f t="shared" si="13"/>
        <v>Sorry, question (1.19) is required!</v>
      </c>
    </row>
    <row r="137" spans="1:24" ht="14.25" customHeight="1">
      <c r="A137" t="s">
        <v>52</v>
      </c>
      <c r="B137" t="s">
        <v>2827</v>
      </c>
      <c r="E137" s="132" t="s">
        <v>6742</v>
      </c>
      <c r="F137" s="118" t="s">
        <v>35</v>
      </c>
      <c r="H137" s="206" t="str">
        <f>E137</f>
        <v>(1.19) OTHER, SPECIFY:</v>
      </c>
      <c r="I137" s="213" t="str">
        <f t="shared" si="18"/>
        <v>text</v>
      </c>
      <c r="J137" s="106" t="s">
        <v>2773</v>
      </c>
      <c r="K137" s="116" t="s">
        <v>2443</v>
      </c>
      <c r="L137" s="118" t="str">
        <f>IF(K137="yes",("Sorry, question "&amp;LEFT(E137, 12)&amp;" is required!"),"")</f>
        <v>Sorry, question (1.19) OTHER is required!</v>
      </c>
      <c r="O137" s="110" t="s">
        <v>2737</v>
      </c>
    </row>
    <row r="138" spans="1:24" ht="14.25" customHeight="1">
      <c r="A138" t="s">
        <v>15</v>
      </c>
      <c r="L138" s="118" t="str">
        <f t="shared" si="13"/>
        <v/>
      </c>
      <c r="X138" t="s">
        <v>3033</v>
      </c>
    </row>
    <row r="139" spans="1:24" ht="14.25" customHeight="1">
      <c r="A139" t="s">
        <v>12</v>
      </c>
      <c r="B139" s="1" t="s">
        <v>4562</v>
      </c>
      <c r="J139" s="106" t="s">
        <v>13</v>
      </c>
      <c r="L139" s="118" t="str">
        <f t="shared" si="13"/>
        <v/>
      </c>
      <c r="X139" t="s">
        <v>3033</v>
      </c>
    </row>
    <row r="140" spans="1:24" ht="14.25" customHeight="1">
      <c r="A140" s="1" t="s">
        <v>4568</v>
      </c>
      <c r="B140" t="s">
        <v>2828</v>
      </c>
      <c r="E140" s="118" t="s">
        <v>2829</v>
      </c>
      <c r="H140" s="206" t="str">
        <f t="shared" ref="H140:H146" si="21">E140</f>
        <v>(1.20) What is the primary source of electricity?</v>
      </c>
      <c r="I140" s="213" t="str">
        <f t="shared" si="18"/>
        <v>select_one pri_electric</v>
      </c>
      <c r="K140" s="116" t="s">
        <v>2443</v>
      </c>
      <c r="L140" s="118" t="str">
        <f t="shared" si="13"/>
        <v>Sorry, question (1.20) is required!</v>
      </c>
    </row>
    <row r="141" spans="1:24" ht="14.25" customHeight="1">
      <c r="A141" t="s">
        <v>53</v>
      </c>
      <c r="B141" t="s">
        <v>2830</v>
      </c>
      <c r="E141" s="132" t="s">
        <v>6743</v>
      </c>
      <c r="F141" s="118" t="s">
        <v>35</v>
      </c>
      <c r="H141" s="206" t="str">
        <f t="shared" si="21"/>
        <v>(1.20) OTHER, SPECIFY:</v>
      </c>
      <c r="I141" s="213" t="str">
        <f t="shared" si="18"/>
        <v>text</v>
      </c>
      <c r="J141" s="106" t="s">
        <v>2773</v>
      </c>
      <c r="K141" s="116" t="s">
        <v>2443</v>
      </c>
      <c r="L141" s="118" t="str">
        <f t="shared" si="13"/>
        <v>Sorry, question (1.20) is required!</v>
      </c>
      <c r="O141" s="110" t="s">
        <v>4565</v>
      </c>
    </row>
    <row r="142" spans="1:24" ht="14.25" customHeight="1">
      <c r="A142" t="s">
        <v>54</v>
      </c>
      <c r="B142" t="s">
        <v>2831</v>
      </c>
      <c r="E142" s="118" t="s">
        <v>2832</v>
      </c>
      <c r="H142" s="206" t="str">
        <f t="shared" si="21"/>
        <v>(1.21) Were there any electric power outages in the last 7 days?</v>
      </c>
      <c r="I142" s="213" t="str">
        <f t="shared" si="18"/>
        <v>select_one yesno</v>
      </c>
      <c r="J142" s="106" t="s">
        <v>4457</v>
      </c>
      <c r="K142" s="116" t="s">
        <v>2443</v>
      </c>
      <c r="L142" s="118" t="str">
        <f t="shared" si="13"/>
        <v>Sorry, question (1.21) is required!</v>
      </c>
      <c r="O142" s="110" t="s">
        <v>4567</v>
      </c>
    </row>
    <row r="143" spans="1:24" ht="14.25" customHeight="1">
      <c r="A143" t="s">
        <v>55</v>
      </c>
      <c r="B143" t="s">
        <v>2833</v>
      </c>
      <c r="E143" s="118" t="s">
        <v>2834</v>
      </c>
      <c r="F143" s="118" t="s">
        <v>5316</v>
      </c>
      <c r="H143" s="206" t="str">
        <f t="shared" si="21"/>
        <v>(1.22) How many hours was electric power missing in the last 7 days?</v>
      </c>
      <c r="I143" s="213" t="str">
        <f t="shared" si="18"/>
        <v>integer</v>
      </c>
      <c r="K143" s="116" t="s">
        <v>2443</v>
      </c>
      <c r="L143" s="118" t="str">
        <f t="shared" si="13"/>
        <v>Sorry, question (1.22) is required!</v>
      </c>
      <c r="M143" s="113" t="s">
        <v>4145</v>
      </c>
      <c r="N143" t="s">
        <v>3696</v>
      </c>
      <c r="O143" s="110" t="s">
        <v>4566</v>
      </c>
    </row>
    <row r="144" spans="1:24" ht="14.25" customHeight="1">
      <c r="A144" s="1" t="s">
        <v>4571</v>
      </c>
      <c r="B144" t="s">
        <v>2835</v>
      </c>
      <c r="E144" s="118" t="s">
        <v>2836</v>
      </c>
      <c r="H144" s="206" t="str">
        <f t="shared" si="21"/>
        <v>(1.23) What is the primary source of water?</v>
      </c>
      <c r="I144" s="213" t="str">
        <f t="shared" si="18"/>
        <v>select_one pri_water</v>
      </c>
      <c r="K144" s="116" t="s">
        <v>2443</v>
      </c>
      <c r="L144" s="118" t="str">
        <f t="shared" si="13"/>
        <v>Sorry, question (1.23) is required!</v>
      </c>
    </row>
    <row r="145" spans="1:24" ht="14.25" customHeight="1">
      <c r="A145" t="s">
        <v>56</v>
      </c>
      <c r="B145" t="s">
        <v>2837</v>
      </c>
      <c r="E145" s="132" t="s">
        <v>6744</v>
      </c>
      <c r="F145" s="118" t="s">
        <v>35</v>
      </c>
      <c r="H145" s="206" t="str">
        <f t="shared" si="21"/>
        <v>(1.23) OTHER, SPECIFY:</v>
      </c>
      <c r="I145" s="213" t="str">
        <f t="shared" si="18"/>
        <v>text</v>
      </c>
      <c r="J145" s="106" t="s">
        <v>2773</v>
      </c>
      <c r="K145" s="116" t="s">
        <v>2443</v>
      </c>
      <c r="L145" s="118" t="str">
        <f t="shared" si="13"/>
        <v>Sorry, question (1.23) is required!</v>
      </c>
      <c r="O145" s="110" t="s">
        <v>3365</v>
      </c>
    </row>
    <row r="146" spans="1:24" ht="14.25" customHeight="1">
      <c r="A146" t="s">
        <v>57</v>
      </c>
      <c r="B146" t="s">
        <v>2838</v>
      </c>
      <c r="E146" s="118" t="s">
        <v>2839</v>
      </c>
      <c r="H146" s="206" t="str">
        <f t="shared" si="21"/>
        <v>(1.24) Is this primary source of water used only by the facility, or is it shared with other users?</v>
      </c>
      <c r="I146" s="213" t="str">
        <f t="shared" si="18"/>
        <v>select_one sou</v>
      </c>
      <c r="J146" s="106" t="s">
        <v>4457</v>
      </c>
      <c r="K146" s="116" t="s">
        <v>2443</v>
      </c>
      <c r="L146" s="118" t="str">
        <f t="shared" si="13"/>
        <v>Sorry, question (1.24) is required!</v>
      </c>
      <c r="O146" s="110" t="s">
        <v>3377</v>
      </c>
    </row>
    <row r="147" spans="1:24" ht="14.25" customHeight="1">
      <c r="A147" t="s">
        <v>15</v>
      </c>
      <c r="L147" s="118" t="str">
        <f t="shared" si="13"/>
        <v/>
      </c>
    </row>
    <row r="148" spans="1:24" ht="14.25" customHeight="1">
      <c r="A148" t="s">
        <v>12</v>
      </c>
      <c r="B148" s="1" t="s">
        <v>4572</v>
      </c>
      <c r="J148" s="106" t="s">
        <v>13</v>
      </c>
      <c r="L148" s="118" t="str">
        <f t="shared" si="13"/>
        <v/>
      </c>
      <c r="X148" t="s">
        <v>3033</v>
      </c>
    </row>
    <row r="149" spans="1:24" ht="14.25" customHeight="1">
      <c r="A149" t="s">
        <v>58</v>
      </c>
      <c r="B149" t="s">
        <v>2840</v>
      </c>
      <c r="E149" s="118" t="s">
        <v>2841</v>
      </c>
      <c r="H149" s="206" t="str">
        <f>E149</f>
        <v>(1.25) In the last 7 days, was there any time when there was no water available in the facility?</v>
      </c>
      <c r="I149" s="213" t="str">
        <f t="shared" si="18"/>
        <v>select_one yesno</v>
      </c>
      <c r="J149" s="106" t="s">
        <v>4457</v>
      </c>
      <c r="K149" s="116" t="s">
        <v>2443</v>
      </c>
      <c r="L149" s="118" t="str">
        <f t="shared" si="13"/>
        <v>Sorry, question (1.25) is required!</v>
      </c>
      <c r="O149" s="110" t="s">
        <v>3589</v>
      </c>
    </row>
    <row r="150" spans="1:24" ht="14.25" customHeight="1">
      <c r="A150" t="s">
        <v>59</v>
      </c>
      <c r="B150" t="s">
        <v>2842</v>
      </c>
      <c r="E150" s="118" t="s">
        <v>2843</v>
      </c>
      <c r="F150" s="118" t="s">
        <v>5316</v>
      </c>
      <c r="H150" s="206" t="str">
        <f t="shared" ref="H150:H153" si="22">E150</f>
        <v>(1.26) In the last 7 days, for how many hours was there no water available at the facility?</v>
      </c>
      <c r="I150" s="213" t="str">
        <f t="shared" si="18"/>
        <v>integer</v>
      </c>
      <c r="K150" s="116" t="s">
        <v>2443</v>
      </c>
      <c r="L150" s="118" t="str">
        <f t="shared" si="13"/>
        <v>Sorry, question (1.26) is required!</v>
      </c>
      <c r="M150" s="113" t="s">
        <v>4145</v>
      </c>
      <c r="N150" t="s">
        <v>3697</v>
      </c>
      <c r="O150" s="110" t="s">
        <v>4573</v>
      </c>
    </row>
    <row r="151" spans="1:24" ht="14.25" customHeight="1">
      <c r="A151" t="s">
        <v>60</v>
      </c>
      <c r="B151" t="s">
        <v>2844</v>
      </c>
      <c r="E151" s="118" t="s">
        <v>5317</v>
      </c>
      <c r="F151" s="118" t="s">
        <v>3548</v>
      </c>
      <c r="H151" s="206" t="str">
        <f t="shared" si="22"/>
        <v xml:space="preserve">(1.27) How long does it take to fetch water from the primary source for the health facility, &lt;u&gt;&lt;b&gt;one way on foot in minutes&lt;/b&gt;&lt;/u&gt;? </v>
      </c>
      <c r="I151" s="213" t="str">
        <f t="shared" si="18"/>
        <v>integer</v>
      </c>
      <c r="K151" s="116" t="s">
        <v>2443</v>
      </c>
      <c r="L151" s="118" t="str">
        <f t="shared" si="13"/>
        <v>Sorry, question (1.27) is required!</v>
      </c>
      <c r="M151" s="113" t="s">
        <v>2504</v>
      </c>
      <c r="N151" t="s">
        <v>3698</v>
      </c>
    </row>
    <row r="152" spans="1:24" ht="14.25" customHeight="1">
      <c r="A152" s="1" t="s">
        <v>61</v>
      </c>
      <c r="B152" t="s">
        <v>2845</v>
      </c>
      <c r="E152" s="118" t="s">
        <v>2846</v>
      </c>
      <c r="H152" s="206" t="str">
        <f t="shared" si="22"/>
        <v>(1.28) Does the health facility have phone line, whether a landline or a mobile line?</v>
      </c>
      <c r="I152" s="213" t="str">
        <f t="shared" si="18"/>
        <v>select_one yesno2</v>
      </c>
      <c r="J152" s="106" t="s">
        <v>4457</v>
      </c>
      <c r="K152" s="116" t="s">
        <v>2443</v>
      </c>
      <c r="L152" s="118" t="str">
        <f t="shared" si="13"/>
        <v>Sorry, question (1.28) is required!</v>
      </c>
    </row>
    <row r="153" spans="1:24" ht="14.25" customHeight="1">
      <c r="A153" t="s">
        <v>62</v>
      </c>
      <c r="B153" t="s">
        <v>2847</v>
      </c>
      <c r="E153" s="118" t="s">
        <v>3119</v>
      </c>
      <c r="H153" s="206" t="str">
        <f t="shared" si="22"/>
        <v>(1.29) Are there any phone services available in the community apart from the staffs' personal phone that the health facility staff can use if needed?"</v>
      </c>
      <c r="I153" s="213" t="str">
        <f t="shared" si="18"/>
        <v>select_one yesno</v>
      </c>
      <c r="J153" s="106" t="s">
        <v>4457</v>
      </c>
      <c r="K153" s="116" t="s">
        <v>2443</v>
      </c>
      <c r="L153" s="118" t="str">
        <f t="shared" si="13"/>
        <v>Sorry, question (1.29) is required!</v>
      </c>
      <c r="O153" s="110" t="s">
        <v>4574</v>
      </c>
    </row>
    <row r="154" spans="1:24" ht="14.25" customHeight="1">
      <c r="A154" t="s">
        <v>15</v>
      </c>
      <c r="L154" s="118" t="str">
        <f t="shared" si="13"/>
        <v/>
      </c>
      <c r="X154" t="s">
        <v>3033</v>
      </c>
    </row>
    <row r="155" spans="1:24" ht="14.25" customHeight="1">
      <c r="A155" t="s">
        <v>12</v>
      </c>
      <c r="B155" s="1" t="s">
        <v>4576</v>
      </c>
      <c r="J155" s="106" t="s">
        <v>13</v>
      </c>
      <c r="L155" s="118" t="str">
        <f t="shared" si="13"/>
        <v/>
      </c>
      <c r="X155" t="s">
        <v>3033</v>
      </c>
    </row>
    <row r="156" spans="1:24" ht="14.25" customHeight="1">
      <c r="A156" t="s">
        <v>63</v>
      </c>
      <c r="B156" t="s">
        <v>2848</v>
      </c>
      <c r="E156" s="118" t="s">
        <v>2849</v>
      </c>
      <c r="F156" s="118" t="s">
        <v>3569</v>
      </c>
      <c r="H156" s="206" t="str">
        <f>E156</f>
        <v>(1.30) How long does it take to reach those phone services?</v>
      </c>
      <c r="I156" s="213" t="str">
        <f t="shared" si="18"/>
        <v>integer</v>
      </c>
      <c r="J156" s="106" t="s">
        <v>3379</v>
      </c>
      <c r="K156" s="116" t="s">
        <v>2443</v>
      </c>
      <c r="L156" s="118" t="str">
        <f t="shared" si="13"/>
        <v>Sorry, question (1.30) is required!</v>
      </c>
      <c r="M156" s="113" t="s">
        <v>2504</v>
      </c>
      <c r="N156" t="s">
        <v>3699</v>
      </c>
      <c r="O156" s="110" t="s">
        <v>4575</v>
      </c>
    </row>
    <row r="157" spans="1:24" ht="14.25" customHeight="1">
      <c r="A157" t="s">
        <v>64</v>
      </c>
      <c r="B157" t="s">
        <v>2850</v>
      </c>
      <c r="E157" s="118" t="s">
        <v>2851</v>
      </c>
      <c r="H157" s="206" t="str">
        <f t="shared" ref="H157:H160" si="23">E157</f>
        <v>(1.31) In the last 7 days, was there any time when the facility did not have any telephone service whether landline or mobile?</v>
      </c>
      <c r="I157" s="213" t="str">
        <f t="shared" si="18"/>
        <v>select_one yesno</v>
      </c>
      <c r="J157" s="106" t="s">
        <v>4457</v>
      </c>
      <c r="K157" s="116" t="s">
        <v>2443</v>
      </c>
      <c r="L157" s="118" t="str">
        <f t="shared" si="13"/>
        <v>Sorry, question (1.31) is required!</v>
      </c>
      <c r="O157" s="110" t="s">
        <v>6535</v>
      </c>
    </row>
    <row r="158" spans="1:24" ht="14.25" customHeight="1">
      <c r="A158" t="s">
        <v>65</v>
      </c>
      <c r="B158" t="s">
        <v>2852</v>
      </c>
      <c r="E158" s="118" t="s">
        <v>2853</v>
      </c>
      <c r="F158" s="118" t="s">
        <v>5316</v>
      </c>
      <c r="H158" s="206" t="str">
        <f t="shared" si="23"/>
        <v>(1.32) How many hours was telephone out in the last 7 days?</v>
      </c>
      <c r="I158" s="213" t="str">
        <f t="shared" si="18"/>
        <v>integer</v>
      </c>
      <c r="J158" s="106" t="s">
        <v>3379</v>
      </c>
      <c r="K158" s="116" t="s">
        <v>2443</v>
      </c>
      <c r="L158" s="118" t="str">
        <f t="shared" si="13"/>
        <v>Sorry, question (1.32) is required!</v>
      </c>
      <c r="M158" s="113" t="s">
        <v>4145</v>
      </c>
      <c r="N158" t="s">
        <v>3700</v>
      </c>
      <c r="O158" s="110" t="s">
        <v>4577</v>
      </c>
    </row>
    <row r="159" spans="1:24" ht="14.25" customHeight="1">
      <c r="A159" t="s">
        <v>66</v>
      </c>
      <c r="B159" t="s">
        <v>2854</v>
      </c>
      <c r="E159" s="118" t="s">
        <v>2855</v>
      </c>
      <c r="H159" s="206" t="str">
        <f t="shared" si="23"/>
        <v>(1.33) Do any of the health facility staff have a mobile phone line?</v>
      </c>
      <c r="I159" s="213" t="str">
        <f t="shared" si="18"/>
        <v>select_one yesno</v>
      </c>
      <c r="J159" s="106" t="s">
        <v>4457</v>
      </c>
      <c r="K159" s="116" t="s">
        <v>2443</v>
      </c>
      <c r="L159" s="118" t="str">
        <f t="shared" si="13"/>
        <v>Sorry, question (1.33) is required!</v>
      </c>
    </row>
    <row r="160" spans="1:24" ht="13.5" customHeight="1">
      <c r="A160" t="s">
        <v>67</v>
      </c>
      <c r="B160" t="s">
        <v>2856</v>
      </c>
      <c r="E160" s="118" t="s">
        <v>2857</v>
      </c>
      <c r="H160" s="206" t="str">
        <f t="shared" si="23"/>
        <v>(1.34) Does this facility refer patients to other facilities?</v>
      </c>
      <c r="I160" s="213" t="str">
        <f t="shared" si="18"/>
        <v>select_one yesno</v>
      </c>
      <c r="J160" s="106" t="s">
        <v>4457</v>
      </c>
      <c r="K160" s="116" t="s">
        <v>2443</v>
      </c>
      <c r="L160" s="118" t="str">
        <f t="shared" si="13"/>
        <v>Sorry, question (1.34) is required!</v>
      </c>
    </row>
    <row r="161" spans="1:24" ht="16.5" customHeight="1">
      <c r="A161" t="s">
        <v>15</v>
      </c>
      <c r="L161" s="118" t="str">
        <f t="shared" si="13"/>
        <v/>
      </c>
      <c r="X161" t="s">
        <v>3033</v>
      </c>
    </row>
    <row r="162" spans="1:24" ht="14.25" customHeight="1">
      <c r="A162" t="s">
        <v>68</v>
      </c>
      <c r="B162" s="1" t="s">
        <v>4578</v>
      </c>
      <c r="J162" s="106" t="s">
        <v>69</v>
      </c>
      <c r="L162" s="118" t="str">
        <f t="shared" si="13"/>
        <v/>
      </c>
      <c r="O162" s="110" t="s">
        <v>2738</v>
      </c>
      <c r="X162" t="s">
        <v>3033</v>
      </c>
    </row>
    <row r="163" spans="1:24" ht="14.25" customHeight="1">
      <c r="A163" t="s">
        <v>17</v>
      </c>
      <c r="B163" t="s">
        <v>2529</v>
      </c>
      <c r="E163" s="118" t="s">
        <v>4232</v>
      </c>
      <c r="I163" s="213" t="str">
        <f t="shared" si="18"/>
        <v>note</v>
      </c>
      <c r="L163" s="118" t="str">
        <f t="shared" si="13"/>
        <v/>
      </c>
    </row>
    <row r="164" spans="1:24" ht="14.25" customHeight="1">
      <c r="A164" t="s">
        <v>17</v>
      </c>
      <c r="B164" t="s">
        <v>2530</v>
      </c>
      <c r="E164" s="132" t="s">
        <v>4579</v>
      </c>
      <c r="I164" s="213" t="str">
        <f t="shared" si="18"/>
        <v>note</v>
      </c>
      <c r="L164" s="118" t="str">
        <f t="shared" si="13"/>
        <v/>
      </c>
    </row>
    <row r="165" spans="1:24" ht="14.25" customHeight="1">
      <c r="A165" t="s">
        <v>17</v>
      </c>
      <c r="B165" t="s">
        <v>2858</v>
      </c>
      <c r="E165" s="118" t="s">
        <v>2584</v>
      </c>
      <c r="I165" s="213" t="str">
        <f t="shared" si="18"/>
        <v>note</v>
      </c>
      <c r="L165" s="118" t="str">
        <f t="shared" si="13"/>
        <v/>
      </c>
    </row>
    <row r="166" spans="1:24" ht="14.25" customHeight="1">
      <c r="A166" t="s">
        <v>71</v>
      </c>
      <c r="B166" t="s">
        <v>5252</v>
      </c>
      <c r="C166" t="s">
        <v>3605</v>
      </c>
      <c r="D166" t="s">
        <v>72</v>
      </c>
      <c r="E166" s="118" t="str">
        <f>C166&amp;D166</f>
        <v>a.Lab tests</v>
      </c>
      <c r="H166" s="206" t="str">
        <f>E165&amp; " - "&amp;E166</f>
        <v>(1.35) Where does the facility refer the following? - a.Lab tests</v>
      </c>
      <c r="I166" s="213" t="str">
        <f t="shared" si="18"/>
        <v>select_one faci</v>
      </c>
      <c r="J166" s="106" t="s">
        <v>4457</v>
      </c>
      <c r="K166" s="116" t="s">
        <v>2443</v>
      </c>
      <c r="L166" s="118" t="str">
        <f>IF(K166="yes",("Sorry, question "&amp;LEFT($E$165, 6)&amp;LEFT(C166,1)&amp;" is required!"),"")</f>
        <v>Sorry, question (1.35)a is required!</v>
      </c>
    </row>
    <row r="167" spans="1:24" ht="14.25" customHeight="1">
      <c r="A167" t="s">
        <v>73</v>
      </c>
      <c r="B167" t="s">
        <v>5253</v>
      </c>
      <c r="C167" t="s">
        <v>3606</v>
      </c>
      <c r="D167" t="s">
        <v>74</v>
      </c>
      <c r="E167" s="118" t="str">
        <f t="shared" ref="E167:E174" si="24">C167&amp;D167</f>
        <v>b.Radiology</v>
      </c>
      <c r="H167" s="206" t="str">
        <f>E165&amp; " - "&amp;E167</f>
        <v>(1.35) Where does the facility refer the following? - b.Radiology</v>
      </c>
      <c r="I167" s="213" t="str">
        <f t="shared" si="18"/>
        <v>select_one faci</v>
      </c>
      <c r="J167" s="106" t="s">
        <v>4457</v>
      </c>
      <c r="K167" s="116" t="s">
        <v>2443</v>
      </c>
      <c r="L167" s="118" t="str">
        <f t="shared" ref="L167:L174" si="25">IF(K167="yes",("Sorry, question "&amp;LEFT($E$165, 6)&amp;LEFT(C167,1)&amp;" is required!"),"")</f>
        <v>Sorry, question (1.35)b is required!</v>
      </c>
    </row>
    <row r="168" spans="1:24" ht="14.25" customHeight="1">
      <c r="A168" t="s">
        <v>75</v>
      </c>
      <c r="B168" t="s">
        <v>5254</v>
      </c>
      <c r="C168" t="s">
        <v>3607</v>
      </c>
      <c r="D168" t="s">
        <v>76</v>
      </c>
      <c r="E168" s="118" t="str">
        <f t="shared" si="24"/>
        <v>c.In-patient</v>
      </c>
      <c r="H168" s="206" t="str">
        <f>E165&amp; " - "&amp;E168</f>
        <v>(1.35) Where does the facility refer the following? - c.In-patient</v>
      </c>
      <c r="I168" s="213" t="str">
        <f t="shared" si="18"/>
        <v>select_one faci</v>
      </c>
      <c r="J168" s="106" t="s">
        <v>4457</v>
      </c>
      <c r="K168" s="116" t="s">
        <v>2443</v>
      </c>
      <c r="L168" s="118" t="str">
        <f t="shared" si="25"/>
        <v>Sorry, question (1.35)c is required!</v>
      </c>
    </row>
    <row r="169" spans="1:24" ht="14.25" customHeight="1">
      <c r="A169" t="s">
        <v>77</v>
      </c>
      <c r="B169" t="s">
        <v>5255</v>
      </c>
      <c r="C169" t="s">
        <v>3608</v>
      </c>
      <c r="D169" t="s">
        <v>78</v>
      </c>
      <c r="E169" s="118" t="str">
        <f t="shared" si="24"/>
        <v>d.Specialized care</v>
      </c>
      <c r="H169" s="206" t="str">
        <f>E165&amp; " - "&amp;E169</f>
        <v>(1.35) Where does the facility refer the following? - d.Specialized care</v>
      </c>
      <c r="I169" s="213" t="str">
        <f t="shared" si="18"/>
        <v>select_one faci</v>
      </c>
      <c r="J169" s="106" t="s">
        <v>4457</v>
      </c>
      <c r="K169" s="116" t="s">
        <v>2443</v>
      </c>
      <c r="L169" s="118" t="str">
        <f t="shared" si="25"/>
        <v>Sorry, question (1.35)d is required!</v>
      </c>
    </row>
    <row r="170" spans="1:24" ht="14.25" customHeight="1">
      <c r="A170" t="s">
        <v>79</v>
      </c>
      <c r="B170" t="s">
        <v>5256</v>
      </c>
      <c r="C170" t="s">
        <v>3609</v>
      </c>
      <c r="D170" t="s">
        <v>80</v>
      </c>
      <c r="E170" s="118" t="str">
        <f t="shared" si="24"/>
        <v>e.Surgery</v>
      </c>
      <c r="H170" s="206" t="str">
        <f>E165&amp; " - "&amp;E170</f>
        <v>(1.35) Where does the facility refer the following? - e.Surgery</v>
      </c>
      <c r="I170" s="213" t="str">
        <f t="shared" si="18"/>
        <v>select_one faci</v>
      </c>
      <c r="J170" s="106" t="s">
        <v>4457</v>
      </c>
      <c r="K170" s="116" t="s">
        <v>2443</v>
      </c>
      <c r="L170" s="118" t="str">
        <f t="shared" si="25"/>
        <v>Sorry, question (1.35)e is required!</v>
      </c>
    </row>
    <row r="171" spans="1:24" ht="14.25" customHeight="1">
      <c r="A171" t="s">
        <v>81</v>
      </c>
      <c r="B171" t="s">
        <v>5257</v>
      </c>
      <c r="C171" t="s">
        <v>3610</v>
      </c>
      <c r="D171" t="s">
        <v>2482</v>
      </c>
      <c r="E171" s="118" t="str">
        <f t="shared" si="24"/>
        <v>f.High Risk Pregnancy</v>
      </c>
      <c r="H171" s="206" t="str">
        <f>E165&amp; " - "&amp;E171</f>
        <v>(1.35) Where does the facility refer the following? - f.High Risk Pregnancy</v>
      </c>
      <c r="I171" s="213" t="str">
        <f t="shared" si="18"/>
        <v>select_one faci</v>
      </c>
      <c r="J171" s="106" t="s">
        <v>4457</v>
      </c>
      <c r="K171" s="116" t="s">
        <v>2443</v>
      </c>
      <c r="L171" s="118" t="str">
        <f t="shared" si="25"/>
        <v>Sorry, question (1.35)f is required!</v>
      </c>
    </row>
    <row r="172" spans="1:24" ht="14.25" customHeight="1">
      <c r="A172" t="s">
        <v>83</v>
      </c>
      <c r="B172" t="s">
        <v>5258</v>
      </c>
      <c r="C172" t="s">
        <v>3611</v>
      </c>
      <c r="D172" t="s">
        <v>82</v>
      </c>
      <c r="E172" s="118" t="str">
        <f t="shared" si="24"/>
        <v>g.Uncomplicated delivery</v>
      </c>
      <c r="H172" s="206" t="str">
        <f>E165&amp; " - "&amp;E172</f>
        <v>(1.35) Where does the facility refer the following? - g.Uncomplicated delivery</v>
      </c>
      <c r="I172" s="213" t="str">
        <f t="shared" si="18"/>
        <v>select_one faci</v>
      </c>
      <c r="J172" s="106" t="s">
        <v>4457</v>
      </c>
      <c r="K172" s="116" t="s">
        <v>2443</v>
      </c>
      <c r="L172" s="118" t="str">
        <f t="shared" si="25"/>
        <v>Sorry, question (1.35)g is required!</v>
      </c>
    </row>
    <row r="173" spans="1:24" ht="14.25" customHeight="1">
      <c r="A173" t="s">
        <v>70</v>
      </c>
      <c r="B173" t="s">
        <v>5259</v>
      </c>
      <c r="C173" t="s">
        <v>3612</v>
      </c>
      <c r="D173" t="s">
        <v>84</v>
      </c>
      <c r="E173" s="118" t="str">
        <f t="shared" si="24"/>
        <v>h.Complicated delivery</v>
      </c>
      <c r="H173" s="206" t="str">
        <f>E165&amp; " - "&amp;E173</f>
        <v>(1.35) Where does the facility refer the following? - h.Complicated delivery</v>
      </c>
      <c r="I173" s="213" t="str">
        <f t="shared" si="18"/>
        <v>select_one faci</v>
      </c>
      <c r="J173" s="106" t="s">
        <v>4457</v>
      </c>
      <c r="K173" s="116" t="s">
        <v>2443</v>
      </c>
      <c r="L173" s="118" t="str">
        <f t="shared" si="25"/>
        <v>Sorry, question (1.35)h is required!</v>
      </c>
    </row>
    <row r="174" spans="1:24" ht="14.25" customHeight="1">
      <c r="A174" t="s">
        <v>70</v>
      </c>
      <c r="B174" t="s">
        <v>5260</v>
      </c>
      <c r="C174" t="s">
        <v>3613</v>
      </c>
      <c r="D174" t="s">
        <v>35</v>
      </c>
      <c r="E174" s="118" t="str">
        <f t="shared" si="24"/>
        <v>i.Other, specify:</v>
      </c>
      <c r="H174" s="206" t="str">
        <f>E165&amp; " - "&amp;E174</f>
        <v>(1.35) Where does the facility refer the following? - i.Other, specify:</v>
      </c>
      <c r="I174" s="213" t="str">
        <f t="shared" si="18"/>
        <v>select_one faci</v>
      </c>
      <c r="J174" s="106" t="s">
        <v>4457</v>
      </c>
      <c r="K174" s="116" t="s">
        <v>2443</v>
      </c>
      <c r="L174" s="118" t="str">
        <f t="shared" si="25"/>
        <v>Sorry, question (1.35)i is required!</v>
      </c>
    </row>
    <row r="175" spans="1:24" ht="14.25" customHeight="1">
      <c r="A175" t="s">
        <v>16</v>
      </c>
      <c r="B175" t="s">
        <v>5261</v>
      </c>
      <c r="E175" s="118" t="s">
        <v>6579</v>
      </c>
      <c r="H175" s="206" t="str">
        <f>E165&amp; " - "&amp;E175</f>
        <v>(1.35) Where does the facility refer the following? - (a.other) Other health facility refer Lab tests</v>
      </c>
      <c r="I175" s="213" t="str">
        <f t="shared" si="18"/>
        <v>text</v>
      </c>
      <c r="K175" s="116" t="s">
        <v>2443</v>
      </c>
      <c r="L175" s="118" t="str">
        <f t="shared" si="13"/>
        <v>Sorry, question (a.oth is required!</v>
      </c>
      <c r="O175" s="110" t="s">
        <v>5290</v>
      </c>
    </row>
    <row r="176" spans="1:24" ht="14.25" customHeight="1">
      <c r="A176" t="s">
        <v>16</v>
      </c>
      <c r="B176" t="s">
        <v>5262</v>
      </c>
      <c r="E176" s="118" t="s">
        <v>6581</v>
      </c>
      <c r="H176" s="206" t="str">
        <f>E165&amp; " - "&amp;E176</f>
        <v>(1.35) Where does the facility refer the following? - (b.other) Other health facility refer Radiology</v>
      </c>
      <c r="I176" s="213" t="str">
        <f t="shared" si="18"/>
        <v>text</v>
      </c>
      <c r="K176" s="116" t="s">
        <v>2443</v>
      </c>
      <c r="L176" s="118" t="str">
        <f t="shared" ref="L176:L242" si="26">IF(K176="yes",("Sorry, question "&amp;LEFT(E176, 6)&amp;" is required!"),"")</f>
        <v>Sorry, question (b.oth is required!</v>
      </c>
      <c r="O176" s="110" t="s">
        <v>5291</v>
      </c>
    </row>
    <row r="177" spans="1:24" ht="14.25" customHeight="1">
      <c r="A177" t="s">
        <v>16</v>
      </c>
      <c r="B177" t="s">
        <v>5263</v>
      </c>
      <c r="E177" s="118" t="s">
        <v>6580</v>
      </c>
      <c r="H177" s="206" t="str">
        <f>E165&amp; " - "&amp;E177</f>
        <v>(1.35) Where does the facility refer the following? - (c.other) Other health facility refer In-patient</v>
      </c>
      <c r="I177" s="213" t="str">
        <f t="shared" si="18"/>
        <v>text</v>
      </c>
      <c r="K177" s="116" t="s">
        <v>2443</v>
      </c>
      <c r="L177" s="118" t="str">
        <f t="shared" si="26"/>
        <v>Sorry, question (c.oth is required!</v>
      </c>
      <c r="O177" s="110" t="s">
        <v>5292</v>
      </c>
    </row>
    <row r="178" spans="1:24" ht="14.25" customHeight="1">
      <c r="A178" t="s">
        <v>16</v>
      </c>
      <c r="B178" t="s">
        <v>5264</v>
      </c>
      <c r="E178" s="118" t="s">
        <v>6582</v>
      </c>
      <c r="H178" s="206" t="str">
        <f>E165&amp; " - "&amp;E178</f>
        <v>(1.35) Where does the facility refer the following? - (d.other) Other health facility refer Specialized care</v>
      </c>
      <c r="I178" s="213" t="str">
        <f t="shared" si="18"/>
        <v>text</v>
      </c>
      <c r="K178" s="116" t="s">
        <v>2443</v>
      </c>
      <c r="L178" s="118" t="str">
        <f t="shared" si="26"/>
        <v>Sorry, question (d.oth is required!</v>
      </c>
      <c r="O178" s="110" t="s">
        <v>5293</v>
      </c>
    </row>
    <row r="179" spans="1:24" ht="14.25" customHeight="1">
      <c r="A179" t="s">
        <v>16</v>
      </c>
      <c r="B179" t="s">
        <v>5265</v>
      </c>
      <c r="E179" s="118" t="s">
        <v>6583</v>
      </c>
      <c r="H179" s="206" t="str">
        <f>E165&amp; " - "&amp;E179</f>
        <v>(1.35) Where does the facility refer the following? - (e.other) Other health facility refer Surgery</v>
      </c>
      <c r="I179" s="213" t="str">
        <f t="shared" si="18"/>
        <v>text</v>
      </c>
      <c r="K179" s="116" t="s">
        <v>2443</v>
      </c>
      <c r="L179" s="118" t="str">
        <f t="shared" si="26"/>
        <v>Sorry, question (e.oth is required!</v>
      </c>
      <c r="O179" s="110" t="s">
        <v>5294</v>
      </c>
    </row>
    <row r="180" spans="1:24" ht="14.25" customHeight="1">
      <c r="A180" t="s">
        <v>16</v>
      </c>
      <c r="B180" t="s">
        <v>5266</v>
      </c>
      <c r="E180" s="118" t="s">
        <v>6584</v>
      </c>
      <c r="H180" s="206" t="str">
        <f>E165&amp; " - "&amp;E180</f>
        <v>(1.35) Where does the facility refer the following? - (f.other) Other health facility refer High Risk Pregnancy</v>
      </c>
      <c r="I180" s="213" t="str">
        <f t="shared" si="18"/>
        <v>text</v>
      </c>
      <c r="K180" s="116" t="s">
        <v>2443</v>
      </c>
      <c r="L180" s="118" t="str">
        <f t="shared" si="26"/>
        <v>Sorry, question (f.oth is required!</v>
      </c>
      <c r="O180" s="110" t="s">
        <v>5295</v>
      </c>
    </row>
    <row r="181" spans="1:24" ht="14.25" customHeight="1">
      <c r="A181" t="s">
        <v>16</v>
      </c>
      <c r="B181" t="s">
        <v>5267</v>
      </c>
      <c r="E181" s="118" t="s">
        <v>6585</v>
      </c>
      <c r="H181" s="206" t="str">
        <f>E165&amp; " - "&amp;E181</f>
        <v>(1.35) Where does the facility refer the following? - (g.other) Other health facility refer Uncomplicated delivery</v>
      </c>
      <c r="I181" s="213" t="str">
        <f t="shared" si="18"/>
        <v>text</v>
      </c>
      <c r="K181" s="116" t="s">
        <v>2443</v>
      </c>
      <c r="L181" s="118" t="str">
        <f t="shared" si="26"/>
        <v>Sorry, question (g.oth is required!</v>
      </c>
      <c r="O181" s="110" t="s">
        <v>5296</v>
      </c>
    </row>
    <row r="182" spans="1:24" ht="14.25" customHeight="1">
      <c r="A182" t="s">
        <v>16</v>
      </c>
      <c r="B182" t="s">
        <v>5268</v>
      </c>
      <c r="E182" s="118" t="s">
        <v>6586</v>
      </c>
      <c r="H182" s="206" t="str">
        <f>E165&amp; " - "&amp;E182</f>
        <v>(1.35) Where does the facility refer the following? - (h.other) Other health facility refer Complicated delivery</v>
      </c>
      <c r="I182" s="213" t="str">
        <f t="shared" si="18"/>
        <v>text</v>
      </c>
      <c r="K182" s="116" t="s">
        <v>2443</v>
      </c>
      <c r="L182" s="118" t="str">
        <f t="shared" si="26"/>
        <v>Sorry, question (h.oth is required!</v>
      </c>
      <c r="O182" s="110" t="s">
        <v>5297</v>
      </c>
    </row>
    <row r="183" spans="1:24" ht="14.25" customHeight="1">
      <c r="A183" t="s">
        <v>16</v>
      </c>
      <c r="B183" t="s">
        <v>5270</v>
      </c>
      <c r="E183" s="118" t="s">
        <v>6587</v>
      </c>
      <c r="H183" s="206" t="str">
        <f>E165&amp; " - "&amp;E183</f>
        <v>(1.35) Where does the facility refer the following? - (i.other) Other health facility, specify:</v>
      </c>
      <c r="I183" s="213" t="str">
        <f t="shared" si="18"/>
        <v>text</v>
      </c>
      <c r="K183" s="116" t="s">
        <v>2443</v>
      </c>
      <c r="L183" s="118" t="str">
        <f>IF(K183="yes",("Sorry, question "&amp;LEFT(E183, 6)&amp;" is required!"),"")</f>
        <v>Sorry, question (i.oth is required!</v>
      </c>
      <c r="O183" s="110" t="s">
        <v>5318</v>
      </c>
    </row>
    <row r="184" spans="1:24" ht="14.25" customHeight="1">
      <c r="A184" t="s">
        <v>16</v>
      </c>
      <c r="B184" t="s">
        <v>5269</v>
      </c>
      <c r="E184" s="118" t="s">
        <v>6588</v>
      </c>
      <c r="H184" s="206" t="str">
        <f>E165&amp; " - "&amp;E184</f>
        <v>(1.35) Where does the facility refer the following? - (i.other1) Other health service, specify:</v>
      </c>
      <c r="I184" s="213" t="str">
        <f t="shared" si="18"/>
        <v>text</v>
      </c>
      <c r="K184" s="116" t="s">
        <v>2443</v>
      </c>
      <c r="L184" s="118" t="str">
        <f t="shared" si="26"/>
        <v>Sorry, question (i.oth is required!</v>
      </c>
      <c r="O184" s="110" t="s">
        <v>5298</v>
      </c>
    </row>
    <row r="185" spans="1:24" ht="14.25" customHeight="1">
      <c r="A185" t="s">
        <v>2583</v>
      </c>
      <c r="B185" t="s">
        <v>2859</v>
      </c>
      <c r="E185" s="118" t="s">
        <v>5319</v>
      </c>
      <c r="F185" s="118" t="s">
        <v>3120</v>
      </c>
      <c r="H185" s="206" t="str">
        <f>E185</f>
        <v>(1.36) How far is the main referral facility from this facility &lt;u&gt;&lt;b&gt;one way in kilometers&lt;/b&gt;&lt;/u&gt;?</v>
      </c>
      <c r="I185" s="213" t="s">
        <v>14</v>
      </c>
      <c r="J185" s="106" t="s">
        <v>3379</v>
      </c>
      <c r="K185" s="116" t="s">
        <v>2443</v>
      </c>
      <c r="L185" s="118" t="str">
        <f t="shared" si="26"/>
        <v>Sorry, question (1.36) is required!</v>
      </c>
      <c r="M185" s="113" t="s">
        <v>6831</v>
      </c>
      <c r="N185" t="s">
        <v>3701</v>
      </c>
    </row>
    <row r="186" spans="1:24" ht="14.25" customHeight="1">
      <c r="A186" t="s">
        <v>85</v>
      </c>
      <c r="L186" s="118" t="str">
        <f t="shared" si="26"/>
        <v/>
      </c>
      <c r="X186" t="s">
        <v>3033</v>
      </c>
    </row>
    <row r="187" spans="1:24" ht="14.25" customHeight="1">
      <c r="A187" t="s">
        <v>86</v>
      </c>
      <c r="B187" t="s">
        <v>2860</v>
      </c>
      <c r="E187" s="118" t="s">
        <v>2861</v>
      </c>
      <c r="H187" s="206" t="str">
        <f>E187</f>
        <v>(1.37) Does the facility have access to any kind of transportation (to pick up patients or take them to a referral facility)?</v>
      </c>
      <c r="I187" s="213" t="str">
        <f t="shared" si="18"/>
        <v>select_one yesno</v>
      </c>
      <c r="J187" s="106" t="s">
        <v>4457</v>
      </c>
      <c r="K187" s="116" t="s">
        <v>2443</v>
      </c>
      <c r="L187" s="118" t="str">
        <f t="shared" si="26"/>
        <v>Sorry, question (1.37) is required!</v>
      </c>
    </row>
    <row r="188" spans="1:24" ht="14.25" customHeight="1">
      <c r="A188" t="s">
        <v>12</v>
      </c>
      <c r="B188" s="1" t="s">
        <v>4580</v>
      </c>
      <c r="J188" s="106" t="s">
        <v>13</v>
      </c>
      <c r="L188" s="118" t="str">
        <f t="shared" si="26"/>
        <v/>
      </c>
      <c r="O188" s="110" t="s">
        <v>2739</v>
      </c>
      <c r="X188" t="s">
        <v>3033</v>
      </c>
    </row>
    <row r="189" spans="1:24" ht="14.25" customHeight="1">
      <c r="A189" t="s">
        <v>17</v>
      </c>
      <c r="B189" s="1" t="s">
        <v>4581</v>
      </c>
      <c r="E189" s="118" t="s">
        <v>4233</v>
      </c>
      <c r="I189" s="213" t="str">
        <f t="shared" si="18"/>
        <v>note</v>
      </c>
      <c r="L189" s="118" t="str">
        <f t="shared" si="26"/>
        <v/>
      </c>
    </row>
    <row r="190" spans="1:24" ht="14.25" customHeight="1">
      <c r="A190" t="s">
        <v>88</v>
      </c>
      <c r="B190" s="1" t="s">
        <v>4582</v>
      </c>
      <c r="E190" s="118" t="s">
        <v>2862</v>
      </c>
      <c r="F190" s="118" t="s">
        <v>3570</v>
      </c>
      <c r="I190" s="213" t="str">
        <f t="shared" si="18"/>
        <v>note</v>
      </c>
      <c r="L190" s="118" t="str">
        <f t="shared" si="26"/>
        <v/>
      </c>
    </row>
    <row r="191" spans="1:24" ht="14.25" customHeight="1">
      <c r="A191" t="s">
        <v>89</v>
      </c>
      <c r="B191" s="1" t="s">
        <v>5271</v>
      </c>
      <c r="C191" s="171"/>
      <c r="E191" s="118" t="s">
        <v>90</v>
      </c>
      <c r="H191" s="206" t="str">
        <f>E190&amp;" - "&amp;E191</f>
        <v>(1.38) How many working [VEHICLES] does the facility have access to? - a. Ambulance owned by facility</v>
      </c>
      <c r="I191" s="213" t="str">
        <f t="shared" ref="I191:I253" si="27">A191</f>
        <v>integer</v>
      </c>
      <c r="J191" s="106" t="s">
        <v>4552</v>
      </c>
      <c r="K191" s="116" t="s">
        <v>2443</v>
      </c>
      <c r="L191" s="118" t="str">
        <f>IF(K191="yes",("Sorry, question (1.38) "&amp;LEFT(E191, 1)&amp;" is required!"),"")</f>
        <v>Sorry, question (1.38) a is required!</v>
      </c>
      <c r="M191" s="113" t="s">
        <v>2504</v>
      </c>
      <c r="N191" t="str">
        <f xml:space="preserve"> "(1.38) " &amp; LEFT(E191,2) &amp; " MINIMUM 0"</f>
        <v>(1.38) a. MINIMUM 0</v>
      </c>
    </row>
    <row r="192" spans="1:24" ht="14.25" customHeight="1">
      <c r="A192" t="s">
        <v>91</v>
      </c>
      <c r="B192" s="1" t="s">
        <v>5272</v>
      </c>
      <c r="C192" s="172"/>
      <c r="E192" s="118" t="s">
        <v>2461</v>
      </c>
      <c r="H192" s="206" t="str">
        <f>E190&amp;" - "&amp;E192</f>
        <v>(1.38) How many working [VEHICLES] does the facility have access to? - b. Private vehicle rented full time</v>
      </c>
      <c r="I192" s="213" t="str">
        <f t="shared" si="27"/>
        <v>integer</v>
      </c>
      <c r="J192" s="106" t="s">
        <v>4552</v>
      </c>
      <c r="K192" s="116" t="s">
        <v>2443</v>
      </c>
      <c r="L192" s="118" t="str">
        <f t="shared" ref="L192:L200" si="28">IF(K192="yes",("Sorry, question (1.38) "&amp;LEFT(E192, 1)&amp;" is required!"),"")</f>
        <v>Sorry, question (1.38) b is required!</v>
      </c>
      <c r="M192" s="113" t="s">
        <v>2504</v>
      </c>
      <c r="N192" t="str">
        <f t="shared" ref="N192:N200" si="29" xml:space="preserve"> "(1.38) " &amp; LEFT(E192,2) &amp; " MINIMUM 0"</f>
        <v>(1.38) b. MINIMUM 0</v>
      </c>
    </row>
    <row r="193" spans="1:24" ht="14.25" customHeight="1">
      <c r="A193" t="s">
        <v>92</v>
      </c>
      <c r="B193" s="1" t="s">
        <v>5273</v>
      </c>
      <c r="C193" s="172"/>
      <c r="E193" s="118" t="s">
        <v>2462</v>
      </c>
      <c r="H193" s="206" t="str">
        <f>E190&amp;" - "&amp;E193</f>
        <v>(1.38) How many working [VEHICLES] does the facility have access to? - c. Private vehicle rented part time</v>
      </c>
      <c r="I193" s="213" t="str">
        <f t="shared" si="27"/>
        <v>integer</v>
      </c>
      <c r="J193" s="106" t="s">
        <v>4552</v>
      </c>
      <c r="K193" s="116" t="s">
        <v>2443</v>
      </c>
      <c r="L193" s="118" t="str">
        <f t="shared" si="28"/>
        <v>Sorry, question (1.38) c is required!</v>
      </c>
      <c r="M193" s="113" t="s">
        <v>2504</v>
      </c>
      <c r="N193" t="str">
        <f t="shared" si="29"/>
        <v>(1.38) c. MINIMUM 0</v>
      </c>
    </row>
    <row r="194" spans="1:24" ht="14.25" customHeight="1">
      <c r="A194" t="s">
        <v>93</v>
      </c>
      <c r="B194" s="1" t="s">
        <v>5274</v>
      </c>
      <c r="C194" s="171"/>
      <c r="E194" s="118" t="s">
        <v>2463</v>
      </c>
      <c r="H194" s="206" t="str">
        <f>E190&amp;" - "&amp;E194</f>
        <v>(1.38) How many working [VEHICLES] does the facility have access to? - d. Other vehicle owned by facility</v>
      </c>
      <c r="I194" s="213" t="str">
        <f t="shared" si="27"/>
        <v>integer</v>
      </c>
      <c r="J194" s="106" t="s">
        <v>4552</v>
      </c>
      <c r="K194" s="116" t="s">
        <v>2443</v>
      </c>
      <c r="L194" s="118" t="str">
        <f t="shared" si="28"/>
        <v>Sorry, question (1.38) d is required!</v>
      </c>
      <c r="M194" s="113" t="s">
        <v>2504</v>
      </c>
      <c r="N194" t="str">
        <f t="shared" si="29"/>
        <v>(1.38) d. MINIMUM 0</v>
      </c>
    </row>
    <row r="195" spans="1:24" ht="14.25" customHeight="1">
      <c r="A195" t="s">
        <v>94</v>
      </c>
      <c r="B195" s="1" t="s">
        <v>5275</v>
      </c>
      <c r="C195" s="171"/>
      <c r="E195" s="118" t="s">
        <v>2464</v>
      </c>
      <c r="H195" s="206" t="str">
        <f>E190&amp;" - "&amp;E195</f>
        <v>(1.38) How many working [VEHICLES] does the facility have access to? - e. Private vehicles on call</v>
      </c>
      <c r="I195" s="213" t="str">
        <f t="shared" si="27"/>
        <v>integer</v>
      </c>
      <c r="J195" s="106" t="s">
        <v>4552</v>
      </c>
      <c r="K195" s="116" t="s">
        <v>2443</v>
      </c>
      <c r="L195" s="118" t="str">
        <f t="shared" si="28"/>
        <v>Sorry, question (1.38) e is required!</v>
      </c>
      <c r="M195" s="113" t="s">
        <v>2504</v>
      </c>
      <c r="N195" t="str">
        <f t="shared" si="29"/>
        <v>(1.38) e. MINIMUM 0</v>
      </c>
    </row>
    <row r="196" spans="1:24" ht="14.25" customHeight="1">
      <c r="A196" t="s">
        <v>95</v>
      </c>
      <c r="B196" s="1" t="s">
        <v>5276</v>
      </c>
      <c r="C196" s="171"/>
      <c r="E196" s="118" t="s">
        <v>3486</v>
      </c>
      <c r="F196" s="118" t="s">
        <v>3487</v>
      </c>
      <c r="H196" s="206" t="str">
        <f>E190&amp;" - "&amp;E196</f>
        <v xml:space="preserve">(1.38) How many working [VEHICLES] does the facility have access to? - f. Contracted vehicle on call </v>
      </c>
      <c r="I196" s="213" t="str">
        <f t="shared" si="27"/>
        <v>integer</v>
      </c>
      <c r="J196" s="106" t="s">
        <v>4583</v>
      </c>
      <c r="K196" s="116" t="s">
        <v>2443</v>
      </c>
      <c r="L196" s="118" t="str">
        <f t="shared" si="28"/>
        <v>Sorry, question (1.38) f is required!</v>
      </c>
      <c r="M196" s="113" t="s">
        <v>2504</v>
      </c>
      <c r="N196" t="str">
        <f t="shared" si="29"/>
        <v>(1.38) f. MINIMUM 0</v>
      </c>
    </row>
    <row r="197" spans="1:24" ht="14.25" customHeight="1">
      <c r="A197" t="s">
        <v>96</v>
      </c>
      <c r="B197" s="1" t="s">
        <v>5277</v>
      </c>
      <c r="C197" s="171"/>
      <c r="E197" s="118" t="s">
        <v>2465</v>
      </c>
      <c r="H197" s="206" t="str">
        <f>E190&amp;" - "&amp;E197</f>
        <v>(1.38) How many working [VEHICLES] does the facility have access to? - g. Motorbike owned by facility</v>
      </c>
      <c r="I197" s="213" t="str">
        <f t="shared" si="27"/>
        <v>integer</v>
      </c>
      <c r="J197" s="106" t="s">
        <v>4584</v>
      </c>
      <c r="K197" s="116" t="s">
        <v>2443</v>
      </c>
      <c r="L197" s="118" t="str">
        <f t="shared" si="28"/>
        <v>Sorry, question (1.38) g is required!</v>
      </c>
      <c r="M197" s="113" t="s">
        <v>2504</v>
      </c>
      <c r="N197" t="str">
        <f t="shared" si="29"/>
        <v>(1.38) g. MINIMUM 0</v>
      </c>
    </row>
    <row r="198" spans="1:24" ht="14.25" customHeight="1">
      <c r="A198" t="s">
        <v>97</v>
      </c>
      <c r="B198" s="1" t="s">
        <v>5278</v>
      </c>
      <c r="C198" s="171"/>
      <c r="E198" s="118" t="s">
        <v>2466</v>
      </c>
      <c r="H198" s="206" t="str">
        <f>E190&amp;" - "&amp;E198</f>
        <v>(1.38) How many working [VEHICLES] does the facility have access to? - h. Rented motorbike</v>
      </c>
      <c r="I198" s="213" t="str">
        <f t="shared" si="27"/>
        <v>integer</v>
      </c>
      <c r="J198" s="106" t="s">
        <v>4552</v>
      </c>
      <c r="K198" s="116" t="s">
        <v>2443</v>
      </c>
      <c r="L198" s="118" t="str">
        <f t="shared" si="28"/>
        <v>Sorry, question (1.38) h is required!</v>
      </c>
      <c r="M198" s="113" t="s">
        <v>2504</v>
      </c>
      <c r="N198" t="str">
        <f t="shared" si="29"/>
        <v>(1.38) h. MINIMUM 0</v>
      </c>
    </row>
    <row r="199" spans="1:24" ht="14.25" customHeight="1">
      <c r="A199" t="s">
        <v>98</v>
      </c>
      <c r="B199" s="1" t="s">
        <v>5279</v>
      </c>
      <c r="C199" s="173"/>
      <c r="E199" s="118" t="s">
        <v>2467</v>
      </c>
      <c r="H199" s="206" t="str">
        <f>E190&amp;" - "&amp;E199</f>
        <v>(1.38) How many working [VEHICLES] does the facility have access to? - i. Bicycle owned by facility</v>
      </c>
      <c r="I199" s="213" t="str">
        <f t="shared" si="27"/>
        <v>integer</v>
      </c>
      <c r="J199" s="106" t="s">
        <v>4552</v>
      </c>
      <c r="K199" s="116" t="s">
        <v>2443</v>
      </c>
      <c r="L199" s="118" t="str">
        <f t="shared" si="28"/>
        <v>Sorry, question (1.38) i is required!</v>
      </c>
      <c r="M199" s="113" t="s">
        <v>2504</v>
      </c>
      <c r="N199" t="str">
        <f t="shared" si="29"/>
        <v>(1.38) i. MINIMUM 0</v>
      </c>
    </row>
    <row r="200" spans="1:24" ht="14.25" customHeight="1">
      <c r="A200" t="s">
        <v>99</v>
      </c>
      <c r="B200" s="1" t="s">
        <v>5280</v>
      </c>
      <c r="C200" s="171"/>
      <c r="E200" s="118" t="s">
        <v>256</v>
      </c>
      <c r="H200" s="206" t="str">
        <f>E190&amp;" - "&amp;E200</f>
        <v>(1.38) How many working [VEHICLES] does the facility have access to? - j. Other, specify:</v>
      </c>
      <c r="I200" s="213" t="str">
        <f t="shared" si="27"/>
        <v>integer</v>
      </c>
      <c r="J200" s="106" t="s">
        <v>4552</v>
      </c>
      <c r="K200" s="116" t="s">
        <v>2443</v>
      </c>
      <c r="L200" s="118" t="str">
        <f t="shared" si="28"/>
        <v>Sorry, question (1.38) j is required!</v>
      </c>
      <c r="M200" s="113" t="s">
        <v>2504</v>
      </c>
      <c r="N200" t="str">
        <f t="shared" si="29"/>
        <v>(1.38) j. MINIMUM 0</v>
      </c>
    </row>
    <row r="201" spans="1:24" ht="14.25" customHeight="1">
      <c r="A201" t="s">
        <v>15</v>
      </c>
      <c r="L201" s="118" t="str">
        <f t="shared" ref="L201" si="30">IF(K201="yes",("Sorry, question "&amp;LEFT(E201, 6)&amp;" is required!"),"")</f>
        <v/>
      </c>
      <c r="X201" t="s">
        <v>3033</v>
      </c>
    </row>
    <row r="202" spans="1:24" ht="14.25" customHeight="1">
      <c r="A202" t="s">
        <v>100</v>
      </c>
      <c r="B202" s="1" t="s">
        <v>5281</v>
      </c>
      <c r="E202" s="132" t="s">
        <v>6745</v>
      </c>
      <c r="F202" s="118" t="s">
        <v>5320</v>
      </c>
      <c r="H202" s="206" t="str">
        <f>E190&amp;" - "&amp;E202</f>
        <v>(1.38) How many working [VEHICLES] does the facility have access to? - j.Other, specify:</v>
      </c>
      <c r="I202" s="213" t="str">
        <f t="shared" si="27"/>
        <v>text</v>
      </c>
      <c r="J202" s="106" t="s">
        <v>6844</v>
      </c>
      <c r="K202" s="116" t="s">
        <v>2443</v>
      </c>
      <c r="L202" s="118" t="str">
        <f>IF(K202="yes",("Sorry, question (1.38) "&amp;LEFT(E202, 1)&amp;" is required!"),"")</f>
        <v>Sorry, question (1.38) j is required!</v>
      </c>
      <c r="O202" s="110" t="s">
        <v>5282</v>
      </c>
    </row>
    <row r="203" spans="1:24" s="175" customFormat="1" ht="14.25" customHeight="1">
      <c r="A203" s="175" t="s">
        <v>17</v>
      </c>
      <c r="B203" s="183" t="s">
        <v>6536</v>
      </c>
      <c r="E203" s="177" t="s">
        <v>6537</v>
      </c>
      <c r="F203" s="177"/>
      <c r="H203" s="208"/>
      <c r="I203" s="213" t="str">
        <f t="shared" si="27"/>
        <v>note</v>
      </c>
      <c r="J203" s="178"/>
      <c r="K203" s="179"/>
      <c r="L203" s="177"/>
      <c r="M203" s="180"/>
      <c r="O203" s="181" t="s">
        <v>6539</v>
      </c>
      <c r="P203" s="182"/>
    </row>
    <row r="204" spans="1:24" ht="14.25" customHeight="1">
      <c r="A204" t="s">
        <v>87</v>
      </c>
      <c r="B204" s="1" t="s">
        <v>4585</v>
      </c>
      <c r="J204" s="106" t="s">
        <v>13</v>
      </c>
      <c r="L204" s="118" t="str">
        <f t="shared" si="26"/>
        <v/>
      </c>
      <c r="X204" t="s">
        <v>3033</v>
      </c>
    </row>
    <row r="205" spans="1:24" ht="14.25" customHeight="1">
      <c r="A205" t="s">
        <v>102</v>
      </c>
      <c r="B205" t="s">
        <v>2863</v>
      </c>
      <c r="E205" s="118" t="s">
        <v>2864</v>
      </c>
      <c r="H205" s="206" t="str">
        <f>E205</f>
        <v>(1.39) In the last 7 days, was there any time when there was no transportation available for patients?</v>
      </c>
      <c r="I205" s="213" t="str">
        <f t="shared" si="27"/>
        <v>select_one yesno</v>
      </c>
      <c r="J205" s="106" t="s">
        <v>4457</v>
      </c>
      <c r="K205" s="116" t="s">
        <v>2443</v>
      </c>
      <c r="L205" s="118" t="str">
        <f t="shared" si="26"/>
        <v>Sorry, question (1.39) is required!</v>
      </c>
      <c r="O205" s="110" t="s">
        <v>2739</v>
      </c>
    </row>
    <row r="206" spans="1:24" ht="14.25" customHeight="1">
      <c r="A206" t="s">
        <v>103</v>
      </c>
      <c r="B206" t="s">
        <v>2865</v>
      </c>
      <c r="E206" s="118" t="s">
        <v>2866</v>
      </c>
      <c r="F206" s="118" t="s">
        <v>5321</v>
      </c>
      <c r="H206" s="206" t="str">
        <f t="shared" ref="H206:H207" si="31">E206</f>
        <v>(1.40) How many days was transportation unavailable in the last 7 days?</v>
      </c>
      <c r="I206" s="213" t="str">
        <f t="shared" si="27"/>
        <v>integer</v>
      </c>
      <c r="J206" s="106" t="s">
        <v>3379</v>
      </c>
      <c r="K206" s="116" t="s">
        <v>2443</v>
      </c>
      <c r="L206" s="118" t="str">
        <f t="shared" si="26"/>
        <v>Sorry, question (1.40) is required!</v>
      </c>
      <c r="M206" s="113" t="s">
        <v>4146</v>
      </c>
      <c r="N206" t="s">
        <v>3702</v>
      </c>
      <c r="O206" s="110" t="s">
        <v>3492</v>
      </c>
    </row>
    <row r="207" spans="1:24" ht="14.25" customHeight="1">
      <c r="A207" t="s">
        <v>104</v>
      </c>
      <c r="B207" t="s">
        <v>2867</v>
      </c>
      <c r="E207" s="118" t="s">
        <v>2868</v>
      </c>
      <c r="H207" s="206" t="str">
        <f t="shared" si="31"/>
        <v>(1.41) Does the facility own a functioning computer?</v>
      </c>
      <c r="I207" s="213" t="str">
        <f t="shared" si="27"/>
        <v>select_one yesno</v>
      </c>
      <c r="J207" s="106" t="s">
        <v>4457</v>
      </c>
      <c r="K207" s="116" t="s">
        <v>2443</v>
      </c>
      <c r="L207" s="118" t="str">
        <f t="shared" si="26"/>
        <v>Sorry, question (1.41) is required!</v>
      </c>
    </row>
    <row r="208" spans="1:24" ht="14.25" customHeight="1">
      <c r="A208" t="s">
        <v>106</v>
      </c>
      <c r="L208" s="118" t="str">
        <f t="shared" si="26"/>
        <v/>
      </c>
      <c r="X208" t="s">
        <v>3033</v>
      </c>
    </row>
    <row r="209" spans="1:24" ht="14.25" customHeight="1">
      <c r="A209" t="s">
        <v>107</v>
      </c>
      <c r="B209" s="1" t="s">
        <v>4586</v>
      </c>
      <c r="J209" s="106" t="s">
        <v>3526</v>
      </c>
      <c r="L209" s="118" t="str">
        <f t="shared" si="26"/>
        <v/>
      </c>
      <c r="X209" t="s">
        <v>3033</v>
      </c>
    </row>
    <row r="210" spans="1:24" ht="14.25" customHeight="1">
      <c r="A210" t="s">
        <v>108</v>
      </c>
      <c r="B210" s="1" t="s">
        <v>4587</v>
      </c>
      <c r="E210" s="118" t="s">
        <v>4234</v>
      </c>
      <c r="I210" s="213" t="str">
        <f t="shared" si="27"/>
        <v>note</v>
      </c>
      <c r="J210" s="106" t="s">
        <v>3528</v>
      </c>
      <c r="L210" s="118" t="str">
        <f t="shared" si="26"/>
        <v/>
      </c>
    </row>
    <row r="211" spans="1:24" ht="14.25" customHeight="1">
      <c r="A211" t="s">
        <v>109</v>
      </c>
      <c r="B211" s="1" t="s">
        <v>4588</v>
      </c>
      <c r="E211" s="118" t="s">
        <v>4134</v>
      </c>
      <c r="I211" s="213" t="str">
        <f t="shared" si="27"/>
        <v>note</v>
      </c>
      <c r="J211" s="106" t="s">
        <v>3372</v>
      </c>
      <c r="L211" s="118" t="str">
        <f t="shared" si="26"/>
        <v/>
      </c>
    </row>
    <row r="212" spans="1:24" ht="14.25" customHeight="1">
      <c r="A212" t="s">
        <v>110</v>
      </c>
      <c r="B212" t="s">
        <v>2869</v>
      </c>
      <c r="E212" s="118" t="s">
        <v>2870</v>
      </c>
      <c r="H212" s="206" t="str">
        <f>E212</f>
        <v>(1.42) Does the facility have a general outpatient consultation room?</v>
      </c>
      <c r="I212" s="213" t="str">
        <f t="shared" si="27"/>
        <v>select_one yesno3</v>
      </c>
      <c r="J212" s="106" t="s">
        <v>4458</v>
      </c>
      <c r="K212" s="116" t="s">
        <v>2443</v>
      </c>
      <c r="L212" s="118" t="str">
        <f t="shared" si="26"/>
        <v>Sorry, question (1.42) is required!</v>
      </c>
    </row>
    <row r="213" spans="1:24" ht="14.25" customHeight="1">
      <c r="A213" t="s">
        <v>110</v>
      </c>
      <c r="B213" t="s">
        <v>105</v>
      </c>
      <c r="E213" s="118" t="s">
        <v>2871</v>
      </c>
      <c r="H213" s="206" t="str">
        <f t="shared" ref="H213:H215" si="32">E213</f>
        <v>(1.43) Is this room equipped with a safety box or closed container present for disposal of used sharps?</v>
      </c>
      <c r="I213" s="213" t="str">
        <f t="shared" si="27"/>
        <v>select_one yesno3</v>
      </c>
      <c r="J213" s="106" t="s">
        <v>4459</v>
      </c>
      <c r="K213" s="116" t="s">
        <v>2443</v>
      </c>
      <c r="L213" s="118" t="str">
        <f t="shared" si="26"/>
        <v>Sorry, question (1.43) is required!</v>
      </c>
      <c r="O213" s="110" t="s">
        <v>3575</v>
      </c>
    </row>
    <row r="214" spans="1:24" ht="14.25" customHeight="1">
      <c r="A214" t="s">
        <v>110</v>
      </c>
      <c r="B214" t="s">
        <v>111</v>
      </c>
      <c r="E214" s="118" t="s">
        <v>2872</v>
      </c>
      <c r="H214" s="206" t="str">
        <f t="shared" si="32"/>
        <v>(1.44) Does the room have posted procedures for decontamination procedure steps?</v>
      </c>
      <c r="I214" s="213" t="str">
        <f t="shared" si="27"/>
        <v>select_one yesno3</v>
      </c>
      <c r="J214" s="106" t="s">
        <v>4460</v>
      </c>
      <c r="K214" s="116" t="s">
        <v>2443</v>
      </c>
      <c r="L214" s="118" t="str">
        <f t="shared" si="26"/>
        <v>Sorry, question (1.44) is required!</v>
      </c>
      <c r="O214" s="110" t="s">
        <v>3575</v>
      </c>
    </row>
    <row r="215" spans="1:24" ht="14.25" customHeight="1">
      <c r="A215" t="s">
        <v>110</v>
      </c>
      <c r="B215" t="s">
        <v>2873</v>
      </c>
      <c r="E215" s="118" t="s">
        <v>2874</v>
      </c>
      <c r="H215" s="206" t="str">
        <f t="shared" si="32"/>
        <v>(1.45) Does the room have a basin with a water source and soap?</v>
      </c>
      <c r="I215" s="213" t="str">
        <f t="shared" si="27"/>
        <v>select_one yesno3</v>
      </c>
      <c r="J215" s="106" t="s">
        <v>4461</v>
      </c>
      <c r="K215" s="116" t="s">
        <v>2443</v>
      </c>
      <c r="L215" s="118" t="str">
        <f t="shared" si="26"/>
        <v>Sorry, question (1.45) is required!</v>
      </c>
      <c r="O215" s="110" t="s">
        <v>3575</v>
      </c>
    </row>
    <row r="216" spans="1:24" ht="14.25" customHeight="1">
      <c r="A216" t="s">
        <v>112</v>
      </c>
      <c r="L216" s="118" t="str">
        <f t="shared" si="26"/>
        <v/>
      </c>
      <c r="X216" t="s">
        <v>3033</v>
      </c>
    </row>
    <row r="217" spans="1:24" ht="14.25" customHeight="1">
      <c r="A217" t="s">
        <v>12</v>
      </c>
      <c r="B217" s="1" t="s">
        <v>4589</v>
      </c>
      <c r="J217" s="106" t="s">
        <v>13</v>
      </c>
      <c r="L217" s="118" t="str">
        <f t="shared" si="26"/>
        <v/>
      </c>
      <c r="X217" t="s">
        <v>3033</v>
      </c>
    </row>
    <row r="218" spans="1:24" ht="14.25" customHeight="1">
      <c r="A218" t="s">
        <v>17</v>
      </c>
      <c r="B218" s="1" t="s">
        <v>4590</v>
      </c>
      <c r="E218" s="132" t="s">
        <v>4591</v>
      </c>
      <c r="I218" s="213" t="str">
        <f t="shared" si="27"/>
        <v>note</v>
      </c>
      <c r="L218" s="118" t="str">
        <f t="shared" si="26"/>
        <v/>
      </c>
    </row>
    <row r="219" spans="1:24" ht="14.25" customHeight="1">
      <c r="A219" t="s">
        <v>17</v>
      </c>
      <c r="B219" s="1" t="s">
        <v>4592</v>
      </c>
      <c r="E219" s="118" t="s">
        <v>2875</v>
      </c>
      <c r="I219" s="213" t="str">
        <f t="shared" si="27"/>
        <v>note</v>
      </c>
      <c r="L219" s="118" t="str">
        <f t="shared" si="26"/>
        <v/>
      </c>
    </row>
    <row r="220" spans="1:24" ht="14.25" customHeight="1">
      <c r="A220" t="s">
        <v>2532</v>
      </c>
      <c r="B220" t="s">
        <v>2468</v>
      </c>
      <c r="E220" s="118" t="s">
        <v>2110</v>
      </c>
      <c r="H220" s="206" t="str">
        <f>E219&amp;" - "&amp;E220</f>
        <v>(1.46) What disinfectant(s) are being used in the facility? - a. Chlorhexidine (gluconate)</v>
      </c>
      <c r="I220" s="213" t="str">
        <f t="shared" si="27"/>
        <v>select_one use</v>
      </c>
      <c r="J220" s="106" t="s">
        <v>4457</v>
      </c>
      <c r="K220" s="116" t="s">
        <v>2443</v>
      </c>
      <c r="L220" s="118" t="str">
        <f>IF(K220="yes",("Sorry, question (1.46)"&amp;LEFT(E220, 1)&amp;" is required!"),"")</f>
        <v>Sorry, question (1.46)a is required!</v>
      </c>
    </row>
    <row r="221" spans="1:24" ht="14.25" customHeight="1">
      <c r="A221" t="s">
        <v>2532</v>
      </c>
      <c r="B221" t="s">
        <v>2469</v>
      </c>
      <c r="E221" s="118" t="s">
        <v>2111</v>
      </c>
      <c r="H221" s="206" t="str">
        <f>E219&amp;" - "&amp;E221</f>
        <v>(1.46) What disinfectant(s) are being used in the facility? - b. Dakin</v>
      </c>
      <c r="I221" s="213" t="str">
        <f t="shared" si="27"/>
        <v>select_one use</v>
      </c>
      <c r="J221" s="106" t="s">
        <v>4457</v>
      </c>
      <c r="K221" s="116" t="s">
        <v>2443</v>
      </c>
      <c r="L221" s="118" t="str">
        <f t="shared" ref="L221:L224" si="33">IF(K221="yes",("Sorry, question (1.46)"&amp;LEFT(E221, 1)&amp;" is required!"),"")</f>
        <v>Sorry, question (1.46)b is required!</v>
      </c>
    </row>
    <row r="222" spans="1:24" ht="14.25" customHeight="1">
      <c r="A222" t="s">
        <v>2532</v>
      </c>
      <c r="B222" t="s">
        <v>2470</v>
      </c>
      <c r="E222" s="118" t="s">
        <v>2112</v>
      </c>
      <c r="H222" s="206" t="str">
        <f>E219&amp;" - "&amp;E222</f>
        <v>(1.46) What disinfectant(s) are being used in the facility? - c. Sodium Hypochlorite/Chlorine solution/JIK solution</v>
      </c>
      <c r="I222" s="213" t="str">
        <f t="shared" si="27"/>
        <v>select_one use</v>
      </c>
      <c r="J222" s="106" t="s">
        <v>4457</v>
      </c>
      <c r="K222" s="116" t="s">
        <v>2443</v>
      </c>
      <c r="L222" s="118" t="str">
        <f t="shared" si="33"/>
        <v>Sorry, question (1.46)c is required!</v>
      </c>
    </row>
    <row r="223" spans="1:24" ht="14.25" customHeight="1">
      <c r="A223" t="s">
        <v>2532</v>
      </c>
      <c r="B223" t="s">
        <v>2471</v>
      </c>
      <c r="E223" s="118" t="s">
        <v>2113</v>
      </c>
      <c r="H223" s="206" t="str">
        <f>E219&amp;" - "&amp;E223</f>
        <v>(1.46) What disinfectant(s) are being used in the facility? - d. Methylated spirit</v>
      </c>
      <c r="I223" s="213" t="str">
        <f t="shared" si="27"/>
        <v>select_one use</v>
      </c>
      <c r="J223" s="106" t="s">
        <v>4457</v>
      </c>
      <c r="K223" s="116" t="s">
        <v>2443</v>
      </c>
      <c r="L223" s="118" t="str">
        <f t="shared" si="33"/>
        <v>Sorry, question (1.46)d is required!</v>
      </c>
    </row>
    <row r="224" spans="1:24" ht="14.25" customHeight="1">
      <c r="A224" t="s">
        <v>2532</v>
      </c>
      <c r="B224" t="s">
        <v>2472</v>
      </c>
      <c r="E224" s="118" t="s">
        <v>2114</v>
      </c>
      <c r="H224" s="206" t="str">
        <f>E219&amp;" - "&amp;E224</f>
        <v>(1.46) What disinfectant(s) are being used in the facility? - e. Other, specify:</v>
      </c>
      <c r="I224" s="213" t="str">
        <f t="shared" si="27"/>
        <v>select_one use</v>
      </c>
      <c r="J224" s="106" t="s">
        <v>4457</v>
      </c>
      <c r="K224" s="116" t="s">
        <v>2443</v>
      </c>
      <c r="L224" s="118" t="str">
        <f t="shared" si="33"/>
        <v>Sorry, question (1.46)e is required!</v>
      </c>
    </row>
    <row r="225" spans="1:24" ht="14.25" customHeight="1">
      <c r="A225" t="s">
        <v>113</v>
      </c>
      <c r="B225" s="1" t="s">
        <v>4593</v>
      </c>
      <c r="E225" s="132" t="s">
        <v>2114</v>
      </c>
      <c r="F225" s="118" t="s">
        <v>35</v>
      </c>
      <c r="H225" s="206" t="str">
        <f>E219&amp;" - "&amp;E225</f>
        <v>(1.46) What disinfectant(s) are being used in the facility? - e. Other, specify:</v>
      </c>
      <c r="I225" s="213" t="str">
        <f t="shared" si="27"/>
        <v>text</v>
      </c>
      <c r="J225" s="106" t="s">
        <v>2773</v>
      </c>
      <c r="K225" s="116" t="s">
        <v>2443</v>
      </c>
      <c r="L225" s="118" t="str">
        <f t="shared" si="26"/>
        <v>Sorry, question e. Oth is required!</v>
      </c>
      <c r="O225" s="110" t="s">
        <v>4594</v>
      </c>
    </row>
    <row r="226" spans="1:24" ht="14.25" customHeight="1">
      <c r="A226" t="s">
        <v>114</v>
      </c>
      <c r="B226" t="s">
        <v>2876</v>
      </c>
      <c r="E226" s="118" t="s">
        <v>2877</v>
      </c>
      <c r="H226" s="206" t="str">
        <f>E219&amp;" - "&amp;E226</f>
        <v>(1.46) What disinfectant(s) are being used in the facility? - (1.47) In the last 30 days, was there any time when the facility ran out of disinfectant(s)?</v>
      </c>
      <c r="I226" s="213" t="str">
        <f t="shared" si="27"/>
        <v>select_one yesno</v>
      </c>
      <c r="J226" s="106" t="s">
        <v>4457</v>
      </c>
      <c r="K226" s="116" t="s">
        <v>2443</v>
      </c>
      <c r="L226" s="118" t="str">
        <f t="shared" si="26"/>
        <v>Sorry, question (1.47) is required!</v>
      </c>
    </row>
    <row r="227" spans="1:24" ht="14.25" customHeight="1">
      <c r="A227" t="s">
        <v>115</v>
      </c>
      <c r="B227" t="s">
        <v>2878</v>
      </c>
      <c r="E227" s="118" t="s">
        <v>2879</v>
      </c>
      <c r="F227" s="118" t="s">
        <v>3383</v>
      </c>
      <c r="H227" s="206" t="str">
        <f>E219&amp;" - "&amp;E227</f>
        <v>(1.46) What disinfectant(s) are being used in the facility? - (1.48) In the last 30 days for how many days was the facility out of disinfectant(s)?</v>
      </c>
      <c r="I227" s="213" t="str">
        <f t="shared" si="27"/>
        <v>integer</v>
      </c>
      <c r="J227" s="106" t="s">
        <v>3379</v>
      </c>
      <c r="K227" s="116" t="s">
        <v>2443</v>
      </c>
      <c r="L227" s="118" t="str">
        <f t="shared" si="26"/>
        <v>Sorry, question (1.48) is required!</v>
      </c>
      <c r="M227" s="113" t="s">
        <v>4131</v>
      </c>
      <c r="N227" t="s">
        <v>3703</v>
      </c>
      <c r="O227" s="110" t="s">
        <v>2740</v>
      </c>
    </row>
    <row r="228" spans="1:24" ht="14.25" customHeight="1">
      <c r="A228" t="s">
        <v>116</v>
      </c>
      <c r="B228" t="s">
        <v>2880</v>
      </c>
      <c r="E228" s="118" t="s">
        <v>2881</v>
      </c>
      <c r="H228" s="206" t="str">
        <f>E219&amp;" - "&amp;E228</f>
        <v>(1.46) What disinfectant(s) are being used in the facility? - (1.49) Is there a functional incinerator for disposing of medical waste?</v>
      </c>
      <c r="I228" s="213" t="str">
        <f t="shared" si="27"/>
        <v>select_one yesno3</v>
      </c>
      <c r="J228" s="106" t="s">
        <v>4457</v>
      </c>
      <c r="K228" s="116" t="s">
        <v>2443</v>
      </c>
      <c r="L228" s="118" t="str">
        <f t="shared" si="26"/>
        <v>Sorry, question (1.49) is required!</v>
      </c>
    </row>
    <row r="229" spans="1:24" ht="14.25" customHeight="1">
      <c r="A229" t="s">
        <v>15</v>
      </c>
      <c r="E229" s="118" t="s">
        <v>2115</v>
      </c>
      <c r="L229" s="118" t="str">
        <f t="shared" si="26"/>
        <v/>
      </c>
      <c r="X229" t="s">
        <v>3033</v>
      </c>
    </row>
    <row r="230" spans="1:24" ht="14.25" customHeight="1">
      <c r="A230" t="s">
        <v>12</v>
      </c>
      <c r="B230" s="1" t="s">
        <v>4595</v>
      </c>
      <c r="J230" s="106" t="s">
        <v>13</v>
      </c>
      <c r="L230" s="118" t="str">
        <f t="shared" si="26"/>
        <v/>
      </c>
      <c r="X230" t="s">
        <v>3033</v>
      </c>
    </row>
    <row r="231" spans="1:24" ht="14.25" customHeight="1">
      <c r="A231" t="s">
        <v>117</v>
      </c>
      <c r="B231" t="s">
        <v>2882</v>
      </c>
      <c r="E231" s="118" t="s">
        <v>5322</v>
      </c>
      <c r="F231" s="118" t="s">
        <v>2672</v>
      </c>
      <c r="H231" s="206" t="str">
        <f>E231</f>
        <v>(1.50) What procedure is used for &lt;u&gt;DECONTAMINATING&lt;/u&gt; medical equipment after &lt;u&gt;INITIAL&lt;/u&gt; use?</v>
      </c>
      <c r="I231" s="213" t="str">
        <f t="shared" si="27"/>
        <v>select_one dec</v>
      </c>
      <c r="K231" s="116" t="s">
        <v>2443</v>
      </c>
      <c r="L231" s="118" t="str">
        <f t="shared" si="26"/>
        <v>Sorry, question (1.50) is required!</v>
      </c>
    </row>
    <row r="232" spans="1:24" ht="14.25" customHeight="1">
      <c r="A232" t="s">
        <v>118</v>
      </c>
      <c r="B232" t="s">
        <v>2883</v>
      </c>
      <c r="E232" s="132" t="s">
        <v>6746</v>
      </c>
      <c r="F232" s="118" t="s">
        <v>35</v>
      </c>
      <c r="H232" s="206" t="str">
        <f t="shared" ref="H232:H234" si="34">E232</f>
        <v>(1.50) OTHER, SPECIFY:</v>
      </c>
      <c r="I232" s="213" t="str">
        <f t="shared" si="27"/>
        <v>text</v>
      </c>
      <c r="J232" s="106" t="s">
        <v>2773</v>
      </c>
      <c r="K232" s="116" t="s">
        <v>2443</v>
      </c>
      <c r="L232" s="118" t="str">
        <f t="shared" si="26"/>
        <v>Sorry, question (1.50) is required!</v>
      </c>
      <c r="O232" s="110" t="s">
        <v>2741</v>
      </c>
    </row>
    <row r="233" spans="1:24" ht="14.25" customHeight="1">
      <c r="A233" s="1" t="s">
        <v>4596</v>
      </c>
      <c r="B233" t="s">
        <v>2884</v>
      </c>
      <c r="E233" s="118" t="s">
        <v>3571</v>
      </c>
      <c r="F233" s="118" t="s">
        <v>2673</v>
      </c>
      <c r="H233" s="206" t="str">
        <f t="shared" si="34"/>
        <v>(1.51) What procedure is used for STERILIZING medical equipment before reuse?</v>
      </c>
      <c r="I233" s="213" t="str">
        <f t="shared" si="27"/>
        <v>select_one sterile</v>
      </c>
      <c r="K233" s="116" t="s">
        <v>2443</v>
      </c>
      <c r="L233" s="118" t="str">
        <f t="shared" si="26"/>
        <v>Sorry, question (1.51) is required!</v>
      </c>
      <c r="O233" s="110" t="s">
        <v>3689</v>
      </c>
    </row>
    <row r="234" spans="1:24" ht="14.25" customHeight="1">
      <c r="A234" t="s">
        <v>119</v>
      </c>
      <c r="B234" t="s">
        <v>2885</v>
      </c>
      <c r="E234" s="132" t="s">
        <v>6747</v>
      </c>
      <c r="F234" s="118" t="s">
        <v>35</v>
      </c>
      <c r="H234" s="206" t="str">
        <f t="shared" si="34"/>
        <v>(1.51) OTHER, SPECIFY:</v>
      </c>
      <c r="I234" s="213" t="str">
        <f t="shared" si="27"/>
        <v>text</v>
      </c>
      <c r="J234" s="106" t="s">
        <v>2773</v>
      </c>
      <c r="K234" s="116" t="s">
        <v>2443</v>
      </c>
      <c r="L234" s="118" t="str">
        <f t="shared" si="26"/>
        <v>Sorry, question (1.51) is required!</v>
      </c>
      <c r="O234" s="110" t="s">
        <v>2742</v>
      </c>
    </row>
    <row r="235" spans="1:24" ht="14.25" customHeight="1">
      <c r="A235" t="s">
        <v>15</v>
      </c>
      <c r="E235" s="118" t="s">
        <v>2115</v>
      </c>
      <c r="L235" s="118" t="str">
        <f t="shared" ref="L235:L236" si="35">IF(K235="yes",("Sorry, question "&amp;LEFT(E235, 6)&amp;" is required!"),"")</f>
        <v/>
      </c>
      <c r="X235" t="s">
        <v>3033</v>
      </c>
    </row>
    <row r="236" spans="1:24" ht="14.25" customHeight="1">
      <c r="A236" t="s">
        <v>12</v>
      </c>
      <c r="B236" s="1" t="s">
        <v>6538</v>
      </c>
      <c r="J236" s="106" t="s">
        <v>13</v>
      </c>
      <c r="L236" s="118" t="str">
        <f t="shared" si="35"/>
        <v/>
      </c>
      <c r="X236" t="s">
        <v>3033</v>
      </c>
    </row>
    <row r="237" spans="1:24" ht="14.25" customHeight="1">
      <c r="A237" t="s">
        <v>120</v>
      </c>
      <c r="B237" t="s">
        <v>2886</v>
      </c>
      <c r="E237" s="118" t="s">
        <v>2887</v>
      </c>
      <c r="H237" s="206" t="str">
        <f>E237</f>
        <v>(1.52) Is the protocol for sterilizing equipment displayed?</v>
      </c>
      <c r="I237" s="213" t="str">
        <f t="shared" si="27"/>
        <v>select_one dis</v>
      </c>
      <c r="J237" s="106" t="s">
        <v>4457</v>
      </c>
      <c r="K237" s="116" t="s">
        <v>2443</v>
      </c>
      <c r="L237" s="118" t="str">
        <f t="shared" si="26"/>
        <v>Sorry, question (1.52) is required!</v>
      </c>
    </row>
    <row r="238" spans="1:24" ht="14.25" customHeight="1">
      <c r="A238" t="s">
        <v>121</v>
      </c>
      <c r="B238" t="s">
        <v>2888</v>
      </c>
      <c r="E238" s="118" t="s">
        <v>2889</v>
      </c>
      <c r="H238" s="206" t="str">
        <f t="shared" ref="H238:H240" si="36">E238</f>
        <v>(1.53) Is there a provision for the disposal of bio medical waste?</v>
      </c>
      <c r="I238" s="213" t="str">
        <f t="shared" si="27"/>
        <v>select_one yesno</v>
      </c>
      <c r="J238" s="106" t="s">
        <v>4457</v>
      </c>
      <c r="K238" s="116" t="s">
        <v>2443</v>
      </c>
      <c r="L238" s="118" t="str">
        <f t="shared" si="26"/>
        <v>Sorry, question (1.53) is required!</v>
      </c>
    </row>
    <row r="239" spans="1:24" ht="14.25" customHeight="1">
      <c r="A239" t="s">
        <v>122</v>
      </c>
      <c r="B239" t="s">
        <v>2890</v>
      </c>
      <c r="E239" s="118" t="s">
        <v>2891</v>
      </c>
      <c r="F239" s="118" t="s">
        <v>3121</v>
      </c>
      <c r="H239" s="206" t="str">
        <f t="shared" si="36"/>
        <v>(1.54) How is biomedical waste disposed of?</v>
      </c>
      <c r="I239" s="213" t="str">
        <f t="shared" si="27"/>
        <v>select_one bio</v>
      </c>
      <c r="K239" s="116" t="s">
        <v>2443</v>
      </c>
      <c r="L239" s="118" t="str">
        <f t="shared" si="26"/>
        <v>Sorry, question (1.54) is required!</v>
      </c>
      <c r="O239" s="110" t="s">
        <v>2743</v>
      </c>
    </row>
    <row r="240" spans="1:24" ht="14.25" customHeight="1">
      <c r="A240" t="s">
        <v>123</v>
      </c>
      <c r="B240" t="s">
        <v>2892</v>
      </c>
      <c r="E240" s="132" t="s">
        <v>6748</v>
      </c>
      <c r="F240" s="118" t="s">
        <v>35</v>
      </c>
      <c r="H240" s="206" t="str">
        <f t="shared" si="36"/>
        <v>(1.54) OTHER, SPECIFY:</v>
      </c>
      <c r="I240" s="213" t="str">
        <f t="shared" si="27"/>
        <v>text</v>
      </c>
      <c r="J240" s="106" t="s">
        <v>2773</v>
      </c>
      <c r="K240" s="116" t="s">
        <v>2443</v>
      </c>
      <c r="L240" s="118" t="str">
        <f t="shared" si="26"/>
        <v>Sorry, question (1.54) is required!</v>
      </c>
      <c r="O240" s="110" t="s">
        <v>3366</v>
      </c>
    </row>
    <row r="241" spans="1:24" ht="14.25" customHeight="1">
      <c r="A241" t="s">
        <v>15</v>
      </c>
      <c r="L241" s="118" t="str">
        <f t="shared" si="26"/>
        <v/>
      </c>
      <c r="X241" t="s">
        <v>3033</v>
      </c>
    </row>
    <row r="242" spans="1:24" ht="14.25" customHeight="1">
      <c r="A242" t="s">
        <v>124</v>
      </c>
      <c r="L242" s="118" t="str">
        <f t="shared" si="26"/>
        <v/>
      </c>
      <c r="X242" t="s">
        <v>3032</v>
      </c>
    </row>
    <row r="243" spans="1:24" ht="14.25" customHeight="1">
      <c r="L243" s="118" t="str">
        <f t="shared" ref="L243:L269" si="37">IF(K243="yes",("Sorry, question "&amp;LEFT(E243, 6)&amp;" is required!"),"")</f>
        <v/>
      </c>
    </row>
    <row r="244" spans="1:24" ht="14.25" customHeight="1">
      <c r="A244" t="s">
        <v>125</v>
      </c>
      <c r="B244" t="s">
        <v>2103</v>
      </c>
      <c r="E244" s="118" t="s">
        <v>2786</v>
      </c>
      <c r="J244" s="106" t="s">
        <v>2778</v>
      </c>
      <c r="L244" s="118" t="str">
        <f t="shared" si="37"/>
        <v/>
      </c>
      <c r="O244" s="110" t="s">
        <v>3582</v>
      </c>
      <c r="X244" t="s">
        <v>2778</v>
      </c>
    </row>
    <row r="245" spans="1:24" ht="14.25" customHeight="1">
      <c r="A245" t="s">
        <v>126</v>
      </c>
      <c r="B245" s="1" t="s">
        <v>4597</v>
      </c>
      <c r="J245" s="106" t="s">
        <v>3526</v>
      </c>
      <c r="L245" s="118" t="str">
        <f t="shared" si="37"/>
        <v/>
      </c>
      <c r="X245" t="s">
        <v>3032</v>
      </c>
    </row>
    <row r="246" spans="1:24" ht="14.25" customHeight="1">
      <c r="A246" t="s">
        <v>127</v>
      </c>
      <c r="B246" s="1" t="s">
        <v>4598</v>
      </c>
      <c r="E246" s="130" t="s">
        <v>4135</v>
      </c>
      <c r="I246" s="213" t="str">
        <f t="shared" si="27"/>
        <v>note</v>
      </c>
      <c r="J246" s="106" t="s">
        <v>3528</v>
      </c>
      <c r="L246" s="118" t="str">
        <f t="shared" si="37"/>
        <v/>
      </c>
    </row>
    <row r="247" spans="1:24" ht="14.25" customHeight="1">
      <c r="A247" t="s">
        <v>128</v>
      </c>
      <c r="B247" s="1" t="s">
        <v>4599</v>
      </c>
      <c r="E247" s="130" t="s">
        <v>4136</v>
      </c>
      <c r="I247" s="213" t="str">
        <f t="shared" si="27"/>
        <v>note</v>
      </c>
      <c r="J247" s="106" t="s">
        <v>3529</v>
      </c>
      <c r="L247" s="118" t="str">
        <f t="shared" si="37"/>
        <v/>
      </c>
    </row>
    <row r="248" spans="1:24" ht="14.25" customHeight="1">
      <c r="A248" t="s">
        <v>129</v>
      </c>
      <c r="L248" s="118" t="str">
        <f t="shared" si="37"/>
        <v/>
      </c>
      <c r="X248" t="s">
        <v>3032</v>
      </c>
    </row>
    <row r="249" spans="1:24" ht="14.25" customHeight="1">
      <c r="A249" t="s">
        <v>130</v>
      </c>
      <c r="B249" t="s">
        <v>131</v>
      </c>
      <c r="E249" s="132" t="s">
        <v>4600</v>
      </c>
      <c r="H249" s="206" t="str">
        <f>E249</f>
        <v>(2.01) Is there a HCMC/CAC (health center management committee/catchment area committee) for this health facility?</v>
      </c>
      <c r="I249" s="213" t="str">
        <f t="shared" si="27"/>
        <v>select_one yesno</v>
      </c>
      <c r="J249" s="106" t="s">
        <v>4457</v>
      </c>
      <c r="K249" s="116" t="s">
        <v>2443</v>
      </c>
      <c r="L249" s="118" t="str">
        <f t="shared" si="37"/>
        <v>Sorry, question (2.01) is required!</v>
      </c>
    </row>
    <row r="250" spans="1:24" ht="14.25" customHeight="1">
      <c r="A250" t="s">
        <v>132</v>
      </c>
      <c r="B250" s="1" t="s">
        <v>4601</v>
      </c>
      <c r="L250" s="118" t="str">
        <f t="shared" si="37"/>
        <v/>
      </c>
      <c r="O250" s="110" t="s">
        <v>133</v>
      </c>
      <c r="X250" t="s">
        <v>3032</v>
      </c>
    </row>
    <row r="251" spans="1:24" ht="14.25" customHeight="1">
      <c r="A251" t="s">
        <v>2289</v>
      </c>
      <c r="B251" s="1" t="s">
        <v>4606</v>
      </c>
      <c r="J251" s="106" t="s">
        <v>13</v>
      </c>
      <c r="L251" s="118" t="str">
        <f t="shared" si="37"/>
        <v/>
      </c>
      <c r="X251" t="s">
        <v>3033</v>
      </c>
    </row>
    <row r="252" spans="1:24" ht="14.25" customHeight="1">
      <c r="A252" t="s">
        <v>134</v>
      </c>
      <c r="B252" t="s">
        <v>135</v>
      </c>
      <c r="E252" s="118" t="s">
        <v>136</v>
      </c>
      <c r="F252" s="118" t="s">
        <v>3549</v>
      </c>
      <c r="H252" s="206" t="str">
        <f>E252</f>
        <v>(2.02) How many members are on this Committee?</v>
      </c>
      <c r="I252" s="213" t="str">
        <f t="shared" si="27"/>
        <v>integer</v>
      </c>
      <c r="J252" s="106" t="s">
        <v>3379</v>
      </c>
      <c r="K252" s="116" t="s">
        <v>2443</v>
      </c>
      <c r="L252" s="118" t="str">
        <f t="shared" si="37"/>
        <v>Sorry, question (2.02) is required!</v>
      </c>
      <c r="M252" s="113" t="s">
        <v>6708</v>
      </c>
      <c r="N252" t="s">
        <v>6709</v>
      </c>
    </row>
    <row r="253" spans="1:24" ht="14.25" customHeight="1">
      <c r="A253" t="s">
        <v>17</v>
      </c>
      <c r="B253" s="107" t="s">
        <v>4602</v>
      </c>
      <c r="E253" s="132" t="s">
        <v>4604</v>
      </c>
      <c r="I253" s="213" t="str">
        <f t="shared" si="27"/>
        <v>note</v>
      </c>
      <c r="L253" s="118" t="str">
        <f t="shared" si="37"/>
        <v/>
      </c>
    </row>
    <row r="254" spans="1:24" ht="14.25" customHeight="1">
      <c r="A254" t="s">
        <v>23</v>
      </c>
      <c r="B254" s="107" t="s">
        <v>4603</v>
      </c>
      <c r="E254" s="118" t="s">
        <v>137</v>
      </c>
      <c r="H254" s="206" t="str">
        <f>E254</f>
        <v>(2.03) Is there a representation of any of the following on this Committee?</v>
      </c>
      <c r="I254" s="213" t="s">
        <v>17</v>
      </c>
      <c r="J254" s="106" t="s">
        <v>1</v>
      </c>
      <c r="L254" s="118" t="str">
        <f t="shared" si="37"/>
        <v/>
      </c>
    </row>
    <row r="255" spans="1:24" ht="14.25" customHeight="1">
      <c r="A255" t="s">
        <v>23</v>
      </c>
      <c r="B255" t="s">
        <v>2893</v>
      </c>
      <c r="C255" t="str">
        <f>RIGHT(B255,1)&amp;"."</f>
        <v>a.</v>
      </c>
      <c r="D255" s="1" t="s">
        <v>4293</v>
      </c>
      <c r="E255" s="118" t="str">
        <f>C255&amp;D255</f>
        <v>a.Health facility OIC</v>
      </c>
      <c r="H255" s="206" t="str">
        <f>"(2.03) - "&amp;E255</f>
        <v>(2.03) - a.Health facility OIC</v>
      </c>
      <c r="I255" s="213" t="str">
        <f t="shared" ref="I255:I318" si="38">A255</f>
        <v>select_one yesno</v>
      </c>
      <c r="J255" s="106" t="s">
        <v>2296</v>
      </c>
      <c r="K255" s="116" t="s">
        <v>2443</v>
      </c>
      <c r="L255" s="118" t="str">
        <f>IF(K255="yes",("Sorry, question (2.03) "&amp;LEFT(E255, 1)&amp;" is required!"),"")</f>
        <v>Sorry, question (2.03) a is required!</v>
      </c>
    </row>
    <row r="256" spans="1:24" ht="14.25" customHeight="1">
      <c r="A256" t="s">
        <v>23</v>
      </c>
      <c r="B256" t="s">
        <v>2290</v>
      </c>
      <c r="C256" t="str">
        <f t="shared" ref="C256:C261" si="39">RIGHT(B256,1)&amp;"."</f>
        <v>b.</v>
      </c>
      <c r="D256" t="s">
        <v>1283</v>
      </c>
      <c r="E256" s="118" t="str">
        <f t="shared" ref="E256:E261" si="40">C256&amp;D256</f>
        <v xml:space="preserve">b.Health facility staff </v>
      </c>
      <c r="H256" s="206" t="str">
        <f t="shared" ref="H256:H262" si="41">"(2.03) - "&amp;E256</f>
        <v xml:space="preserve">(2.03) - b.Health facility staff </v>
      </c>
      <c r="I256" s="213" t="str">
        <f t="shared" si="38"/>
        <v>select_one yesno</v>
      </c>
      <c r="J256" s="106" t="s">
        <v>2296</v>
      </c>
      <c r="K256" s="116" t="s">
        <v>2443</v>
      </c>
      <c r="L256" s="118" t="str">
        <f t="shared" ref="L256:L261" si="42">IF(K256="yes",("Sorry, question (2.03) "&amp;LEFT(E256, 1)&amp;" is required!"),"")</f>
        <v>Sorry, question (2.03) b is required!</v>
      </c>
    </row>
    <row r="257" spans="1:24" ht="14.25" customHeight="1">
      <c r="A257" t="s">
        <v>23</v>
      </c>
      <c r="B257" t="s">
        <v>2291</v>
      </c>
      <c r="C257" t="str">
        <f t="shared" si="39"/>
        <v>c.</v>
      </c>
      <c r="D257" t="s">
        <v>2287</v>
      </c>
      <c r="E257" s="118" t="str">
        <f t="shared" si="40"/>
        <v>c.Catchment Area Committees (CACs)</v>
      </c>
      <c r="H257" s="206" t="str">
        <f t="shared" si="41"/>
        <v>(2.03) - c.Catchment Area Committees (CACs)</v>
      </c>
      <c r="J257" s="106" t="s">
        <v>2296</v>
      </c>
      <c r="K257" s="116" t="s">
        <v>2443</v>
      </c>
      <c r="L257" s="118" t="str">
        <f t="shared" si="42"/>
        <v>Sorry, question (2.03) c is required!</v>
      </c>
      <c r="S257" s="1" t="s">
        <v>2443</v>
      </c>
    </row>
    <row r="258" spans="1:24" ht="14.25" customHeight="1">
      <c r="A258" t="s">
        <v>23</v>
      </c>
      <c r="B258" t="s">
        <v>2292</v>
      </c>
      <c r="C258" t="str">
        <f t="shared" si="39"/>
        <v>d.</v>
      </c>
      <c r="D258" t="s">
        <v>668</v>
      </c>
      <c r="E258" s="118" t="str">
        <f t="shared" si="40"/>
        <v>d.Community Health Workers</v>
      </c>
      <c r="H258" s="206" t="str">
        <f t="shared" si="41"/>
        <v>(2.03) - d.Community Health Workers</v>
      </c>
      <c r="I258" s="213" t="str">
        <f t="shared" si="38"/>
        <v>select_one yesno</v>
      </c>
      <c r="J258" s="106" t="s">
        <v>2296</v>
      </c>
      <c r="K258" s="116" t="s">
        <v>2443</v>
      </c>
      <c r="L258" s="118" t="str">
        <f t="shared" si="42"/>
        <v>Sorry, question (2.03) d is required!</v>
      </c>
    </row>
    <row r="259" spans="1:24" ht="14.25" customHeight="1">
      <c r="A259" t="s">
        <v>23</v>
      </c>
      <c r="B259" t="s">
        <v>2293</v>
      </c>
      <c r="C259" t="str">
        <f t="shared" si="39"/>
        <v>e.</v>
      </c>
      <c r="D259" s="135" t="s">
        <v>6830</v>
      </c>
      <c r="E259" s="118" t="str">
        <f t="shared" si="40"/>
        <v>e.MOHSW/ Regional Health Management Team</v>
      </c>
      <c r="H259" s="206" t="str">
        <f t="shared" si="41"/>
        <v>(2.03) - e.MOHSW/ Regional Health Management Team</v>
      </c>
      <c r="I259" s="213" t="str">
        <f t="shared" si="38"/>
        <v>select_one yesno</v>
      </c>
      <c r="J259" s="106" t="s">
        <v>2296</v>
      </c>
      <c r="K259" s="116" t="s">
        <v>2443</v>
      </c>
      <c r="L259" s="118" t="str">
        <f t="shared" si="42"/>
        <v>Sorry, question (2.03) e is required!</v>
      </c>
    </row>
    <row r="260" spans="1:24" ht="14.25" customHeight="1">
      <c r="A260" t="s">
        <v>23</v>
      </c>
      <c r="B260" t="s">
        <v>2294</v>
      </c>
      <c r="C260" t="str">
        <f t="shared" si="39"/>
        <v>f.</v>
      </c>
      <c r="D260" t="s">
        <v>671</v>
      </c>
      <c r="E260" s="118" t="str">
        <f t="shared" si="40"/>
        <v>f.Non Governmental Organization staff</v>
      </c>
      <c r="H260" s="206" t="str">
        <f t="shared" si="41"/>
        <v>(2.03) - f.Non Governmental Organization staff</v>
      </c>
      <c r="I260" s="213" t="str">
        <f t="shared" si="38"/>
        <v>select_one yesno</v>
      </c>
      <c r="J260" s="106" t="s">
        <v>2296</v>
      </c>
      <c r="K260" s="116" t="s">
        <v>2443</v>
      </c>
      <c r="L260" s="118" t="str">
        <f t="shared" si="42"/>
        <v>Sorry, question (2.03) f is required!</v>
      </c>
    </row>
    <row r="261" spans="1:24" ht="14.25" customHeight="1">
      <c r="A261" t="s">
        <v>23</v>
      </c>
      <c r="B261" t="s">
        <v>2295</v>
      </c>
      <c r="C261" t="str">
        <f t="shared" si="39"/>
        <v>g.</v>
      </c>
      <c r="D261" t="s">
        <v>2288</v>
      </c>
      <c r="E261" s="118" t="str">
        <f t="shared" si="40"/>
        <v xml:space="preserve">g.Other, specify: 
</v>
      </c>
      <c r="H261" s="206" t="str">
        <f t="shared" si="41"/>
        <v xml:space="preserve">(2.03) - g.Other, specify: 
</v>
      </c>
      <c r="I261" s="213" t="str">
        <f t="shared" si="38"/>
        <v>select_one yesno</v>
      </c>
      <c r="J261" s="106" t="s">
        <v>2296</v>
      </c>
      <c r="K261" s="116" t="s">
        <v>2443</v>
      </c>
      <c r="L261" s="118" t="str">
        <f t="shared" si="42"/>
        <v>Sorry, question (2.03) g is required!</v>
      </c>
    </row>
    <row r="262" spans="1:24" ht="14.25" customHeight="1">
      <c r="A262" t="s">
        <v>138</v>
      </c>
      <c r="B262" s="1" t="s">
        <v>4605</v>
      </c>
      <c r="E262" s="132" t="s">
        <v>6706</v>
      </c>
      <c r="F262" s="118" t="s">
        <v>35</v>
      </c>
      <c r="H262" s="206" t="str">
        <f t="shared" si="41"/>
        <v>(2.03) - g.Other, specify:</v>
      </c>
      <c r="I262" s="213" t="str">
        <f t="shared" si="38"/>
        <v>text</v>
      </c>
      <c r="J262" s="106" t="s">
        <v>2773</v>
      </c>
      <c r="K262" s="116" t="s">
        <v>2443</v>
      </c>
      <c r="L262" s="118" t="str">
        <f t="shared" si="37"/>
        <v>Sorry, question g.Othe is required!</v>
      </c>
      <c r="O262" s="110" t="s">
        <v>2744</v>
      </c>
    </row>
    <row r="263" spans="1:24" s="184" customFormat="1" ht="14.25" customHeight="1">
      <c r="A263" s="184" t="s">
        <v>17</v>
      </c>
      <c r="B263" s="218" t="s">
        <v>6775</v>
      </c>
      <c r="E263" s="186" t="s">
        <v>6835</v>
      </c>
      <c r="F263" s="186"/>
      <c r="H263" s="206"/>
      <c r="I263" s="219" t="str">
        <f t="shared" si="38"/>
        <v>note</v>
      </c>
      <c r="J263" s="187"/>
      <c r="K263" s="188"/>
      <c r="L263" s="186"/>
      <c r="M263" s="189"/>
      <c r="O263" s="110" t="s">
        <v>6776</v>
      </c>
      <c r="P263" s="190"/>
    </row>
    <row r="264" spans="1:24" ht="14.25" customHeight="1">
      <c r="A264" t="s">
        <v>139</v>
      </c>
      <c r="B264" t="s">
        <v>140</v>
      </c>
      <c r="E264" s="118" t="s">
        <v>5323</v>
      </c>
      <c r="H264" s="206" t="str">
        <f>E264</f>
        <v>(2.04) &lt;u&gt;In the last 12 months&lt;/u&gt;, how many Hospital/Health Center Executive Committee meetings were held?</v>
      </c>
      <c r="I264" s="213" t="str">
        <f t="shared" si="38"/>
        <v>integer</v>
      </c>
      <c r="K264" s="116" t="s">
        <v>2443</v>
      </c>
      <c r="L264" s="118" t="str">
        <f t="shared" si="37"/>
        <v>Sorry, question (2.04) is required!</v>
      </c>
      <c r="M264" s="113" t="s">
        <v>2731</v>
      </c>
      <c r="N264" t="s">
        <v>3704</v>
      </c>
    </row>
    <row r="265" spans="1:24" ht="14.25" customHeight="1">
      <c r="A265" t="s">
        <v>141</v>
      </c>
      <c r="B265" t="s">
        <v>142</v>
      </c>
      <c r="E265" s="118" t="s">
        <v>143</v>
      </c>
      <c r="H265" s="206" t="str">
        <f>E265</f>
        <v>(2.05) Does the facility have written records of the Hospital/Health Center Executive Committee meetings (minutes, decisions, etc.)?</v>
      </c>
      <c r="I265" s="213" t="str">
        <f t="shared" si="38"/>
        <v>select_one yesno3</v>
      </c>
      <c r="J265" s="106" t="s">
        <v>4457</v>
      </c>
      <c r="K265" s="116" t="s">
        <v>2443</v>
      </c>
      <c r="L265" s="118" t="str">
        <f t="shared" si="37"/>
        <v>Sorry, question (2.05) is required!</v>
      </c>
    </row>
    <row r="266" spans="1:24" ht="14.25" customHeight="1">
      <c r="A266" t="s">
        <v>144</v>
      </c>
      <c r="L266" s="118" t="str">
        <f t="shared" si="37"/>
        <v/>
      </c>
      <c r="X266" t="s">
        <v>3033</v>
      </c>
    </row>
    <row r="267" spans="1:24" ht="14.25" customHeight="1">
      <c r="A267" t="s">
        <v>12</v>
      </c>
      <c r="B267" s="1" t="s">
        <v>4607</v>
      </c>
      <c r="J267" s="106" t="s">
        <v>13</v>
      </c>
      <c r="L267" s="118" t="str">
        <f t="shared" si="37"/>
        <v/>
      </c>
      <c r="X267" t="s">
        <v>3033</v>
      </c>
    </row>
    <row r="268" spans="1:24" ht="14.25" customHeight="1">
      <c r="A268" t="s">
        <v>17</v>
      </c>
      <c r="B268" s="1" t="s">
        <v>4608</v>
      </c>
      <c r="E268" s="164" t="s">
        <v>6669</v>
      </c>
      <c r="I268" s="213" t="str">
        <f t="shared" si="38"/>
        <v>note</v>
      </c>
      <c r="L268" s="118" t="str">
        <f t="shared" si="37"/>
        <v/>
      </c>
    </row>
    <row r="269" spans="1:24" ht="14.25" customHeight="1">
      <c r="A269" t="s">
        <v>17</v>
      </c>
      <c r="B269" s="1" t="s">
        <v>4609</v>
      </c>
      <c r="E269" s="118" t="s">
        <v>5324</v>
      </c>
      <c r="I269" s="213" t="str">
        <f t="shared" si="38"/>
        <v>note</v>
      </c>
      <c r="L269" s="118" t="str">
        <f t="shared" si="37"/>
        <v/>
      </c>
    </row>
    <row r="270" spans="1:24" ht="14.25" customHeight="1">
      <c r="A270" t="s">
        <v>2559</v>
      </c>
      <c r="B270" t="s">
        <v>2533</v>
      </c>
      <c r="C270" t="str">
        <f>RIGHT(B270,1)&amp;"."</f>
        <v>a.</v>
      </c>
      <c r="D270" t="s">
        <v>674</v>
      </c>
      <c r="E270" s="118" t="str">
        <f>C270&amp;D270</f>
        <v>a.ADMINISTRATIVE SUPPORT TO FACILITY, E.G. APPROVING PAYMENTS</v>
      </c>
      <c r="H270" s="206" t="str">
        <f>E269&amp;" - "&amp;E270</f>
        <v>(2.06) What initiatives were taken by the Hospital/Health Center Executive Committee and implemented &lt;u&gt;in the last 12 months&lt;/u&gt;? - a.ADMINISTRATIVE SUPPORT TO FACILITY, E.G. APPROVING PAYMENTS</v>
      </c>
      <c r="I270" s="213" t="str">
        <f t="shared" si="38"/>
        <v>select_one men</v>
      </c>
      <c r="J270" s="106" t="s">
        <v>4457</v>
      </c>
      <c r="K270" s="116" t="s">
        <v>2443</v>
      </c>
      <c r="L270" s="118" t="str">
        <f>IF(K270="yes",("Sorry, question (2.06) "&amp;LEFT(E270, 1)&amp;" is required!"),"")</f>
        <v>Sorry, question (2.06) a is required!</v>
      </c>
    </row>
    <row r="271" spans="1:24" ht="14.25" customHeight="1">
      <c r="A271" t="s">
        <v>2559</v>
      </c>
      <c r="B271" t="s">
        <v>2548</v>
      </c>
      <c r="C271" t="str">
        <f t="shared" ref="C271:C279" si="43">RIGHT(B271,1)&amp;"."</f>
        <v>b.</v>
      </c>
      <c r="D271" t="s">
        <v>676</v>
      </c>
      <c r="E271" s="118" t="str">
        <f t="shared" ref="E271:E279" si="44">C271&amp;D271</f>
        <v>b.PROVIDED NEW SUPPLIES OR EQUIPMENT</v>
      </c>
      <c r="H271" s="206" t="str">
        <f>"(2.06) - "&amp;E271</f>
        <v>(2.06) - b.PROVIDED NEW SUPPLIES OR EQUIPMENT</v>
      </c>
      <c r="I271" s="213" t="str">
        <f t="shared" si="38"/>
        <v>select_one men</v>
      </c>
      <c r="J271" s="106" t="s">
        <v>4457</v>
      </c>
      <c r="K271" s="116" t="s">
        <v>2443</v>
      </c>
      <c r="L271" s="118" t="str">
        <f t="shared" ref="L271:L279" si="45">IF(K271="yes",("Sorry, question (2.06) "&amp;LEFT(E271, 1)&amp;" is required!"),"")</f>
        <v>Sorry, question (2.06) b is required!</v>
      </c>
    </row>
    <row r="272" spans="1:24" ht="14.25" customHeight="1">
      <c r="A272" t="s">
        <v>2559</v>
      </c>
      <c r="B272" t="s">
        <v>2549</v>
      </c>
      <c r="C272" t="str">
        <f t="shared" si="43"/>
        <v>c.</v>
      </c>
      <c r="D272" t="s">
        <v>678</v>
      </c>
      <c r="E272" s="118" t="str">
        <f t="shared" si="44"/>
        <v>c.PROVIDED NEW INFRASTRUCTURE</v>
      </c>
      <c r="H272" s="206" t="str">
        <f t="shared" ref="H272:H291" si="46">"(2.06) - "&amp;E272</f>
        <v>(2.06) - c.PROVIDED NEW INFRASTRUCTURE</v>
      </c>
      <c r="I272" s="213" t="str">
        <f t="shared" si="38"/>
        <v>select_one men</v>
      </c>
      <c r="J272" s="106" t="s">
        <v>4457</v>
      </c>
      <c r="K272" s="116" t="s">
        <v>2443</v>
      </c>
      <c r="L272" s="118" t="str">
        <f t="shared" si="45"/>
        <v>Sorry, question (2.06) c is required!</v>
      </c>
    </row>
    <row r="273" spans="1:12" ht="14.25" customHeight="1">
      <c r="A273" t="s">
        <v>2559</v>
      </c>
      <c r="B273" t="s">
        <v>2550</v>
      </c>
      <c r="C273" t="str">
        <f t="shared" si="43"/>
        <v>d.</v>
      </c>
      <c r="D273" t="s">
        <v>680</v>
      </c>
      <c r="E273" s="118" t="str">
        <f t="shared" si="44"/>
        <v>d.PROVIDED REPAIRS TO FACILITY</v>
      </c>
      <c r="H273" s="206" t="str">
        <f t="shared" si="46"/>
        <v>(2.06) - d.PROVIDED REPAIRS TO FACILITY</v>
      </c>
      <c r="I273" s="213" t="str">
        <f t="shared" si="38"/>
        <v>select_one men</v>
      </c>
      <c r="J273" s="106" t="s">
        <v>4457</v>
      </c>
      <c r="K273" s="116" t="s">
        <v>2443</v>
      </c>
      <c r="L273" s="118" t="str">
        <f t="shared" si="45"/>
        <v>Sorry, question (2.06) d is required!</v>
      </c>
    </row>
    <row r="274" spans="1:12" ht="14.25" customHeight="1">
      <c r="A274" t="s">
        <v>2559</v>
      </c>
      <c r="B274" t="s">
        <v>2551</v>
      </c>
      <c r="C274" t="str">
        <f t="shared" si="43"/>
        <v>e.</v>
      </c>
      <c r="D274" t="s">
        <v>682</v>
      </c>
      <c r="E274" s="118" t="str">
        <f t="shared" si="44"/>
        <v>e.PROVIDED DRUGS</v>
      </c>
      <c r="H274" s="206" t="str">
        <f t="shared" si="46"/>
        <v>(2.06) - e.PROVIDED DRUGS</v>
      </c>
      <c r="I274" s="213" t="str">
        <f t="shared" si="38"/>
        <v>select_one men</v>
      </c>
      <c r="J274" s="106" t="s">
        <v>4457</v>
      </c>
      <c r="K274" s="116" t="s">
        <v>2443</v>
      </c>
      <c r="L274" s="118" t="str">
        <f t="shared" si="45"/>
        <v>Sorry, question (2.06) e is required!</v>
      </c>
    </row>
    <row r="275" spans="1:12" ht="14.25" customHeight="1">
      <c r="A275" t="s">
        <v>2559</v>
      </c>
      <c r="B275" t="s">
        <v>2552</v>
      </c>
      <c r="C275" t="str">
        <f t="shared" si="43"/>
        <v>f.</v>
      </c>
      <c r="D275" t="s">
        <v>684</v>
      </c>
      <c r="E275" s="118" t="str">
        <f t="shared" si="44"/>
        <v>f.SENSITIZATION / MOBILIZED COMMUNITY TO USE THE HEALTH FACILITY</v>
      </c>
      <c r="H275" s="206" t="str">
        <f t="shared" si="46"/>
        <v>(2.06) - f.SENSITIZATION / MOBILIZED COMMUNITY TO USE THE HEALTH FACILITY</v>
      </c>
      <c r="I275" s="213" t="str">
        <f t="shared" si="38"/>
        <v>select_one men</v>
      </c>
      <c r="J275" s="106" t="s">
        <v>4457</v>
      </c>
      <c r="K275" s="116" t="s">
        <v>2443</v>
      </c>
      <c r="L275" s="118" t="str">
        <f t="shared" si="45"/>
        <v>Sorry, question (2.06) f is required!</v>
      </c>
    </row>
    <row r="276" spans="1:12" ht="14.25" customHeight="1">
      <c r="A276" t="s">
        <v>2559</v>
      </c>
      <c r="B276" t="s">
        <v>2553</v>
      </c>
      <c r="C276" t="str">
        <f t="shared" si="43"/>
        <v>g.</v>
      </c>
      <c r="D276" t="s">
        <v>686</v>
      </c>
      <c r="E276" s="118" t="str">
        <f t="shared" si="44"/>
        <v>g.PROVIDED TRANSPORT TO STAFF FOR HOME VISITS</v>
      </c>
      <c r="H276" s="206" t="str">
        <f t="shared" si="46"/>
        <v>(2.06) - g.PROVIDED TRANSPORT TO STAFF FOR HOME VISITS</v>
      </c>
      <c r="I276" s="213" t="str">
        <f t="shared" si="38"/>
        <v>select_one men</v>
      </c>
      <c r="J276" s="106" t="s">
        <v>4457</v>
      </c>
      <c r="K276" s="116" t="s">
        <v>2443</v>
      </c>
      <c r="L276" s="118" t="str">
        <f t="shared" si="45"/>
        <v>Sorry, question (2.06) g is required!</v>
      </c>
    </row>
    <row r="277" spans="1:12" ht="14.25" customHeight="1">
      <c r="A277" t="s">
        <v>2559</v>
      </c>
      <c r="B277" t="s">
        <v>2541</v>
      </c>
      <c r="C277" t="str">
        <f t="shared" si="43"/>
        <v>h.</v>
      </c>
      <c r="D277" t="s">
        <v>688</v>
      </c>
      <c r="E277" s="118" t="str">
        <f t="shared" si="44"/>
        <v>h.GAVE IN-KIND CONTRIBUTIONS</v>
      </c>
      <c r="H277" s="206" t="str">
        <f t="shared" si="46"/>
        <v>(2.06) - h.GAVE IN-KIND CONTRIBUTIONS</v>
      </c>
      <c r="I277" s="213" t="str">
        <f t="shared" si="38"/>
        <v>select_one men</v>
      </c>
      <c r="J277" s="106" t="s">
        <v>4457</v>
      </c>
      <c r="K277" s="116" t="s">
        <v>2443</v>
      </c>
      <c r="L277" s="118" t="str">
        <f t="shared" si="45"/>
        <v>Sorry, question (2.06) h is required!</v>
      </c>
    </row>
    <row r="278" spans="1:12" ht="14.25" customHeight="1">
      <c r="A278" t="s">
        <v>2559</v>
      </c>
      <c r="B278" t="s">
        <v>2542</v>
      </c>
      <c r="C278" t="str">
        <f t="shared" si="43"/>
        <v>i.</v>
      </c>
      <c r="D278" t="s">
        <v>690</v>
      </c>
      <c r="E278" s="118" t="str">
        <f t="shared" si="44"/>
        <v>i.IMPROVED SECURITY AT THE FACILITY</v>
      </c>
      <c r="H278" s="206" t="str">
        <f t="shared" si="46"/>
        <v>(2.06) - i.IMPROVED SECURITY AT THE FACILITY</v>
      </c>
      <c r="I278" s="213" t="str">
        <f t="shared" si="38"/>
        <v>select_one men</v>
      </c>
      <c r="J278" s="106" t="s">
        <v>4457</v>
      </c>
      <c r="K278" s="116" t="s">
        <v>2443</v>
      </c>
      <c r="L278" s="118" t="str">
        <f t="shared" si="45"/>
        <v>Sorry, question (2.06) i is required!</v>
      </c>
    </row>
    <row r="279" spans="1:12" ht="14.25" customHeight="1">
      <c r="A279" t="s">
        <v>2559</v>
      </c>
      <c r="B279" t="s">
        <v>2543</v>
      </c>
      <c r="C279" t="str">
        <f t="shared" si="43"/>
        <v>j.</v>
      </c>
      <c r="D279" t="s">
        <v>692</v>
      </c>
      <c r="E279" s="118" t="str">
        <f t="shared" si="44"/>
        <v>j.IMPROVED WATER QUALITY</v>
      </c>
      <c r="H279" s="206" t="str">
        <f t="shared" si="46"/>
        <v>(2.06) - j.IMPROVED WATER QUALITY</v>
      </c>
      <c r="I279" s="213" t="str">
        <f t="shared" si="38"/>
        <v>select_one men</v>
      </c>
      <c r="J279" s="106" t="s">
        <v>4457</v>
      </c>
      <c r="K279" s="116" t="s">
        <v>2443</v>
      </c>
      <c r="L279" s="118" t="str">
        <f t="shared" si="45"/>
        <v>Sorry, question (2.06) j is required!</v>
      </c>
    </row>
    <row r="280" spans="1:12" ht="14.25" customHeight="1">
      <c r="A280" t="s">
        <v>2559</v>
      </c>
      <c r="B280" t="s">
        <v>2544</v>
      </c>
      <c r="C280" t="str">
        <f>RIGHT(B280,1)&amp;"."</f>
        <v>k.</v>
      </c>
      <c r="D280" t="s">
        <v>694</v>
      </c>
      <c r="E280" s="118" t="str">
        <f>C280&amp;D280</f>
        <v>k.IMPROVED WATER SUPPLY (QUANTITY)</v>
      </c>
      <c r="H280" s="206" t="str">
        <f t="shared" si="46"/>
        <v>(2.06) - k.IMPROVED WATER SUPPLY (QUANTITY)</v>
      </c>
      <c r="I280" s="213" t="str">
        <f t="shared" si="38"/>
        <v>select_one men</v>
      </c>
      <c r="J280" s="106" t="s">
        <v>4457</v>
      </c>
      <c r="K280" s="116" t="s">
        <v>2443</v>
      </c>
      <c r="L280" s="118" t="str">
        <f t="shared" ref="L280:L293" si="47">IF(K280="yes",("Sorry, question (2.06) "&amp;LEFT(E280, 1)&amp;" is required!"),"")</f>
        <v>Sorry, question (2.06) k is required!</v>
      </c>
    </row>
    <row r="281" spans="1:12" ht="14.25" customHeight="1">
      <c r="A281" t="s">
        <v>2559</v>
      </c>
      <c r="B281" t="s">
        <v>2545</v>
      </c>
      <c r="C281" t="str">
        <f t="shared" ref="C281:C290" si="48">RIGHT(B281,1)&amp;"."</f>
        <v>l.</v>
      </c>
      <c r="D281" t="s">
        <v>696</v>
      </c>
      <c r="E281" s="118" t="str">
        <f t="shared" ref="E281:E290" si="49">C281&amp;D281</f>
        <v>l.SUPPORTED TRAINING FOR COMMUNITY HEALTH WORKERS</v>
      </c>
      <c r="H281" s="206" t="str">
        <f t="shared" si="46"/>
        <v>(2.06) - l.SUPPORTED TRAINING FOR COMMUNITY HEALTH WORKERS</v>
      </c>
      <c r="I281" s="213" t="str">
        <f t="shared" si="38"/>
        <v>select_one men</v>
      </c>
      <c r="J281" s="106" t="s">
        <v>4457</v>
      </c>
      <c r="K281" s="116" t="s">
        <v>2443</v>
      </c>
      <c r="L281" s="118" t="str">
        <f t="shared" si="47"/>
        <v>Sorry, question (2.06) l is required!</v>
      </c>
    </row>
    <row r="282" spans="1:12" ht="14.25" customHeight="1">
      <c r="A282" t="s">
        <v>2559</v>
      </c>
      <c r="B282" t="s">
        <v>2546</v>
      </c>
      <c r="C282" t="str">
        <f t="shared" si="48"/>
        <v>m.</v>
      </c>
      <c r="D282" t="s">
        <v>698</v>
      </c>
      <c r="E282" s="118" t="str">
        <f t="shared" si="49"/>
        <v>m.SUPPORTED OUTREACH TEAMS</v>
      </c>
      <c r="H282" s="206" t="str">
        <f t="shared" si="46"/>
        <v>(2.06) - m.SUPPORTED OUTREACH TEAMS</v>
      </c>
      <c r="I282" s="213" t="str">
        <f t="shared" si="38"/>
        <v>select_one men</v>
      </c>
      <c r="J282" s="106" t="s">
        <v>4457</v>
      </c>
      <c r="K282" s="116" t="s">
        <v>2443</v>
      </c>
      <c r="L282" s="118" t="str">
        <f t="shared" si="47"/>
        <v>Sorry, question (2.06) m is required!</v>
      </c>
    </row>
    <row r="283" spans="1:12" ht="14.25" customHeight="1">
      <c r="A283" t="s">
        <v>2559</v>
      </c>
      <c r="B283" t="s">
        <v>2547</v>
      </c>
      <c r="C283" t="str">
        <f t="shared" si="48"/>
        <v>n.</v>
      </c>
      <c r="D283" t="s">
        <v>700</v>
      </c>
      <c r="E283" s="118" t="str">
        <f t="shared" si="49"/>
        <v>n.VERIFIED HEALTH FACILITY MATERNAL AND CHILD HEALTH-RELATED RESULTS</v>
      </c>
      <c r="H283" s="206" t="str">
        <f t="shared" si="46"/>
        <v>(2.06) - n.VERIFIED HEALTH FACILITY MATERNAL AND CHILD HEALTH-RELATED RESULTS</v>
      </c>
      <c r="I283" s="213" t="str">
        <f t="shared" si="38"/>
        <v>select_one men</v>
      </c>
      <c r="J283" s="106" t="s">
        <v>4457</v>
      </c>
      <c r="K283" s="116" t="s">
        <v>2443</v>
      </c>
      <c r="L283" s="118" t="str">
        <f t="shared" si="47"/>
        <v>Sorry, question (2.06) n is required!</v>
      </c>
    </row>
    <row r="284" spans="1:12" ht="14.25" customHeight="1">
      <c r="A284" t="s">
        <v>2559</v>
      </c>
      <c r="B284" t="s">
        <v>2534</v>
      </c>
      <c r="C284" t="str">
        <f t="shared" si="48"/>
        <v>o.</v>
      </c>
      <c r="D284" t="s">
        <v>702</v>
      </c>
      <c r="E284" s="118" t="str">
        <f t="shared" si="49"/>
        <v>o.ENVIRONMENTAL SANITATION (E.G. DESTRUCTION OF MOSQUITO BREEDING SITES)</v>
      </c>
      <c r="H284" s="206" t="str">
        <f t="shared" si="46"/>
        <v>(2.06) - o.ENVIRONMENTAL SANITATION (E.G. DESTRUCTION OF MOSQUITO BREEDING SITES)</v>
      </c>
      <c r="I284" s="213" t="str">
        <f t="shared" si="38"/>
        <v>select_one men</v>
      </c>
      <c r="J284" s="106" t="s">
        <v>4457</v>
      </c>
      <c r="K284" s="116" t="s">
        <v>2443</v>
      </c>
      <c r="L284" s="118" t="str">
        <f t="shared" si="47"/>
        <v>Sorry, question (2.06) o is required!</v>
      </c>
    </row>
    <row r="285" spans="1:12" ht="14.25" customHeight="1">
      <c r="A285" t="s">
        <v>2559</v>
      </c>
      <c r="B285" t="s">
        <v>2535</v>
      </c>
      <c r="C285" t="str">
        <f t="shared" si="48"/>
        <v>p.</v>
      </c>
      <c r="D285" t="s">
        <v>704</v>
      </c>
      <c r="E285" s="118" t="str">
        <f t="shared" si="49"/>
        <v>p.INDOOR RESIDUAL SPRAY</v>
      </c>
      <c r="H285" s="206" t="str">
        <f t="shared" si="46"/>
        <v>(2.06) - p.INDOOR RESIDUAL SPRAY</v>
      </c>
      <c r="I285" s="213" t="str">
        <f t="shared" si="38"/>
        <v>select_one men</v>
      </c>
      <c r="J285" s="106" t="s">
        <v>4457</v>
      </c>
      <c r="K285" s="116" t="s">
        <v>2443</v>
      </c>
      <c r="L285" s="118" t="str">
        <f t="shared" si="47"/>
        <v>Sorry, question (2.06) p is required!</v>
      </c>
    </row>
    <row r="286" spans="1:12" ht="14.25" customHeight="1">
      <c r="A286" t="s">
        <v>2559</v>
      </c>
      <c r="B286" t="s">
        <v>2536</v>
      </c>
      <c r="C286" t="str">
        <f t="shared" si="48"/>
        <v>q.</v>
      </c>
      <c r="D286" t="s">
        <v>706</v>
      </c>
      <c r="E286" s="118" t="str">
        <f t="shared" si="49"/>
        <v>q.SCREENING OF DISEASES</v>
      </c>
      <c r="H286" s="206" t="str">
        <f t="shared" si="46"/>
        <v>(2.06) - q.SCREENING OF DISEASES</v>
      </c>
      <c r="I286" s="213" t="str">
        <f t="shared" si="38"/>
        <v>select_one men</v>
      </c>
      <c r="J286" s="106" t="s">
        <v>4457</v>
      </c>
      <c r="K286" s="116" t="s">
        <v>2443</v>
      </c>
      <c r="L286" s="118" t="str">
        <f t="shared" si="47"/>
        <v>Sorry, question (2.06) q is required!</v>
      </c>
    </row>
    <row r="287" spans="1:12" ht="14.25" customHeight="1">
      <c r="A287" t="s">
        <v>2559</v>
      </c>
      <c r="B287" t="s">
        <v>2537</v>
      </c>
      <c r="C287" t="str">
        <f t="shared" si="48"/>
        <v>r.</v>
      </c>
      <c r="D287" t="s">
        <v>708</v>
      </c>
      <c r="E287" s="118" t="str">
        <f t="shared" si="49"/>
        <v>r.REPORTED AND COLLECTED DATA FOR RESULTS-BASED FINANCING ACTIVITIES</v>
      </c>
      <c r="H287" s="206" t="str">
        <f t="shared" si="46"/>
        <v>(2.06) - r.REPORTED AND COLLECTED DATA FOR RESULTS-BASED FINANCING ACTIVITIES</v>
      </c>
      <c r="I287" s="213" t="str">
        <f t="shared" si="38"/>
        <v>select_one men</v>
      </c>
      <c r="J287" s="106" t="s">
        <v>4457</v>
      </c>
      <c r="K287" s="116" t="s">
        <v>2443</v>
      </c>
      <c r="L287" s="118" t="str">
        <f t="shared" si="47"/>
        <v>Sorry, question (2.06) r is required!</v>
      </c>
    </row>
    <row r="288" spans="1:12" ht="14.25" customHeight="1">
      <c r="A288" t="s">
        <v>2559</v>
      </c>
      <c r="B288" t="s">
        <v>2538</v>
      </c>
      <c r="C288" t="str">
        <f t="shared" si="48"/>
        <v>s.</v>
      </c>
      <c r="D288" t="s">
        <v>710</v>
      </c>
      <c r="E288" s="118" t="str">
        <f t="shared" si="49"/>
        <v>s.DESIGNED THE RESULTS-BASED FINANCING SCHEME</v>
      </c>
      <c r="H288" s="206" t="str">
        <f t="shared" si="46"/>
        <v>(2.06) - s.DESIGNED THE RESULTS-BASED FINANCING SCHEME</v>
      </c>
      <c r="I288" s="213" t="str">
        <f t="shared" si="38"/>
        <v>select_one men</v>
      </c>
      <c r="J288" s="106" t="s">
        <v>4457</v>
      </c>
      <c r="K288" s="116" t="s">
        <v>2443</v>
      </c>
      <c r="L288" s="118" t="str">
        <f t="shared" si="47"/>
        <v>Sorry, question (2.06) s is required!</v>
      </c>
    </row>
    <row r="289" spans="1:24" ht="14.25" customHeight="1">
      <c r="A289" t="s">
        <v>2559</v>
      </c>
      <c r="B289" t="s">
        <v>2539</v>
      </c>
      <c r="C289" t="str">
        <f t="shared" si="48"/>
        <v>t.</v>
      </c>
      <c r="D289" t="s">
        <v>712</v>
      </c>
      <c r="E289" s="118" t="str">
        <f t="shared" si="49"/>
        <v>t.PARTICIPATED IN TRAINING AND AWARENESS RAISING OF THE RESULTS-BASED FINANCING SCHEME</v>
      </c>
      <c r="H289" s="206" t="str">
        <f t="shared" si="46"/>
        <v>(2.06) - t.PARTICIPATED IN TRAINING AND AWARENESS RAISING OF THE RESULTS-BASED FINANCING SCHEME</v>
      </c>
      <c r="I289" s="213" t="str">
        <f t="shared" si="38"/>
        <v>select_one men</v>
      </c>
      <c r="J289" s="106" t="s">
        <v>4457</v>
      </c>
      <c r="K289" s="116" t="s">
        <v>2443</v>
      </c>
      <c r="L289" s="118" t="str">
        <f t="shared" si="47"/>
        <v>Sorry, question (2.06) t is required!</v>
      </c>
    </row>
    <row r="290" spans="1:24" ht="14.25" customHeight="1">
      <c r="A290" t="s">
        <v>2559</v>
      </c>
      <c r="B290" t="s">
        <v>2540</v>
      </c>
      <c r="C290" t="str">
        <f t="shared" si="48"/>
        <v>u.</v>
      </c>
      <c r="D290" t="s">
        <v>46</v>
      </c>
      <c r="E290" s="118" t="str">
        <f t="shared" si="49"/>
        <v>u.OTHER, SPECIFY:</v>
      </c>
      <c r="H290" s="206" t="str">
        <f t="shared" si="46"/>
        <v>(2.06) - u.OTHER, SPECIFY:</v>
      </c>
      <c r="I290" s="213" t="str">
        <f t="shared" si="38"/>
        <v>select_one men</v>
      </c>
      <c r="J290" s="106" t="s">
        <v>4457</v>
      </c>
      <c r="K290" s="116" t="s">
        <v>2443</v>
      </c>
      <c r="L290" s="118" t="str">
        <f t="shared" si="47"/>
        <v>Sorry, question (2.06) u is required!</v>
      </c>
    </row>
    <row r="291" spans="1:24" ht="14.25" customHeight="1">
      <c r="A291" t="s">
        <v>145</v>
      </c>
      <c r="B291" t="s">
        <v>2894</v>
      </c>
      <c r="E291" s="132" t="s">
        <v>6749</v>
      </c>
      <c r="F291" s="118" t="s">
        <v>46</v>
      </c>
      <c r="H291" s="206" t="str">
        <f t="shared" si="46"/>
        <v>(2.06) - u.OTHER, SPECIFY:</v>
      </c>
      <c r="I291" s="213" t="str">
        <f t="shared" si="38"/>
        <v>text</v>
      </c>
      <c r="J291" s="106" t="s">
        <v>2773</v>
      </c>
      <c r="K291" s="116" t="s">
        <v>2443</v>
      </c>
      <c r="L291" s="118" t="str">
        <f>IF(K291="yes",("Sorry, question (2.06) "&amp;LEFT(E291, 7)&amp;" is required!"),"")</f>
        <v>Sorry, question (2.06) u.OTHER is required!</v>
      </c>
      <c r="O291" s="110" t="s">
        <v>4610</v>
      </c>
    </row>
    <row r="292" spans="1:24" ht="14.25" customHeight="1">
      <c r="A292" t="s">
        <v>15</v>
      </c>
      <c r="L292" s="118" t="str">
        <f t="shared" si="47"/>
        <v/>
      </c>
      <c r="X292" t="s">
        <v>3033</v>
      </c>
    </row>
    <row r="293" spans="1:24" ht="14.25" customHeight="1">
      <c r="A293" t="s">
        <v>150</v>
      </c>
      <c r="L293" s="118" t="str">
        <f t="shared" si="47"/>
        <v/>
      </c>
      <c r="X293" t="s">
        <v>3032</v>
      </c>
    </row>
    <row r="295" spans="1:24" ht="14.25" customHeight="1">
      <c r="A295" t="s">
        <v>146</v>
      </c>
      <c r="B295" s="1" t="s">
        <v>4611</v>
      </c>
      <c r="J295" s="106" t="s">
        <v>147</v>
      </c>
      <c r="L295" s="118" t="str">
        <f t="shared" ref="L295:L304" si="50">IF(K295="yes",("Sorry, question "&amp;LEFT(E295, 6)&amp;" is required!"),"")</f>
        <v/>
      </c>
      <c r="X295" t="s">
        <v>3032</v>
      </c>
    </row>
    <row r="296" spans="1:24" ht="14.25" customHeight="1">
      <c r="B296" s="1"/>
      <c r="E296" s="164"/>
    </row>
    <row r="297" spans="1:24" ht="14.25" customHeight="1">
      <c r="A297" t="s">
        <v>148</v>
      </c>
      <c r="B297" t="s">
        <v>149</v>
      </c>
      <c r="E297" s="118" t="s">
        <v>2805</v>
      </c>
      <c r="F297" s="118" t="s">
        <v>5325</v>
      </c>
      <c r="H297" s="206" t="str">
        <f>E297</f>
        <v>(2.07) Has a facility budget been developed for the current quarter?</v>
      </c>
      <c r="I297" s="213" t="str">
        <f t="shared" si="38"/>
        <v>select_one yesno3</v>
      </c>
      <c r="J297" s="106" t="s">
        <v>4457</v>
      </c>
      <c r="K297" s="116" t="s">
        <v>2443</v>
      </c>
      <c r="L297" s="118" t="str">
        <f t="shared" si="50"/>
        <v>Sorry, question (2.07) is required!</v>
      </c>
    </row>
    <row r="299" spans="1:24" ht="14.25" customHeight="1">
      <c r="A299" t="s">
        <v>110</v>
      </c>
      <c r="B299" t="s">
        <v>151</v>
      </c>
      <c r="E299" s="118" t="s">
        <v>152</v>
      </c>
      <c r="F299" s="118" t="s">
        <v>4612</v>
      </c>
      <c r="H299" s="206" t="str">
        <f>E299</f>
        <v>(2.08) Has a facility workplan been developed for the current financial year?</v>
      </c>
      <c r="I299" s="213" t="str">
        <f t="shared" si="38"/>
        <v>select_one yesno3</v>
      </c>
      <c r="J299" s="106" t="s">
        <v>4457</v>
      </c>
      <c r="K299" s="116" t="s">
        <v>2443</v>
      </c>
      <c r="L299" s="118" t="str">
        <f t="shared" si="50"/>
        <v>Sorry, question (2.08) is required!</v>
      </c>
    </row>
    <row r="300" spans="1:24" ht="14.25" customHeight="1">
      <c r="A300" t="s">
        <v>153</v>
      </c>
      <c r="L300" s="118" t="str">
        <f t="shared" si="50"/>
        <v/>
      </c>
      <c r="X300" t="s">
        <v>3032</v>
      </c>
    </row>
    <row r="301" spans="1:24" ht="14.25" customHeight="1">
      <c r="A301" t="s">
        <v>154</v>
      </c>
      <c r="B301" s="1" t="s">
        <v>4613</v>
      </c>
      <c r="L301" s="118" t="str">
        <f t="shared" si="50"/>
        <v/>
      </c>
      <c r="O301" s="110" t="s">
        <v>4615</v>
      </c>
      <c r="X301" t="s">
        <v>3032</v>
      </c>
    </row>
    <row r="302" spans="1:24" ht="14.25" customHeight="1">
      <c r="A302" t="s">
        <v>12</v>
      </c>
      <c r="B302" s="1" t="s">
        <v>4614</v>
      </c>
      <c r="J302" s="106" t="s">
        <v>13</v>
      </c>
      <c r="L302" s="118" t="str">
        <f t="shared" si="50"/>
        <v/>
      </c>
      <c r="X302" t="s">
        <v>3033</v>
      </c>
    </row>
    <row r="303" spans="1:24" ht="14.25" customHeight="1">
      <c r="A303" t="s">
        <v>17</v>
      </c>
      <c r="B303" s="1" t="s">
        <v>4616</v>
      </c>
      <c r="E303" s="164" t="s">
        <v>4618</v>
      </c>
      <c r="I303" s="213" t="str">
        <f t="shared" si="38"/>
        <v>note</v>
      </c>
      <c r="L303" s="118" t="str">
        <f t="shared" si="50"/>
        <v/>
      </c>
    </row>
    <row r="304" spans="1:24" ht="14.25" customHeight="1">
      <c r="A304" t="s">
        <v>17</v>
      </c>
      <c r="B304" s="107" t="s">
        <v>4617</v>
      </c>
      <c r="E304" s="118" t="s">
        <v>155</v>
      </c>
      <c r="I304" s="213" t="str">
        <f t="shared" si="38"/>
        <v>note</v>
      </c>
      <c r="L304" s="118" t="str">
        <f t="shared" si="50"/>
        <v/>
      </c>
    </row>
    <row r="305" spans="1:24" ht="14.25" customHeight="1">
      <c r="A305" t="s">
        <v>23</v>
      </c>
      <c r="B305" t="s">
        <v>2298</v>
      </c>
      <c r="C305" t="str">
        <f>RIGHT(B305,1)&amp;"."</f>
        <v>a.</v>
      </c>
      <c r="D305" t="s">
        <v>716</v>
      </c>
      <c r="E305" s="118" t="str">
        <f>C305&amp;D305</f>
        <v>a.Health facility director</v>
      </c>
      <c r="H305" s="206" t="str">
        <f>E304&amp;" - "&amp;E305</f>
        <v>(2.09) Who was involved in setting this workplan? - a.Health facility director</v>
      </c>
      <c r="I305" s="213" t="str">
        <f t="shared" si="38"/>
        <v>select_one yesno</v>
      </c>
      <c r="J305" s="106" t="s">
        <v>4457</v>
      </c>
      <c r="K305" s="116" t="s">
        <v>2443</v>
      </c>
      <c r="L305" s="118" t="str">
        <f>IF(K305="yes",("Sorry, question (2.09) "&amp;LEFT(E305, 1)&amp;" is required!"),"")</f>
        <v>Sorry, question (2.09) a is required!</v>
      </c>
    </row>
    <row r="306" spans="1:24" ht="14.25" customHeight="1">
      <c r="A306" t="s">
        <v>23</v>
      </c>
      <c r="B306" t="s">
        <v>2299</v>
      </c>
      <c r="C306" t="str">
        <f t="shared" ref="C306:C316" si="51">RIGHT(B306,1)&amp;"."</f>
        <v>b.</v>
      </c>
      <c r="D306" t="s">
        <v>1283</v>
      </c>
      <c r="E306" s="118" t="str">
        <f t="shared" ref="E306:E316" si="52">C306&amp;D306</f>
        <v xml:space="preserve">b.Health facility staff </v>
      </c>
      <c r="H306" s="206" t="str">
        <f>E304&amp;" - "&amp;E306</f>
        <v xml:space="preserve">(2.09) Who was involved in setting this workplan? - b.Health facility staff </v>
      </c>
      <c r="I306" s="213" t="str">
        <f t="shared" si="38"/>
        <v>select_one yesno</v>
      </c>
      <c r="J306" s="106" t="s">
        <v>4457</v>
      </c>
      <c r="K306" s="116" t="s">
        <v>2443</v>
      </c>
      <c r="L306" s="118" t="str">
        <f t="shared" ref="L306:L316" si="53">IF(K306="yes",("Sorry, question (2.09) "&amp;LEFT(E306, 1)&amp;" is required!"),"")</f>
        <v>Sorry, question (2.09) b is required!</v>
      </c>
    </row>
    <row r="307" spans="1:24" ht="14.25" customHeight="1">
      <c r="A307" t="s">
        <v>23</v>
      </c>
      <c r="B307" t="s">
        <v>2300</v>
      </c>
      <c r="C307" t="str">
        <f t="shared" si="51"/>
        <v>c.</v>
      </c>
      <c r="D307" t="s">
        <v>720</v>
      </c>
      <c r="E307" s="118" t="str">
        <f t="shared" si="52"/>
        <v>c.Non governmental Organization staff</v>
      </c>
      <c r="H307" s="206" t="str">
        <f>E304&amp;" - "&amp;E307</f>
        <v>(2.09) Who was involved in setting this workplan? - c.Non governmental Organization staff</v>
      </c>
      <c r="I307" s="213" t="str">
        <f t="shared" si="38"/>
        <v>select_one yesno</v>
      </c>
      <c r="J307" s="106" t="s">
        <v>4457</v>
      </c>
      <c r="K307" s="116" t="s">
        <v>2443</v>
      </c>
      <c r="L307" s="118" t="str">
        <f t="shared" si="53"/>
        <v>Sorry, question (2.09) c is required!</v>
      </c>
    </row>
    <row r="308" spans="1:24" ht="14.25" customHeight="1">
      <c r="A308" t="s">
        <v>23</v>
      </c>
      <c r="B308" t="s">
        <v>2301</v>
      </c>
      <c r="C308" t="str">
        <f t="shared" si="51"/>
        <v>d.</v>
      </c>
      <c r="D308" s="135" t="s">
        <v>6830</v>
      </c>
      <c r="E308" s="118" t="str">
        <f t="shared" si="52"/>
        <v>d.MOHSW/ Regional Health Management Team</v>
      </c>
      <c r="H308" s="206" t="str">
        <f>E304&amp;" - "&amp;E308</f>
        <v>(2.09) Who was involved in setting this workplan? - d.MOHSW/ Regional Health Management Team</v>
      </c>
      <c r="I308" s="213" t="str">
        <f t="shared" si="38"/>
        <v>select_one yesno</v>
      </c>
      <c r="J308" s="106" t="s">
        <v>4457</v>
      </c>
      <c r="K308" s="116" t="s">
        <v>2443</v>
      </c>
      <c r="L308" s="118" t="str">
        <f t="shared" si="53"/>
        <v>Sorry, question (2.09) d is required!</v>
      </c>
    </row>
    <row r="309" spans="1:24" ht="14.25" customHeight="1">
      <c r="A309" t="s">
        <v>23</v>
      </c>
      <c r="B309" t="s">
        <v>2302</v>
      </c>
      <c r="C309" t="str">
        <f t="shared" si="51"/>
        <v>e.</v>
      </c>
      <c r="D309" t="s">
        <v>724</v>
      </c>
      <c r="E309" s="118" t="str">
        <f t="shared" si="52"/>
        <v>e.Village Support Groups</v>
      </c>
      <c r="H309" s="206" t="str">
        <f>E304&amp;" - "&amp;E309</f>
        <v>(2.09) Who was involved in setting this workplan? - e.Village Support Groups</v>
      </c>
      <c r="I309" s="213" t="str">
        <f t="shared" si="38"/>
        <v>select_one yesno</v>
      </c>
      <c r="J309" s="106" t="s">
        <v>4457</v>
      </c>
      <c r="K309" s="116" t="s">
        <v>2443</v>
      </c>
      <c r="L309" s="118" t="str">
        <f t="shared" si="53"/>
        <v>Sorry, question (2.09) e is required!</v>
      </c>
    </row>
    <row r="310" spans="1:24" ht="14.25" customHeight="1">
      <c r="A310" t="s">
        <v>23</v>
      </c>
      <c r="B310" t="s">
        <v>2303</v>
      </c>
      <c r="C310" t="str">
        <f t="shared" si="51"/>
        <v>f.</v>
      </c>
      <c r="D310" t="s">
        <v>726</v>
      </c>
      <c r="E310" s="118" t="str">
        <f t="shared" si="52"/>
        <v>f.Hospital/Health center executive committee</v>
      </c>
      <c r="H310" s="206" t="str">
        <f>E304&amp;" - "&amp;E310</f>
        <v>(2.09) Who was involved in setting this workplan? - f.Hospital/Health center executive committee</v>
      </c>
      <c r="I310" s="213" t="str">
        <f t="shared" si="38"/>
        <v>select_one yesno</v>
      </c>
      <c r="J310" s="106" t="s">
        <v>4457</v>
      </c>
      <c r="K310" s="116" t="s">
        <v>2443</v>
      </c>
      <c r="L310" s="118" t="str">
        <f t="shared" si="53"/>
        <v>Sorry, question (2.09) f is required!</v>
      </c>
    </row>
    <row r="311" spans="1:24" ht="14.25" customHeight="1">
      <c r="A311" t="s">
        <v>23</v>
      </c>
      <c r="B311" t="s">
        <v>2304</v>
      </c>
      <c r="C311" t="str">
        <f t="shared" si="51"/>
        <v>g.</v>
      </c>
      <c r="D311" t="s">
        <v>728</v>
      </c>
      <c r="E311" s="118" t="str">
        <f t="shared" si="52"/>
        <v>g.Hospital management</v>
      </c>
      <c r="H311" s="206" t="str">
        <f>E304&amp;" - "&amp;E311</f>
        <v>(2.09) Who was involved in setting this workplan? - g.Hospital management</v>
      </c>
      <c r="I311" s="213" t="str">
        <f t="shared" si="38"/>
        <v>select_one yesno</v>
      </c>
      <c r="J311" s="106" t="s">
        <v>4457</v>
      </c>
      <c r="K311" s="116" t="s">
        <v>2443</v>
      </c>
      <c r="L311" s="118" t="str">
        <f t="shared" si="53"/>
        <v>Sorry, question (2.09) g is required!</v>
      </c>
    </row>
    <row r="312" spans="1:24" ht="14.25" customHeight="1">
      <c r="A312" t="s">
        <v>23</v>
      </c>
      <c r="B312" t="s">
        <v>2305</v>
      </c>
      <c r="C312" t="str">
        <f t="shared" si="51"/>
        <v>h.</v>
      </c>
      <c r="D312" t="s">
        <v>2297</v>
      </c>
      <c r="E312" s="118" t="str">
        <f t="shared" si="52"/>
        <v>h.VDC Chairperson</v>
      </c>
      <c r="H312" s="206" t="str">
        <f>E304&amp;" - "&amp;E312</f>
        <v>(2.09) Who was involved in setting this workplan? - h.VDC Chairperson</v>
      </c>
      <c r="I312" s="213" t="str">
        <f t="shared" si="38"/>
        <v>select_one yesno</v>
      </c>
      <c r="J312" s="106" t="s">
        <v>4457</v>
      </c>
      <c r="K312" s="116" t="s">
        <v>2443</v>
      </c>
      <c r="L312" s="118" t="str">
        <f t="shared" si="53"/>
        <v>Sorry, question (2.09) h is required!</v>
      </c>
    </row>
    <row r="313" spans="1:24" ht="14.25" customHeight="1">
      <c r="A313" t="s">
        <v>23</v>
      </c>
      <c r="B313" t="s">
        <v>2306</v>
      </c>
      <c r="C313" t="str">
        <f t="shared" si="51"/>
        <v>i.</v>
      </c>
      <c r="D313" t="s">
        <v>668</v>
      </c>
      <c r="E313" s="118" t="str">
        <f t="shared" si="52"/>
        <v>i.Community Health Workers</v>
      </c>
      <c r="H313" s="206" t="str">
        <f>E304&amp;" - "&amp;E313</f>
        <v>(2.09) Who was involved in setting this workplan? - i.Community Health Workers</v>
      </c>
      <c r="I313" s="213" t="str">
        <f t="shared" si="38"/>
        <v>select_one yesno</v>
      </c>
      <c r="J313" s="106" t="s">
        <v>4457</v>
      </c>
      <c r="K313" s="116" t="s">
        <v>2443</v>
      </c>
      <c r="L313" s="118" t="str">
        <f t="shared" si="53"/>
        <v>Sorry, question (2.09) i is required!</v>
      </c>
    </row>
    <row r="314" spans="1:24" ht="14.25" customHeight="1">
      <c r="A314" t="s">
        <v>23</v>
      </c>
      <c r="B314" t="s">
        <v>2307</v>
      </c>
      <c r="C314" t="str">
        <f t="shared" si="51"/>
        <v>j.</v>
      </c>
      <c r="D314" t="s">
        <v>734</v>
      </c>
      <c r="E314" s="118" t="str">
        <f t="shared" si="52"/>
        <v>j.Community members</v>
      </c>
      <c r="H314" s="206" t="str">
        <f>E304&amp;" - "&amp;E314</f>
        <v>(2.09) Who was involved in setting this workplan? - j.Community members</v>
      </c>
      <c r="I314" s="213" t="str">
        <f t="shared" si="38"/>
        <v>select_one yesno</v>
      </c>
      <c r="J314" s="106" t="s">
        <v>4457</v>
      </c>
      <c r="K314" s="116" t="s">
        <v>2443</v>
      </c>
      <c r="L314" s="118" t="str">
        <f t="shared" si="53"/>
        <v>Sorry, question (2.09) j is required!</v>
      </c>
    </row>
    <row r="315" spans="1:24" ht="14.25" customHeight="1">
      <c r="A315" t="s">
        <v>23</v>
      </c>
      <c r="B315" t="s">
        <v>2308</v>
      </c>
      <c r="C315" t="str">
        <f t="shared" si="51"/>
        <v>k.</v>
      </c>
      <c r="D315" t="s">
        <v>736</v>
      </c>
      <c r="E315" s="118" t="str">
        <f t="shared" si="52"/>
        <v>k.Health Center Committee</v>
      </c>
      <c r="H315" s="206" t="str">
        <f>E304&amp;" - "&amp;E315</f>
        <v>(2.09) Who was involved in setting this workplan? - k.Health Center Committee</v>
      </c>
      <c r="I315" s="213" t="str">
        <f t="shared" si="38"/>
        <v>select_one yesno</v>
      </c>
      <c r="J315" s="106" t="s">
        <v>4457</v>
      </c>
      <c r="K315" s="116" t="s">
        <v>2443</v>
      </c>
      <c r="L315" s="118" t="str">
        <f t="shared" si="53"/>
        <v>Sorry, question (2.09) k is required!</v>
      </c>
    </row>
    <row r="316" spans="1:24" ht="14.25" customHeight="1">
      <c r="A316" t="s">
        <v>23</v>
      </c>
      <c r="B316" t="s">
        <v>2309</v>
      </c>
      <c r="C316" t="str">
        <f t="shared" si="51"/>
        <v>l.</v>
      </c>
      <c r="D316" t="s">
        <v>35</v>
      </c>
      <c r="E316" s="118" t="str">
        <f t="shared" si="52"/>
        <v>l.Other, specify:</v>
      </c>
      <c r="H316" s="206" t="str">
        <f>E304&amp;" - "&amp;E316</f>
        <v>(2.09) Who was involved in setting this workplan? - l.Other, specify:</v>
      </c>
      <c r="I316" s="213" t="str">
        <f t="shared" si="38"/>
        <v>select_one yesno</v>
      </c>
      <c r="J316" s="106" t="s">
        <v>4457</v>
      </c>
      <c r="K316" s="116" t="s">
        <v>2443</v>
      </c>
      <c r="L316" s="118" t="str">
        <f t="shared" si="53"/>
        <v>Sorry, question (2.09) l is required!</v>
      </c>
    </row>
    <row r="317" spans="1:24" ht="14.25" customHeight="1">
      <c r="A317" t="s">
        <v>156</v>
      </c>
      <c r="B317" s="1" t="s">
        <v>4619</v>
      </c>
      <c r="E317" s="132" t="s">
        <v>6750</v>
      </c>
      <c r="F317" s="118" t="s">
        <v>35</v>
      </c>
      <c r="H317" s="206" t="str">
        <f>E304&amp;" - "&amp;E317</f>
        <v>(2.09) Who was involved in setting this workplan? - l.Other, specify:</v>
      </c>
      <c r="I317" s="213" t="str">
        <f t="shared" si="38"/>
        <v>text</v>
      </c>
      <c r="J317" s="106" t="s">
        <v>2773</v>
      </c>
      <c r="K317" s="116" t="s">
        <v>2443</v>
      </c>
      <c r="L317" s="118" t="str">
        <f>IF(K317="yes",("Sorry, question (2.09) "&amp;LEFT(E317, 7)&amp;" is required!"),"")</f>
        <v>Sorry, question (2.09) l.Other is required!</v>
      </c>
      <c r="O317" s="110" t="s">
        <v>2745</v>
      </c>
    </row>
    <row r="318" spans="1:24" ht="14.25" customHeight="1">
      <c r="A318" t="s">
        <v>157</v>
      </c>
      <c r="B318" t="s">
        <v>158</v>
      </c>
      <c r="E318" s="118" t="s">
        <v>159</v>
      </c>
      <c r="H318" s="206" t="str">
        <f>E318</f>
        <v>(2.10) Are priority health-related activities identified in this workplan for the current financial year?</v>
      </c>
      <c r="I318" s="213" t="str">
        <f t="shared" si="38"/>
        <v>select_one yesno</v>
      </c>
      <c r="J318" s="106" t="s">
        <v>4457</v>
      </c>
      <c r="K318" s="116" t="s">
        <v>2443</v>
      </c>
      <c r="L318" s="118" t="str">
        <f t="shared" ref="L318:L326" si="54">IF(K318="yes",("Sorry, question "&amp;LEFT(E318, 6)&amp;" is required!"),"")</f>
        <v>Sorry, question (2.10) is required!</v>
      </c>
    </row>
    <row r="319" spans="1:24" ht="14.25" customHeight="1">
      <c r="A319" t="s">
        <v>15</v>
      </c>
      <c r="L319" s="118" t="str">
        <f t="shared" si="54"/>
        <v/>
      </c>
      <c r="X319" t="s">
        <v>3033</v>
      </c>
    </row>
    <row r="320" spans="1:24" s="184" customFormat="1" ht="14.25" customHeight="1">
      <c r="A320" s="184" t="s">
        <v>17</v>
      </c>
      <c r="B320" s="185" t="s">
        <v>6540</v>
      </c>
      <c r="E320" s="186" t="s">
        <v>6541</v>
      </c>
      <c r="F320" s="186"/>
      <c r="H320" s="209"/>
      <c r="I320" s="213" t="str">
        <f t="shared" ref="I320:I383" si="55">A320</f>
        <v>note</v>
      </c>
      <c r="J320" s="187"/>
      <c r="K320" s="188"/>
      <c r="L320" s="186"/>
      <c r="M320" s="189"/>
      <c r="O320" s="184" t="s">
        <v>6542</v>
      </c>
      <c r="P320" s="190"/>
    </row>
    <row r="321" spans="1:24" ht="14.25" customHeight="1">
      <c r="A321" t="s">
        <v>15</v>
      </c>
      <c r="L321" s="118" t="str">
        <f t="shared" si="54"/>
        <v/>
      </c>
      <c r="X321" t="s">
        <v>3032</v>
      </c>
    </row>
    <row r="323" spans="1:24" ht="14.25" customHeight="1">
      <c r="B323" s="1"/>
    </row>
    <row r="324" spans="1:24" ht="14.25" customHeight="1">
      <c r="A324" t="s">
        <v>12</v>
      </c>
      <c r="B324" s="1" t="s">
        <v>4620</v>
      </c>
      <c r="J324" s="106" t="s">
        <v>13</v>
      </c>
      <c r="L324" s="118" t="str">
        <f t="shared" si="54"/>
        <v/>
      </c>
      <c r="X324" t="s">
        <v>3033</v>
      </c>
    </row>
    <row r="325" spans="1:24" ht="14.25" customHeight="1">
      <c r="A325" t="s">
        <v>17</v>
      </c>
      <c r="B325" s="1" t="s">
        <v>4621</v>
      </c>
      <c r="E325" s="164" t="s">
        <v>6670</v>
      </c>
      <c r="I325" s="213" t="str">
        <f t="shared" si="55"/>
        <v>note</v>
      </c>
      <c r="L325" s="118" t="str">
        <f t="shared" si="54"/>
        <v/>
      </c>
    </row>
    <row r="326" spans="1:24" ht="14.25" customHeight="1">
      <c r="A326" t="s">
        <v>17</v>
      </c>
      <c r="B326" s="1" t="s">
        <v>4622</v>
      </c>
      <c r="E326" s="132" t="s">
        <v>160</v>
      </c>
      <c r="I326" s="213" t="str">
        <f t="shared" si="55"/>
        <v>note</v>
      </c>
      <c r="L326" s="118" t="str">
        <f t="shared" si="54"/>
        <v/>
      </c>
    </row>
    <row r="327" spans="1:24" ht="14.25" customHeight="1">
      <c r="A327" t="s">
        <v>2576</v>
      </c>
      <c r="B327" t="s">
        <v>2560</v>
      </c>
      <c r="C327" t="str">
        <f>RIGHT(B327,1)&amp;"."</f>
        <v>a.</v>
      </c>
      <c r="D327" t="s">
        <v>740</v>
      </c>
      <c r="E327" s="118" t="str">
        <f>C327&amp;D327</f>
        <v>a.Antenatal care</v>
      </c>
      <c r="H327" s="206" t="str">
        <f>"(2.11) For each service, " &amp;E327&amp;" is a priority or not a priority for this fiscal year."</f>
        <v>(2.11) For each service, a.Antenatal care is a priority or not a priority for this fiscal year.</v>
      </c>
      <c r="I327" s="213" t="str">
        <f t="shared" si="55"/>
        <v>select_one prio</v>
      </c>
      <c r="J327" s="106" t="s">
        <v>4457</v>
      </c>
      <c r="K327" s="116" t="s">
        <v>2443</v>
      </c>
      <c r="L327" s="118" t="str">
        <f>IF(K327="yes",("Sorry, question (2.11) "&amp;LEFT(E327, 1)&amp;" is required!"),"")</f>
        <v>Sorry, question (2.11) a is required!</v>
      </c>
    </row>
    <row r="328" spans="1:24" ht="14.25" customHeight="1">
      <c r="A328" t="s">
        <v>2576</v>
      </c>
      <c r="B328" t="s">
        <v>2561</v>
      </c>
      <c r="C328" t="str">
        <f t="shared" ref="C328:C339" si="56">RIGHT(B328,1)&amp;"."</f>
        <v>b.</v>
      </c>
      <c r="D328" t="s">
        <v>742</v>
      </c>
      <c r="E328" s="118" t="str">
        <f t="shared" ref="E328:E339" si="57">C328&amp;D328</f>
        <v>b.Institutional delivery</v>
      </c>
      <c r="H328" s="206" t="str">
        <f t="shared" ref="H328:H340" si="58">"(2.11) For each service, " &amp;E328&amp;" is a priority or not a priority for this fiscal year."</f>
        <v>(2.11) For each service, b.Institutional delivery is a priority or not a priority for this fiscal year.</v>
      </c>
      <c r="I328" s="213" t="str">
        <f t="shared" si="55"/>
        <v>select_one prio</v>
      </c>
      <c r="J328" s="106" t="s">
        <v>4457</v>
      </c>
      <c r="K328" s="116" t="s">
        <v>2443</v>
      </c>
      <c r="L328" s="118" t="str">
        <f t="shared" ref="L328:L339" si="59">IF(K328="yes",("Sorry, question (2.11) "&amp;LEFT(E328, 1)&amp;" is required!"),"")</f>
        <v>Sorry, question (2.11) b is required!</v>
      </c>
    </row>
    <row r="329" spans="1:24" ht="14.25" customHeight="1">
      <c r="A329" t="s">
        <v>2576</v>
      </c>
      <c r="B329" t="s">
        <v>2562</v>
      </c>
      <c r="C329" t="str">
        <f t="shared" si="56"/>
        <v>c.</v>
      </c>
      <c r="D329" t="s">
        <v>744</v>
      </c>
      <c r="E329" s="118" t="str">
        <f t="shared" si="57"/>
        <v>c.Postnatal care</v>
      </c>
      <c r="H329" s="206" t="str">
        <f t="shared" si="58"/>
        <v>(2.11) For each service, c.Postnatal care is a priority or not a priority for this fiscal year.</v>
      </c>
      <c r="I329" s="213" t="str">
        <f t="shared" si="55"/>
        <v>select_one prio</v>
      </c>
      <c r="J329" s="106" t="s">
        <v>4457</v>
      </c>
      <c r="K329" s="116" t="s">
        <v>2443</v>
      </c>
      <c r="L329" s="118" t="str">
        <f t="shared" si="59"/>
        <v>Sorry, question (2.11) c is required!</v>
      </c>
    </row>
    <row r="330" spans="1:24" ht="14.25" customHeight="1">
      <c r="A330" t="s">
        <v>2576</v>
      </c>
      <c r="B330" t="s">
        <v>2563</v>
      </c>
      <c r="C330" t="str">
        <f t="shared" si="56"/>
        <v>d.</v>
      </c>
      <c r="D330" t="s">
        <v>746</v>
      </c>
      <c r="E330" s="118" t="str">
        <f t="shared" si="57"/>
        <v>d.Immunization</v>
      </c>
      <c r="H330" s="206" t="str">
        <f t="shared" si="58"/>
        <v>(2.11) For each service, d.Immunization is a priority or not a priority for this fiscal year.</v>
      </c>
      <c r="I330" s="213" t="str">
        <f t="shared" si="55"/>
        <v>select_one prio</v>
      </c>
      <c r="J330" s="106" t="s">
        <v>4457</v>
      </c>
      <c r="K330" s="116" t="s">
        <v>2443</v>
      </c>
      <c r="L330" s="118" t="str">
        <f t="shared" si="59"/>
        <v>Sorry, question (2.11) d is required!</v>
      </c>
    </row>
    <row r="331" spans="1:24" ht="14.25" customHeight="1">
      <c r="A331" t="s">
        <v>2576</v>
      </c>
      <c r="B331" t="s">
        <v>2564</v>
      </c>
      <c r="C331" t="str">
        <f t="shared" si="56"/>
        <v>e.</v>
      </c>
      <c r="D331" t="s">
        <v>748</v>
      </c>
      <c r="E331" s="118" t="str">
        <f t="shared" si="57"/>
        <v>e.Curative consultations</v>
      </c>
      <c r="H331" s="206" t="str">
        <f t="shared" si="58"/>
        <v>(2.11) For each service, e.Curative consultations is a priority or not a priority for this fiscal year.</v>
      </c>
      <c r="I331" s="213" t="str">
        <f t="shared" si="55"/>
        <v>select_one prio</v>
      </c>
      <c r="J331" s="106" t="s">
        <v>4457</v>
      </c>
      <c r="K331" s="116" t="s">
        <v>2443</v>
      </c>
      <c r="L331" s="118" t="str">
        <f t="shared" si="59"/>
        <v>Sorry, question (2.11) e is required!</v>
      </c>
    </row>
    <row r="332" spans="1:24" ht="14.25" customHeight="1">
      <c r="A332" t="s">
        <v>2576</v>
      </c>
      <c r="B332" t="s">
        <v>2565</v>
      </c>
      <c r="C332" t="str">
        <f t="shared" si="56"/>
        <v>f.</v>
      </c>
      <c r="D332" t="s">
        <v>750</v>
      </c>
      <c r="E332" s="118" t="str">
        <f t="shared" si="57"/>
        <v>f.Family planning/Reproductive health</v>
      </c>
      <c r="H332" s="206" t="str">
        <f t="shared" si="58"/>
        <v>(2.11) For each service, f.Family planning/Reproductive health is a priority or not a priority for this fiscal year.</v>
      </c>
      <c r="I332" s="213" t="str">
        <f t="shared" si="55"/>
        <v>select_one prio</v>
      </c>
      <c r="J332" s="106" t="s">
        <v>4457</v>
      </c>
      <c r="K332" s="116" t="s">
        <v>2443</v>
      </c>
      <c r="L332" s="118" t="str">
        <f t="shared" si="59"/>
        <v>Sorry, question (2.11) f is required!</v>
      </c>
    </row>
    <row r="333" spans="1:24" ht="14.25" customHeight="1">
      <c r="A333" t="s">
        <v>2576</v>
      </c>
      <c r="B333" t="s">
        <v>2566</v>
      </c>
      <c r="C333" t="str">
        <f t="shared" si="56"/>
        <v>g.</v>
      </c>
      <c r="D333" t="s">
        <v>752</v>
      </c>
      <c r="E333" s="118" t="str">
        <f t="shared" si="57"/>
        <v>g.Nutrition</v>
      </c>
      <c r="H333" s="206" t="str">
        <f t="shared" si="58"/>
        <v>(2.11) For each service, g.Nutrition is a priority or not a priority for this fiscal year.</v>
      </c>
      <c r="I333" s="213" t="str">
        <f t="shared" si="55"/>
        <v>select_one prio</v>
      </c>
      <c r="J333" s="106" t="s">
        <v>4457</v>
      </c>
      <c r="K333" s="116" t="s">
        <v>2443</v>
      </c>
      <c r="L333" s="118" t="str">
        <f t="shared" si="59"/>
        <v>Sorry, question (2.11) g is required!</v>
      </c>
    </row>
    <row r="334" spans="1:24" ht="14.25" customHeight="1">
      <c r="A334" t="s">
        <v>2576</v>
      </c>
      <c r="B334" t="s">
        <v>2567</v>
      </c>
      <c r="C334" t="str">
        <f t="shared" si="56"/>
        <v>h.</v>
      </c>
      <c r="D334" t="s">
        <v>754</v>
      </c>
      <c r="E334" s="118" t="str">
        <f t="shared" si="57"/>
        <v>h.Integrated management of childhood illness</v>
      </c>
      <c r="H334" s="206" t="str">
        <f t="shared" si="58"/>
        <v>(2.11) For each service, h.Integrated management of childhood illness is a priority or not a priority for this fiscal year.</v>
      </c>
      <c r="I334" s="213" t="str">
        <f t="shared" si="55"/>
        <v>select_one prio</v>
      </c>
      <c r="J334" s="106" t="s">
        <v>4457</v>
      </c>
      <c r="K334" s="116" t="s">
        <v>2443</v>
      </c>
      <c r="L334" s="118" t="str">
        <f t="shared" si="59"/>
        <v>Sorry, question (2.11) h is required!</v>
      </c>
    </row>
    <row r="335" spans="1:24" ht="14.25" customHeight="1">
      <c r="A335" t="s">
        <v>2576</v>
      </c>
      <c r="B335" t="s">
        <v>2568</v>
      </c>
      <c r="C335" t="str">
        <f t="shared" si="56"/>
        <v>i.</v>
      </c>
      <c r="D335" t="s">
        <v>756</v>
      </c>
      <c r="E335" s="118" t="str">
        <f t="shared" si="57"/>
        <v>i.Malaria</v>
      </c>
      <c r="H335" s="206" t="str">
        <f t="shared" si="58"/>
        <v>(2.11) For each service, i.Malaria is a priority or not a priority for this fiscal year.</v>
      </c>
      <c r="I335" s="213" t="str">
        <f t="shared" si="55"/>
        <v>select_one prio</v>
      </c>
      <c r="J335" s="106" t="s">
        <v>4457</v>
      </c>
      <c r="K335" s="116" t="s">
        <v>2443</v>
      </c>
      <c r="L335" s="118" t="str">
        <f t="shared" si="59"/>
        <v>Sorry, question (2.11) i is required!</v>
      </c>
    </row>
    <row r="336" spans="1:24" ht="14.25" customHeight="1">
      <c r="A336" t="s">
        <v>2576</v>
      </c>
      <c r="B336" t="s">
        <v>2569</v>
      </c>
      <c r="C336" t="str">
        <f t="shared" si="56"/>
        <v>j.</v>
      </c>
      <c r="D336" t="s">
        <v>758</v>
      </c>
      <c r="E336" s="118" t="str">
        <f t="shared" si="57"/>
        <v>j.Tuberculosis</v>
      </c>
      <c r="H336" s="206" t="str">
        <f t="shared" si="58"/>
        <v>(2.11) For each service, j.Tuberculosis is a priority or not a priority for this fiscal year.</v>
      </c>
      <c r="I336" s="213" t="str">
        <f t="shared" si="55"/>
        <v>select_one prio</v>
      </c>
      <c r="J336" s="106" t="s">
        <v>4457</v>
      </c>
      <c r="K336" s="116" t="s">
        <v>2443</v>
      </c>
      <c r="L336" s="118" t="str">
        <f t="shared" si="59"/>
        <v>Sorry, question (2.11) j is required!</v>
      </c>
    </row>
    <row r="337" spans="1:24" ht="14.25" customHeight="1">
      <c r="A337" t="s">
        <v>2576</v>
      </c>
      <c r="B337" t="s">
        <v>2570</v>
      </c>
      <c r="C337" t="str">
        <f t="shared" si="56"/>
        <v>k.</v>
      </c>
      <c r="D337" t="s">
        <v>760</v>
      </c>
      <c r="E337" s="118" t="str">
        <f t="shared" si="57"/>
        <v>k.HIV/AIDS</v>
      </c>
      <c r="H337" s="206" t="str">
        <f t="shared" si="58"/>
        <v>(2.11) For each service, k.HIV/AIDS is a priority or not a priority for this fiscal year.</v>
      </c>
      <c r="I337" s="213" t="str">
        <f t="shared" si="55"/>
        <v>select_one prio</v>
      </c>
      <c r="J337" s="106" t="s">
        <v>4457</v>
      </c>
      <c r="K337" s="116" t="s">
        <v>2443</v>
      </c>
      <c r="L337" s="118" t="str">
        <f t="shared" si="59"/>
        <v>Sorry, question (2.11) k is required!</v>
      </c>
    </row>
    <row r="338" spans="1:24" ht="14.25" customHeight="1">
      <c r="A338" t="s">
        <v>2576</v>
      </c>
      <c r="B338" t="s">
        <v>2571</v>
      </c>
      <c r="C338" t="str">
        <f t="shared" si="56"/>
        <v>l.</v>
      </c>
      <c r="D338" t="s">
        <v>762</v>
      </c>
      <c r="E338" s="118" t="str">
        <f t="shared" si="57"/>
        <v>l.Health promotion and monitoring</v>
      </c>
      <c r="H338" s="206" t="str">
        <f t="shared" si="58"/>
        <v>(2.11) For each service, l.Health promotion and monitoring is a priority or not a priority for this fiscal year.</v>
      </c>
      <c r="I338" s="213" t="str">
        <f t="shared" si="55"/>
        <v>select_one prio</v>
      </c>
      <c r="J338" s="106" t="s">
        <v>4457</v>
      </c>
      <c r="K338" s="116" t="s">
        <v>2443</v>
      </c>
      <c r="L338" s="118" t="str">
        <f t="shared" si="59"/>
        <v>Sorry, question (2.11) l is required!</v>
      </c>
    </row>
    <row r="339" spans="1:24" ht="14.25" customHeight="1">
      <c r="A339" t="s">
        <v>2576</v>
      </c>
      <c r="B339" t="s">
        <v>2572</v>
      </c>
      <c r="C339" t="str">
        <f t="shared" si="56"/>
        <v>m.</v>
      </c>
      <c r="D339" t="s">
        <v>35</v>
      </c>
      <c r="E339" s="118" t="str">
        <f t="shared" si="57"/>
        <v>m.Other, specify:</v>
      </c>
      <c r="H339" s="206" t="str">
        <f t="shared" si="58"/>
        <v>(2.11) For each service, m.Other, specify: is a priority or not a priority for this fiscal year.</v>
      </c>
      <c r="I339" s="213" t="str">
        <f t="shared" si="55"/>
        <v>select_one prio</v>
      </c>
      <c r="J339" s="106" t="s">
        <v>4457</v>
      </c>
      <c r="K339" s="116" t="s">
        <v>2443</v>
      </c>
      <c r="L339" s="118" t="str">
        <f t="shared" si="59"/>
        <v>Sorry, question (2.11) m is required!</v>
      </c>
    </row>
    <row r="340" spans="1:24" ht="14.25" customHeight="1">
      <c r="A340" t="s">
        <v>161</v>
      </c>
      <c r="B340" t="s">
        <v>2895</v>
      </c>
      <c r="E340" s="132" t="s">
        <v>6751</v>
      </c>
      <c r="F340" s="118" t="s">
        <v>35</v>
      </c>
      <c r="H340" s="206" t="str">
        <f t="shared" si="58"/>
        <v>(2.11) For each service, m.Other, specify: is a priority or not a priority for this fiscal year.</v>
      </c>
      <c r="I340" s="213" t="str">
        <f t="shared" si="55"/>
        <v>text</v>
      </c>
      <c r="J340" s="106" t="s">
        <v>2773</v>
      </c>
      <c r="K340" s="116" t="s">
        <v>2443</v>
      </c>
      <c r="L340" s="118" t="str">
        <f>IF(K340="yes",("Sorry, question (2.11) "&amp;LEFT(E340, 7)&amp;" is required!"),"")</f>
        <v>Sorry, question (2.11) m.Other is required!</v>
      </c>
      <c r="O340" s="110" t="s">
        <v>4623</v>
      </c>
    </row>
    <row r="341" spans="1:24" ht="14.25" customHeight="1">
      <c r="A341" t="s">
        <v>15</v>
      </c>
      <c r="L341" s="118" t="str">
        <f t="shared" ref="L341:L342" si="60">IF(K341="yes",("Sorry, question (2.09) "&amp;LEFT(E341, 1)&amp;" is required!"),"")</f>
        <v/>
      </c>
      <c r="X341" t="s">
        <v>3033</v>
      </c>
    </row>
    <row r="342" spans="1:24" ht="14.25" customHeight="1">
      <c r="L342" s="118" t="str">
        <f t="shared" si="60"/>
        <v/>
      </c>
      <c r="X342" t="s">
        <v>3032</v>
      </c>
    </row>
    <row r="343" spans="1:24" ht="14.25" customHeight="1">
      <c r="A343" t="s">
        <v>12</v>
      </c>
      <c r="B343" s="1" t="s">
        <v>4624</v>
      </c>
      <c r="J343" s="106" t="s">
        <v>13</v>
      </c>
      <c r="L343" s="118" t="str">
        <f t="shared" ref="L343:L387" si="61">IF(K343="yes",("Sorry, question "&amp;LEFT(E343, 6)&amp;" is required!"),"")</f>
        <v/>
      </c>
      <c r="X343" t="s">
        <v>3032</v>
      </c>
    </row>
    <row r="344" spans="1:24" ht="14.25" customHeight="1">
      <c r="A344" t="s">
        <v>162</v>
      </c>
      <c r="B344" t="s">
        <v>163</v>
      </c>
      <c r="E344" s="118" t="s">
        <v>5326</v>
      </c>
      <c r="H344" s="206" t="str">
        <f>E344</f>
        <v>(2.12) How many health facility staff meetings were held &lt;u&gt;in the last 3 months&lt;/u&gt;?</v>
      </c>
      <c r="I344" s="213" t="str">
        <f t="shared" si="55"/>
        <v>integer</v>
      </c>
      <c r="K344" s="116" t="s">
        <v>2443</v>
      </c>
      <c r="L344" s="118" t="str">
        <f t="shared" si="61"/>
        <v>Sorry, question (2.12) is required!</v>
      </c>
      <c r="M344" s="113" t="s">
        <v>3595</v>
      </c>
      <c r="N344" t="s">
        <v>3705</v>
      </c>
    </row>
    <row r="345" spans="1:24" ht="14.25" customHeight="1">
      <c r="A345" t="s">
        <v>2896</v>
      </c>
      <c r="B345" t="s">
        <v>164</v>
      </c>
      <c r="E345" s="118" t="s">
        <v>165</v>
      </c>
      <c r="H345" s="206" t="str">
        <f t="shared" ref="H345:H348" si="62">E345</f>
        <v>(2.13) Do all facility staff have written job descriptions?</v>
      </c>
      <c r="I345" s="213" t="str">
        <f t="shared" si="55"/>
        <v>select_one staff1</v>
      </c>
      <c r="K345" s="116" t="s">
        <v>2443</v>
      </c>
      <c r="L345" s="118" t="str">
        <f t="shared" si="61"/>
        <v>Sorry, question (2.13) is required!</v>
      </c>
    </row>
    <row r="346" spans="1:24" ht="14.25" customHeight="1">
      <c r="A346" t="s">
        <v>17</v>
      </c>
      <c r="B346" s="1" t="s">
        <v>4625</v>
      </c>
      <c r="E346" s="118" t="s">
        <v>4235</v>
      </c>
      <c r="H346" s="206" t="str">
        <f t="shared" si="62"/>
        <v xml:space="preserve">&lt;b&gt;&lt;font&gt;FOR QUESTIONS 2.14-2.19, VERIFY THE NUMBER OF VISITS IN THE VISITORS' BOOK.&lt;/font&gt;&lt;b&gt;
</v>
      </c>
      <c r="I346" s="213" t="str">
        <f t="shared" si="55"/>
        <v>note</v>
      </c>
      <c r="L346" s="118" t="str">
        <f t="shared" si="61"/>
        <v/>
      </c>
    </row>
    <row r="347" spans="1:24" ht="14.25" customHeight="1">
      <c r="A347" t="s">
        <v>166</v>
      </c>
      <c r="B347" t="s">
        <v>167</v>
      </c>
      <c r="E347" s="118" t="s">
        <v>5327</v>
      </c>
      <c r="F347" s="118" t="s">
        <v>2475</v>
      </c>
      <c r="H347" s="206" t="str">
        <f t="shared" si="62"/>
        <v>(2.14) &lt;u&gt;In the last 3 months&lt;/u&gt;, how many visits were made to the health facility by the Regional Health Directorate (RHD) for supervision or technical support?</v>
      </c>
      <c r="I347" s="213" t="str">
        <f t="shared" si="55"/>
        <v>integer</v>
      </c>
      <c r="J347" s="106" t="s">
        <v>3379</v>
      </c>
      <c r="K347" s="116" t="s">
        <v>2443</v>
      </c>
      <c r="L347" s="118" t="str">
        <f t="shared" si="61"/>
        <v>Sorry, question (2.14) is required!</v>
      </c>
      <c r="M347" s="113" t="s">
        <v>3595</v>
      </c>
      <c r="N347" t="s">
        <v>3706</v>
      </c>
    </row>
    <row r="348" spans="1:24" ht="14.25" customHeight="1">
      <c r="A348" t="s">
        <v>168</v>
      </c>
      <c r="B348" t="s">
        <v>169</v>
      </c>
      <c r="E348" s="118" t="s">
        <v>5328</v>
      </c>
      <c r="F348" s="118" t="s">
        <v>2474</v>
      </c>
      <c r="H348" s="206" t="str">
        <f t="shared" si="62"/>
        <v xml:space="preserve">(2.15) &lt;u&gt;In the last 3 months&lt;/u&gt;, how many visits were made by a central monitoring team (MOHSW) for supervision or technical assistance? </v>
      </c>
      <c r="I348" s="213" t="str">
        <f t="shared" si="55"/>
        <v>integer</v>
      </c>
      <c r="J348" s="106" t="s">
        <v>3379</v>
      </c>
      <c r="K348" s="116" t="s">
        <v>2443</v>
      </c>
      <c r="L348" s="118" t="str">
        <f t="shared" si="61"/>
        <v>Sorry, question (2.15) is required!</v>
      </c>
      <c r="M348" s="113" t="s">
        <v>3595</v>
      </c>
      <c r="N348" t="s">
        <v>3707</v>
      </c>
    </row>
    <row r="349" spans="1:24" ht="14.25" customHeight="1">
      <c r="A349" t="s">
        <v>170</v>
      </c>
      <c r="L349" s="118" t="str">
        <f t="shared" si="61"/>
        <v/>
      </c>
      <c r="X349" t="s">
        <v>3032</v>
      </c>
    </row>
    <row r="350" spans="1:24" ht="14.25" customHeight="1">
      <c r="A350" t="s">
        <v>173</v>
      </c>
      <c r="B350" s="1" t="s">
        <v>4626</v>
      </c>
      <c r="J350" s="106" t="s">
        <v>13</v>
      </c>
      <c r="L350" s="118" t="str">
        <f t="shared" si="61"/>
        <v/>
      </c>
      <c r="X350" t="s">
        <v>3032</v>
      </c>
    </row>
    <row r="351" spans="1:24" ht="14.25" customHeight="1">
      <c r="A351" t="s">
        <v>171</v>
      </c>
      <c r="B351" t="s">
        <v>172</v>
      </c>
      <c r="E351" s="118" t="s">
        <v>5329</v>
      </c>
      <c r="F351" s="118" t="s">
        <v>2475</v>
      </c>
      <c r="H351" s="206" t="str">
        <f>E351</f>
        <v xml:space="preserve">(2.17) &lt;u&gt;In the last 3 months&lt;/u&gt;, how many visits were made by the local government for supervision or technical support? </v>
      </c>
      <c r="I351" s="213" t="str">
        <f t="shared" si="55"/>
        <v>integer</v>
      </c>
      <c r="J351" s="106" t="s">
        <v>3379</v>
      </c>
      <c r="K351" s="116" t="s">
        <v>2443</v>
      </c>
      <c r="L351" s="118" t="str">
        <f t="shared" si="61"/>
        <v>Sorry, question (2.17) is required!</v>
      </c>
      <c r="M351" s="113" t="s">
        <v>3595</v>
      </c>
      <c r="N351" t="s">
        <v>3708</v>
      </c>
    </row>
    <row r="352" spans="1:24" ht="14.25" customHeight="1">
      <c r="A352" t="s">
        <v>174</v>
      </c>
      <c r="B352" t="s">
        <v>175</v>
      </c>
      <c r="E352" s="118" t="s">
        <v>5330</v>
      </c>
      <c r="F352" s="118" t="s">
        <v>2474</v>
      </c>
      <c r="H352" s="206" t="str">
        <f t="shared" ref="H352:H354" si="63">E352</f>
        <v>(2.18) &lt;u&gt;In the last 3 months&lt;/u&gt;, how many visits were made by a donor for supervision or technical support?</v>
      </c>
      <c r="I352" s="213" t="str">
        <f t="shared" si="55"/>
        <v>integer</v>
      </c>
      <c r="J352" s="106" t="s">
        <v>3379</v>
      </c>
      <c r="K352" s="116" t="s">
        <v>2443</v>
      </c>
      <c r="L352" s="118" t="str">
        <f t="shared" si="61"/>
        <v>Sorry, question (2.18) is required!</v>
      </c>
      <c r="M352" s="113" t="s">
        <v>3595</v>
      </c>
      <c r="N352" t="s">
        <v>3709</v>
      </c>
    </row>
    <row r="353" spans="1:24" ht="14.25" customHeight="1">
      <c r="A353" s="1" t="s">
        <v>2806</v>
      </c>
      <c r="B353" s="1" t="s">
        <v>4627</v>
      </c>
      <c r="E353" s="132" t="s">
        <v>4628</v>
      </c>
      <c r="H353" s="206" t="str">
        <f t="shared" si="63"/>
        <v>(2.19_1NN) Was there any feedback available in the visitor's book from any of the visits just counted?</v>
      </c>
      <c r="I353" s="213" t="str">
        <f t="shared" si="55"/>
        <v>select_one feedb</v>
      </c>
      <c r="K353" s="116" t="s">
        <v>2443</v>
      </c>
      <c r="L353" s="118" t="str">
        <f>IF(K353="yes",("Sorry, question "&amp;LEFT(E353, 9)&amp;" is required!"),"")</f>
        <v>Sorry, question (2.19_1NN is required!</v>
      </c>
    </row>
    <row r="354" spans="1:24" ht="14.25" customHeight="1">
      <c r="A354" t="s">
        <v>176</v>
      </c>
      <c r="B354" t="s">
        <v>177</v>
      </c>
      <c r="E354" s="118" t="s">
        <v>5331</v>
      </c>
      <c r="F354" s="118" t="s">
        <v>2475</v>
      </c>
      <c r="H354" s="206" t="str">
        <f t="shared" si="63"/>
        <v xml:space="preserve">(2.19) &lt;u&gt;In the last 3 months&lt;/u&gt;, how many visits were made by this health facility to Community Health Workers for supervision or technical support? </v>
      </c>
      <c r="I354" s="213" t="str">
        <f t="shared" si="55"/>
        <v>integer</v>
      </c>
      <c r="J354" s="106" t="s">
        <v>3379</v>
      </c>
      <c r="K354" s="116" t="s">
        <v>2443</v>
      </c>
      <c r="L354" s="118" t="str">
        <f t="shared" si="61"/>
        <v>Sorry, question (2.19) is required!</v>
      </c>
      <c r="M354" s="113" t="s">
        <v>3596</v>
      </c>
      <c r="N354" t="s">
        <v>3710</v>
      </c>
    </row>
    <row r="355" spans="1:24" ht="14.25" customHeight="1">
      <c r="A355" t="s">
        <v>178</v>
      </c>
      <c r="L355" s="118" t="str">
        <f t="shared" si="61"/>
        <v/>
      </c>
      <c r="X355" t="s">
        <v>3032</v>
      </c>
    </row>
    <row r="356" spans="1:24" ht="14.25" customHeight="1">
      <c r="A356" t="s">
        <v>12</v>
      </c>
      <c r="B356" s="1" t="s">
        <v>4629</v>
      </c>
      <c r="J356" s="106" t="s">
        <v>13</v>
      </c>
      <c r="L356" s="118" t="str">
        <f t="shared" si="61"/>
        <v/>
      </c>
      <c r="X356" t="s">
        <v>3032</v>
      </c>
    </row>
    <row r="357" spans="1:24" ht="14.25" customHeight="1">
      <c r="A357" t="s">
        <v>179</v>
      </c>
      <c r="B357" s="1" t="s">
        <v>4630</v>
      </c>
      <c r="E357" s="118" t="s">
        <v>4236</v>
      </c>
      <c r="H357" s="206" t="str">
        <f>E357</f>
        <v xml:space="preserve">&lt;b&gt;&lt;font&gt;NOTE, RECALL PERIOD IS NOW 12 MONTHS&lt;/font&gt;&lt;b&gt;
</v>
      </c>
      <c r="I357" s="213" t="str">
        <f t="shared" si="55"/>
        <v>note</v>
      </c>
      <c r="L357" s="118" t="str">
        <f t="shared" si="61"/>
        <v/>
      </c>
    </row>
    <row r="358" spans="1:24" ht="14.25" customHeight="1">
      <c r="A358" t="s">
        <v>180</v>
      </c>
      <c r="B358" t="s">
        <v>181</v>
      </c>
      <c r="E358" s="118" t="s">
        <v>6713</v>
      </c>
      <c r="H358" s="206" t="str">
        <f t="shared" ref="H358:H377" si="64">E358</f>
        <v>(2.20) &lt;u&gt;In the last 12 months&lt;/u&gt;, how many times was the performance of &lt;u&gt;staff&lt;/u&gt; assessed &lt;u&gt;internally&lt;/u&gt;, that is, by persons within the facility?</v>
      </c>
      <c r="I358" s="213" t="str">
        <f t="shared" si="55"/>
        <v>integer</v>
      </c>
      <c r="K358" s="116" t="s">
        <v>2443</v>
      </c>
      <c r="L358" s="118" t="str">
        <f t="shared" si="61"/>
        <v>Sorry, question (2.20) is required!</v>
      </c>
      <c r="M358" s="113" t="s">
        <v>3596</v>
      </c>
      <c r="N358" t="s">
        <v>3711</v>
      </c>
    </row>
    <row r="359" spans="1:24" ht="14.25" customHeight="1">
      <c r="A359" t="s">
        <v>15</v>
      </c>
      <c r="L359" s="118" t="str">
        <f t="shared" si="61"/>
        <v/>
      </c>
      <c r="X359" t="s">
        <v>3032</v>
      </c>
    </row>
    <row r="360" spans="1:24" ht="14.25" customHeight="1">
      <c r="A360" t="s">
        <v>12</v>
      </c>
      <c r="B360" s="1" t="s">
        <v>4631</v>
      </c>
      <c r="J360" s="106" t="s">
        <v>13</v>
      </c>
      <c r="L360" s="118" t="str">
        <f t="shared" si="61"/>
        <v/>
      </c>
      <c r="X360" t="s">
        <v>3032</v>
      </c>
    </row>
    <row r="361" spans="1:24" ht="14.25" customHeight="1">
      <c r="A361" t="s">
        <v>182</v>
      </c>
      <c r="B361" s="107" t="s">
        <v>183</v>
      </c>
      <c r="E361" s="118" t="s">
        <v>184</v>
      </c>
      <c r="H361" s="206" t="str">
        <f t="shared" si="64"/>
        <v>(2.21) Is the result of this internal staff performance assessment linked to staff salary or incentive payment?</v>
      </c>
      <c r="I361" s="213" t="str">
        <f t="shared" si="55"/>
        <v>select_one yesno</v>
      </c>
      <c r="J361" s="106" t="s">
        <v>4457</v>
      </c>
      <c r="K361" s="116" t="s">
        <v>2443</v>
      </c>
      <c r="L361" s="118" t="str">
        <f t="shared" si="61"/>
        <v>Sorry, question (2.21) is required!</v>
      </c>
      <c r="O361" s="110" t="s">
        <v>185</v>
      </c>
    </row>
    <row r="362" spans="1:24" ht="14.25" customHeight="1">
      <c r="A362" t="s">
        <v>186</v>
      </c>
      <c r="B362" t="s">
        <v>187</v>
      </c>
      <c r="E362" s="132" t="s">
        <v>6671</v>
      </c>
      <c r="H362" s="206" t="str">
        <f t="shared" si="64"/>
        <v>(2.22) &lt;u&gt;In the last 12 months&lt;/u&gt;, how many times was the performance of &lt;u&gt;staff&lt;/u&gt; assessed &lt;u&gt;externally&lt;/u&gt;, that is, by persons from outside the facility, e.g. the District (or Regional) Health Management Team?</v>
      </c>
      <c r="I362" s="213" t="str">
        <f t="shared" si="55"/>
        <v>integer</v>
      </c>
      <c r="K362" s="116" t="s">
        <v>2443</v>
      </c>
      <c r="L362" s="118" t="str">
        <f t="shared" si="61"/>
        <v>Sorry, question (2.22) is required!</v>
      </c>
      <c r="M362" s="113" t="s">
        <v>3596</v>
      </c>
      <c r="N362" t="s">
        <v>3712</v>
      </c>
    </row>
    <row r="363" spans="1:24" ht="14.25" customHeight="1">
      <c r="A363" t="s">
        <v>15</v>
      </c>
      <c r="L363" s="118" t="str">
        <f t="shared" si="61"/>
        <v/>
      </c>
      <c r="X363" t="s">
        <v>3032</v>
      </c>
    </row>
    <row r="364" spans="1:24" ht="14.25" customHeight="1">
      <c r="A364" t="s">
        <v>12</v>
      </c>
      <c r="B364" s="1" t="s">
        <v>4632</v>
      </c>
      <c r="J364" s="106" t="s">
        <v>13</v>
      </c>
      <c r="L364" s="118" t="str">
        <f t="shared" si="61"/>
        <v/>
      </c>
      <c r="X364" t="s">
        <v>3032</v>
      </c>
    </row>
    <row r="365" spans="1:24" ht="14.25" customHeight="1">
      <c r="A365" t="s">
        <v>188</v>
      </c>
      <c r="B365" s="107" t="s">
        <v>189</v>
      </c>
      <c r="E365" s="118" t="s">
        <v>190</v>
      </c>
      <c r="H365" s="206" t="str">
        <f t="shared" si="64"/>
        <v>(2.23) Is the result of the staff performance assessment linked to staff salary or incentive payment?</v>
      </c>
      <c r="I365" s="213" t="str">
        <f t="shared" si="55"/>
        <v>select_one yesno</v>
      </c>
      <c r="J365" s="106" t="s">
        <v>4457</v>
      </c>
      <c r="K365" s="116" t="s">
        <v>2443</v>
      </c>
      <c r="L365" s="118" t="str">
        <f t="shared" si="61"/>
        <v>Sorry, question (2.23) is required!</v>
      </c>
      <c r="O365" s="110" t="s">
        <v>191</v>
      </c>
    </row>
    <row r="366" spans="1:24" ht="14.25" customHeight="1">
      <c r="A366" t="s">
        <v>192</v>
      </c>
      <c r="B366" t="s">
        <v>193</v>
      </c>
      <c r="E366" s="118" t="s">
        <v>6672</v>
      </c>
      <c r="H366" s="206" t="str">
        <f t="shared" si="64"/>
        <v>(2.24) &lt;u&gt;In the last 12 months&lt;/u&gt;, how many times was the performance of the &lt;u&gt;facility&lt;/u&gt; as a whole assessed externally, that is, by persons from outside the facility?</v>
      </c>
      <c r="I366" s="213" t="str">
        <f t="shared" si="55"/>
        <v>integer</v>
      </c>
      <c r="K366" s="116" t="s">
        <v>2443</v>
      </c>
      <c r="L366" s="118" t="str">
        <f t="shared" si="61"/>
        <v>Sorry, question (2.24) is required!</v>
      </c>
      <c r="M366" s="113" t="s">
        <v>3596</v>
      </c>
      <c r="N366" t="s">
        <v>3713</v>
      </c>
    </row>
    <row r="367" spans="1:24" ht="14.25" customHeight="1">
      <c r="A367" t="s">
        <v>15</v>
      </c>
      <c r="L367" s="118" t="str">
        <f t="shared" si="61"/>
        <v/>
      </c>
      <c r="X367" t="s">
        <v>3032</v>
      </c>
    </row>
    <row r="368" spans="1:24" ht="14.25" customHeight="1">
      <c r="A368" t="s">
        <v>200</v>
      </c>
      <c r="B368" s="1" t="s">
        <v>4633</v>
      </c>
      <c r="J368" s="106" t="s">
        <v>201</v>
      </c>
      <c r="L368" s="118" t="str">
        <f t="shared" si="61"/>
        <v/>
      </c>
      <c r="X368" t="s">
        <v>3032</v>
      </c>
    </row>
    <row r="369" spans="1:24" ht="14.25" customHeight="1">
      <c r="A369" t="s">
        <v>194</v>
      </c>
      <c r="B369" t="s">
        <v>195</v>
      </c>
      <c r="E369" s="118" t="s">
        <v>196</v>
      </c>
      <c r="H369" s="206" t="str">
        <f t="shared" si="64"/>
        <v>(2.25) Is the result of the external performance assessment of the facility linked to facility financing?</v>
      </c>
      <c r="I369" s="213" t="str">
        <f t="shared" si="55"/>
        <v>select_one yesno</v>
      </c>
      <c r="J369" s="106" t="s">
        <v>4457</v>
      </c>
      <c r="K369" s="116" t="s">
        <v>2443</v>
      </c>
      <c r="L369" s="118" t="str">
        <f t="shared" si="61"/>
        <v>Sorry, question (2.25) is required!</v>
      </c>
      <c r="O369" s="110" t="s">
        <v>197</v>
      </c>
    </row>
    <row r="370" spans="1:24" ht="14.25" customHeight="1">
      <c r="B370" s="107"/>
    </row>
    <row r="371" spans="1:24" ht="14.25" customHeight="1">
      <c r="A371" s="1" t="s">
        <v>4634</v>
      </c>
      <c r="B371" s="107" t="s">
        <v>198</v>
      </c>
      <c r="E371" s="118" t="s">
        <v>199</v>
      </c>
      <c r="H371" s="206" t="str">
        <f t="shared" si="64"/>
        <v>(2.26) Does the facility obtain information on patient opinion through client surveys, a complaint/suggestion box or another method?</v>
      </c>
      <c r="I371" s="213" t="str">
        <f t="shared" si="55"/>
        <v>select_one infor_patient</v>
      </c>
      <c r="K371" s="116" t="s">
        <v>2443</v>
      </c>
      <c r="L371" s="118" t="str">
        <f t="shared" si="61"/>
        <v>Sorry, question (2.26) is required!</v>
      </c>
    </row>
    <row r="372" spans="1:24" ht="14.25" customHeight="1">
      <c r="A372" t="s">
        <v>202</v>
      </c>
      <c r="B372" s="107" t="s">
        <v>203</v>
      </c>
      <c r="E372" s="118" t="s">
        <v>204</v>
      </c>
      <c r="H372" s="206" t="str">
        <f t="shared" si="64"/>
        <v>(2.27) Is there a formal mechanism to inform the staff about patient opinion ?</v>
      </c>
      <c r="I372" s="213" t="str">
        <f t="shared" si="55"/>
        <v>select_one yesno</v>
      </c>
      <c r="J372" s="106" t="s">
        <v>4457</v>
      </c>
      <c r="K372" s="116" t="s">
        <v>2443</v>
      </c>
      <c r="L372" s="118" t="str">
        <f t="shared" si="61"/>
        <v>Sorry, question (2.27) is required!</v>
      </c>
      <c r="O372" s="110" t="s">
        <v>5332</v>
      </c>
    </row>
    <row r="373" spans="1:24" ht="14.25" customHeight="1">
      <c r="A373" t="s">
        <v>205</v>
      </c>
      <c r="B373" s="107" t="s">
        <v>206</v>
      </c>
      <c r="E373" s="132" t="s">
        <v>4639</v>
      </c>
      <c r="H373" s="206" t="str">
        <f t="shared" si="64"/>
        <v>(2.28) &lt;u&gt;In the last 12 months&lt;/u&gt;, have any changes occurred as a result of patient opinion?</v>
      </c>
      <c r="I373" s="213" t="str">
        <f t="shared" si="55"/>
        <v>select_one yesno</v>
      </c>
      <c r="J373" s="106" t="s">
        <v>4457</v>
      </c>
      <c r="K373" s="116" t="s">
        <v>2443</v>
      </c>
      <c r="L373" s="118" t="str">
        <f t="shared" si="61"/>
        <v>Sorry, question (2.28) is required!</v>
      </c>
      <c r="O373" s="110" t="s">
        <v>5332</v>
      </c>
    </row>
    <row r="374" spans="1:24" ht="14.25" customHeight="1">
      <c r="A374" t="s">
        <v>23</v>
      </c>
      <c r="B374" s="107" t="s">
        <v>2310</v>
      </c>
      <c r="E374" s="132" t="s">
        <v>4640</v>
      </c>
      <c r="H374" s="206" t="str">
        <f t="shared" si="64"/>
        <v>(2.29) &lt;u&gt;In the last 12 months&lt;/u&gt;, has there been a formal review of HMIS data?</v>
      </c>
      <c r="I374" s="213" t="str">
        <f t="shared" si="55"/>
        <v>select_one yesno</v>
      </c>
      <c r="J374" s="106" t="s">
        <v>4457</v>
      </c>
      <c r="K374" s="116" t="s">
        <v>2443</v>
      </c>
      <c r="L374" s="118" t="str">
        <f t="shared" si="61"/>
        <v>Sorry, question (2.29) is required!</v>
      </c>
    </row>
    <row r="375" spans="1:24" ht="14.25" customHeight="1">
      <c r="A375" t="s">
        <v>23</v>
      </c>
      <c r="B375" s="107" t="s">
        <v>2311</v>
      </c>
      <c r="E375" s="132" t="s">
        <v>4641</v>
      </c>
      <c r="H375" s="206" t="str">
        <f t="shared" si="64"/>
        <v>(2.31) &lt;u&gt;In the last 12 months&lt;/u&gt;, has HMIS data been analyzed within this facility?</v>
      </c>
      <c r="I375" s="213" t="str">
        <f t="shared" si="55"/>
        <v>select_one yesno</v>
      </c>
      <c r="J375" s="106" t="s">
        <v>4457</v>
      </c>
      <c r="K375" s="116" t="s">
        <v>2443</v>
      </c>
      <c r="L375" s="118" t="str">
        <f t="shared" si="61"/>
        <v>Sorry, question (2.31) is required!</v>
      </c>
    </row>
    <row r="376" spans="1:24" ht="14.25" customHeight="1">
      <c r="A376" t="s">
        <v>2897</v>
      </c>
      <c r="B376" s="107" t="s">
        <v>4127</v>
      </c>
      <c r="E376" s="118" t="s">
        <v>2483</v>
      </c>
      <c r="H376" s="206" t="str">
        <f t="shared" si="64"/>
        <v>(2.32) What has the data been used for?</v>
      </c>
      <c r="I376" s="213" t="str">
        <f t="shared" si="55"/>
        <v>select_one data</v>
      </c>
      <c r="J376" s="106" t="s">
        <v>4457</v>
      </c>
      <c r="K376" s="116" t="s">
        <v>2443</v>
      </c>
      <c r="L376" s="118" t="str">
        <f t="shared" si="61"/>
        <v>Sorry, question (2.32) is required!</v>
      </c>
      <c r="O376" s="110" t="s">
        <v>4279</v>
      </c>
    </row>
    <row r="377" spans="1:24" ht="14.25" customHeight="1">
      <c r="A377" t="s">
        <v>1288</v>
      </c>
      <c r="B377" t="s">
        <v>2898</v>
      </c>
      <c r="E377" s="132" t="s">
        <v>6752</v>
      </c>
      <c r="F377" s="118" t="s">
        <v>2589</v>
      </c>
      <c r="H377" s="206" t="str">
        <f t="shared" si="64"/>
        <v>(2.23) OTHER, SPECIFY:</v>
      </c>
      <c r="I377" s="213" t="str">
        <f t="shared" si="55"/>
        <v>text</v>
      </c>
      <c r="J377" s="106" t="s">
        <v>2773</v>
      </c>
      <c r="K377" s="116" t="s">
        <v>2443</v>
      </c>
      <c r="L377" s="118" t="str">
        <f t="shared" si="61"/>
        <v>Sorry, question (2.23) is required!</v>
      </c>
      <c r="O377" s="110" t="s">
        <v>2746</v>
      </c>
    </row>
    <row r="378" spans="1:24" ht="14.25" customHeight="1">
      <c r="A378" t="s">
        <v>15</v>
      </c>
      <c r="L378" s="118" t="str">
        <f t="shared" si="61"/>
        <v/>
      </c>
      <c r="X378" t="s">
        <v>3032</v>
      </c>
    </row>
    <row r="379" spans="1:24" ht="14.25" customHeight="1">
      <c r="A379" t="s">
        <v>2434</v>
      </c>
      <c r="L379" s="118" t="str">
        <f t="shared" si="61"/>
        <v/>
      </c>
      <c r="X379" t="s">
        <v>2778</v>
      </c>
    </row>
    <row r="380" spans="1:24" ht="14.25" customHeight="1">
      <c r="L380" s="118" t="str">
        <f t="shared" si="61"/>
        <v/>
      </c>
    </row>
    <row r="381" spans="1:24" ht="14.25" customHeight="1">
      <c r="A381" t="s">
        <v>207</v>
      </c>
      <c r="B381" t="s">
        <v>2104</v>
      </c>
      <c r="E381" s="118" t="s">
        <v>2787</v>
      </c>
      <c r="J381" s="106" t="s">
        <v>2778</v>
      </c>
      <c r="L381" s="118" t="str">
        <f t="shared" si="61"/>
        <v/>
      </c>
      <c r="O381" s="110" t="s">
        <v>3582</v>
      </c>
      <c r="X381" t="s">
        <v>2778</v>
      </c>
    </row>
    <row r="382" spans="1:24" ht="14.25" customHeight="1">
      <c r="A382" t="s">
        <v>208</v>
      </c>
      <c r="B382" s="1" t="s">
        <v>4642</v>
      </c>
      <c r="J382" s="106" t="s">
        <v>3526</v>
      </c>
      <c r="L382" s="118" t="str">
        <f t="shared" si="61"/>
        <v/>
      </c>
      <c r="X382" t="s">
        <v>3032</v>
      </c>
    </row>
    <row r="383" spans="1:24" ht="14.25" customHeight="1">
      <c r="A383" t="s">
        <v>209</v>
      </c>
      <c r="B383" s="1" t="s">
        <v>4643</v>
      </c>
      <c r="E383" s="130" t="s">
        <v>4137</v>
      </c>
      <c r="I383" s="213" t="str">
        <f t="shared" si="55"/>
        <v>note</v>
      </c>
      <c r="J383" s="106" t="s">
        <v>3528</v>
      </c>
      <c r="L383" s="118" t="str">
        <f t="shared" si="61"/>
        <v/>
      </c>
    </row>
    <row r="384" spans="1:24" ht="14.25" customHeight="1">
      <c r="A384" t="s">
        <v>210</v>
      </c>
      <c r="B384" s="1" t="s">
        <v>4644</v>
      </c>
      <c r="E384" s="130" t="s">
        <v>4138</v>
      </c>
      <c r="I384" s="213" t="str">
        <f t="shared" ref="I384:I447" si="65">A384</f>
        <v>note</v>
      </c>
      <c r="J384" s="106" t="s">
        <v>3529</v>
      </c>
      <c r="L384" s="118" t="str">
        <f t="shared" si="61"/>
        <v/>
      </c>
    </row>
    <row r="385" spans="1:24" ht="13.5" customHeight="1">
      <c r="A385" t="s">
        <v>2166</v>
      </c>
      <c r="L385" s="118" t="str">
        <f t="shared" si="61"/>
        <v/>
      </c>
      <c r="X385" t="s">
        <v>3032</v>
      </c>
    </row>
    <row r="386" spans="1:24" ht="15">
      <c r="A386" t="s">
        <v>2164</v>
      </c>
      <c r="B386" s="1" t="s">
        <v>4645</v>
      </c>
      <c r="J386" s="106" t="s">
        <v>13</v>
      </c>
      <c r="L386" s="118" t="str">
        <f t="shared" si="61"/>
        <v/>
      </c>
      <c r="X386" t="s">
        <v>3032</v>
      </c>
    </row>
    <row r="387" spans="1:24" ht="15">
      <c r="A387" t="s">
        <v>17</v>
      </c>
      <c r="B387" s="1" t="s">
        <v>4652</v>
      </c>
      <c r="E387" s="130" t="s">
        <v>5333</v>
      </c>
      <c r="F387" s="130"/>
      <c r="I387" s="213" t="str">
        <f t="shared" si="65"/>
        <v>note</v>
      </c>
      <c r="L387" s="118" t="str">
        <f t="shared" si="61"/>
        <v/>
      </c>
    </row>
    <row r="388" spans="1:24" ht="13.5" customHeight="1">
      <c r="A388" t="s">
        <v>2165</v>
      </c>
      <c r="B388" t="s">
        <v>3602</v>
      </c>
      <c r="E388" s="132" t="s">
        <v>4646</v>
      </c>
      <c r="H388" s="206" t="str">
        <f>E388</f>
        <v>(3.01a) How many authorized positions are there in the facility for &lt;b&gt;[Doctors or medical officers]&lt;/b&gt;?</v>
      </c>
      <c r="I388" s="213" t="str">
        <f t="shared" si="65"/>
        <v>integer</v>
      </c>
      <c r="K388" s="116" t="s">
        <v>2443</v>
      </c>
      <c r="L388" s="118" t="str">
        <f>IF(K388="yes",("Sorry, question "&amp;LEFT(E388, 7)&amp;" is required!"),"")</f>
        <v>Sorry, question (3.01a) is required!</v>
      </c>
      <c r="M388" s="113" t="s">
        <v>3591</v>
      </c>
      <c r="N388" t="s">
        <v>3714</v>
      </c>
    </row>
    <row r="389" spans="1:24" ht="13.5" customHeight="1">
      <c r="A389" t="s">
        <v>2165</v>
      </c>
      <c r="B389" t="s">
        <v>3601</v>
      </c>
      <c r="E389" s="132" t="s">
        <v>4647</v>
      </c>
      <c r="H389" s="206" t="str">
        <f t="shared" ref="H389:H393" si="66">E389</f>
        <v>(3.02a) How many authorized positions for &lt;b&gt;[Doctors or medical officers]&lt;/b&gt; are currently filled?</v>
      </c>
      <c r="I389" s="213" t="str">
        <f t="shared" si="65"/>
        <v>integer</v>
      </c>
      <c r="K389" s="116" t="s">
        <v>2443</v>
      </c>
      <c r="L389" s="118" t="str">
        <f t="shared" ref="L389:L452" si="67">IF(K389="yes",("Sorry, question "&amp;LEFT(E389, 7)&amp;" is required!"),"")</f>
        <v>Sorry, question (3.02a) is required!</v>
      </c>
      <c r="M389" s="113" t="s">
        <v>3620</v>
      </c>
      <c r="N389" t="str">
        <f>"(3.02a) MAXIMUM 40 AND NOT GREATER THAN (3.01"&amp;RIGHT(B388,1)&amp;")"</f>
        <v>(3.02a) MAXIMUM 40 AND NOT GREATER THAN (3.01a)</v>
      </c>
    </row>
    <row r="390" spans="1:24" ht="13.5" customHeight="1">
      <c r="A390" t="s">
        <v>2165</v>
      </c>
      <c r="B390" t="s">
        <v>2167</v>
      </c>
      <c r="E390" s="118" t="s">
        <v>4648</v>
      </c>
      <c r="H390" s="206" t="str">
        <f t="shared" si="66"/>
        <v>(3.03a) In the last 12 months, how many &lt;b&gt;[Doctors or medical officers]&lt;/b&gt; have left the facility permanently?</v>
      </c>
      <c r="I390" s="213" t="str">
        <f t="shared" si="65"/>
        <v>integer</v>
      </c>
      <c r="K390" s="116" t="s">
        <v>2443</v>
      </c>
      <c r="L390" s="118" t="str">
        <f t="shared" si="67"/>
        <v>Sorry, question (3.03a) is required!</v>
      </c>
      <c r="M390" s="113" t="s">
        <v>3592</v>
      </c>
      <c r="N390" t="s">
        <v>3715</v>
      </c>
    </row>
    <row r="391" spans="1:24" ht="13.5" customHeight="1">
      <c r="A391" t="s">
        <v>2165</v>
      </c>
      <c r="B391" t="s">
        <v>2168</v>
      </c>
      <c r="E391" s="118" t="s">
        <v>4649</v>
      </c>
      <c r="H391" s="206" t="str">
        <f t="shared" si="66"/>
        <v>(3.04a) How many &lt;b&gt;[Doctors or medical officers]&lt;/b&gt; work regularly in this facility without being in an authorized position?</v>
      </c>
      <c r="I391" s="213" t="str">
        <f t="shared" si="65"/>
        <v>integer</v>
      </c>
      <c r="K391" s="116" t="s">
        <v>2443</v>
      </c>
      <c r="L391" s="118" t="str">
        <f t="shared" si="67"/>
        <v>Sorry, question (3.04a) is required!</v>
      </c>
      <c r="M391" s="113" t="s">
        <v>3592</v>
      </c>
      <c r="N391" t="s">
        <v>3716</v>
      </c>
    </row>
    <row r="392" spans="1:24" ht="13.5" customHeight="1">
      <c r="A392" t="s">
        <v>2165</v>
      </c>
      <c r="B392" t="s">
        <v>2169</v>
      </c>
      <c r="E392" s="118" t="s">
        <v>4650</v>
      </c>
      <c r="H392" s="206" t="str">
        <f t="shared" si="66"/>
        <v>(3.05a) In the last 12 months, how many &lt;b&gt;[Doctors or medical officers]&lt;/b&gt; have been hired?</v>
      </c>
      <c r="I392" s="213" t="str">
        <f t="shared" si="65"/>
        <v>integer</v>
      </c>
      <c r="K392" s="116" t="s">
        <v>2443</v>
      </c>
      <c r="L392" s="118" t="str">
        <f t="shared" si="67"/>
        <v>Sorry, question (3.05a) is required!</v>
      </c>
      <c r="M392" s="113" t="s">
        <v>3592</v>
      </c>
      <c r="N392" t="s">
        <v>3717</v>
      </c>
    </row>
    <row r="393" spans="1:24" ht="13.5" customHeight="1">
      <c r="A393" t="s">
        <v>2170</v>
      </c>
      <c r="B393" s="107" t="s">
        <v>4128</v>
      </c>
      <c r="E393" s="118" t="s">
        <v>2633</v>
      </c>
      <c r="H393" s="206" t="str">
        <f t="shared" si="66"/>
        <v>(3.06a) Is this category of worker difficult to keep staffed?</v>
      </c>
      <c r="I393" s="213" t="str">
        <f t="shared" si="65"/>
        <v>select_one yesno</v>
      </c>
      <c r="J393" s="106" t="s">
        <v>4457</v>
      </c>
      <c r="K393" s="116" t="s">
        <v>2443</v>
      </c>
      <c r="L393" s="118" t="str">
        <f t="shared" si="67"/>
        <v>Sorry, question (3.06a) is required!</v>
      </c>
    </row>
    <row r="394" spans="1:24" ht="13.5" customHeight="1">
      <c r="A394" t="s">
        <v>2166</v>
      </c>
      <c r="L394" s="118" t="str">
        <f t="shared" si="67"/>
        <v/>
      </c>
      <c r="X394" t="s">
        <v>3032</v>
      </c>
    </row>
    <row r="395" spans="1:24" ht="13.5" customHeight="1">
      <c r="A395" t="s">
        <v>2164</v>
      </c>
      <c r="B395" s="1" t="s">
        <v>4651</v>
      </c>
      <c r="J395" s="106" t="s">
        <v>13</v>
      </c>
      <c r="L395" s="118" t="str">
        <f t="shared" si="67"/>
        <v/>
      </c>
      <c r="X395" t="s">
        <v>3032</v>
      </c>
    </row>
    <row r="396" spans="1:24" ht="14.25" customHeight="1">
      <c r="A396" t="s">
        <v>17</v>
      </c>
      <c r="B396" s="1" t="s">
        <v>4653</v>
      </c>
      <c r="F396" s="130" t="s">
        <v>4132</v>
      </c>
      <c r="I396" s="213" t="str">
        <f t="shared" si="65"/>
        <v>note</v>
      </c>
      <c r="L396" s="118" t="str">
        <f>IF(K396="yes",("Sorry, question "&amp;LEFT(F396, 7)&amp;" is required!"),"")</f>
        <v/>
      </c>
    </row>
    <row r="397" spans="1:24" ht="13.5" customHeight="1">
      <c r="A397" t="s">
        <v>2165</v>
      </c>
      <c r="B397" t="s">
        <v>2171</v>
      </c>
      <c r="E397" s="132" t="s">
        <v>4654</v>
      </c>
      <c r="H397" s="206" t="str">
        <f t="shared" ref="H397:H402" si="68">E397</f>
        <v>(3.01b) How many authorized positions are there in the facility for &lt;b&gt;[Clinical officers]&lt;/b&gt;?</v>
      </c>
      <c r="I397" s="213" t="str">
        <f t="shared" si="65"/>
        <v>integer</v>
      </c>
      <c r="K397" s="116" t="s">
        <v>2443</v>
      </c>
      <c r="L397" s="118" t="str">
        <f t="shared" si="67"/>
        <v>Sorry, question (3.01b) is required!</v>
      </c>
      <c r="M397" s="113" t="s">
        <v>3591</v>
      </c>
      <c r="N397" t="s">
        <v>3718</v>
      </c>
    </row>
    <row r="398" spans="1:24" ht="13.5" customHeight="1">
      <c r="A398" t="s">
        <v>2165</v>
      </c>
      <c r="B398" t="s">
        <v>2172</v>
      </c>
      <c r="E398" s="118" t="s">
        <v>4655</v>
      </c>
      <c r="H398" s="206" t="str">
        <f t="shared" si="68"/>
        <v>(3.02b) How many authorized positions for &lt;b&gt;[Clinical officers]&lt;/b&gt; are currently filled?</v>
      </c>
      <c r="I398" s="213" t="str">
        <f t="shared" si="65"/>
        <v>integer</v>
      </c>
      <c r="K398" s="116" t="s">
        <v>2443</v>
      </c>
      <c r="L398" s="118" t="str">
        <f t="shared" si="67"/>
        <v>Sorry, question (3.02b) is required!</v>
      </c>
      <c r="M398" s="113" t="s">
        <v>3621</v>
      </c>
      <c r="N398" t="str">
        <f>"(3.02b) MAXIMUM 40 AND NOT GREATER THAN (3.01"&amp;RIGHT(B397,1)&amp;")"</f>
        <v>(3.02b) MAXIMUM 40 AND NOT GREATER THAN (3.01b)</v>
      </c>
    </row>
    <row r="399" spans="1:24" ht="13.5" customHeight="1">
      <c r="A399" t="s">
        <v>2165</v>
      </c>
      <c r="B399" t="s">
        <v>2173</v>
      </c>
      <c r="E399" s="118" t="s">
        <v>4656</v>
      </c>
      <c r="H399" s="206" t="str">
        <f t="shared" si="68"/>
        <v>(3.03b) In the last 12 months, how many &lt;b&gt;[Clinical officers]&lt;/b&gt; have left the facility permanently?</v>
      </c>
      <c r="I399" s="213" t="str">
        <f t="shared" si="65"/>
        <v>integer</v>
      </c>
      <c r="K399" s="116" t="s">
        <v>2443</v>
      </c>
      <c r="L399" s="118" t="str">
        <f t="shared" si="67"/>
        <v>Sorry, question (3.03b) is required!</v>
      </c>
      <c r="M399" s="113" t="s">
        <v>3592</v>
      </c>
      <c r="N399" t="s">
        <v>3719</v>
      </c>
    </row>
    <row r="400" spans="1:24" ht="13.5" customHeight="1">
      <c r="A400" t="s">
        <v>2165</v>
      </c>
      <c r="B400" t="s">
        <v>2174</v>
      </c>
      <c r="E400" s="118" t="s">
        <v>4657</v>
      </c>
      <c r="H400" s="206" t="str">
        <f t="shared" si="68"/>
        <v>(3.04b) How many &lt;b&gt;[Clinical officers]&lt;/b&gt; work regularly in this facility without being in an authorized position?</v>
      </c>
      <c r="I400" s="213" t="str">
        <f t="shared" si="65"/>
        <v>integer</v>
      </c>
      <c r="K400" s="116" t="s">
        <v>2443</v>
      </c>
      <c r="L400" s="118" t="str">
        <f t="shared" si="67"/>
        <v>Sorry, question (3.04b) is required!</v>
      </c>
      <c r="M400" s="113" t="s">
        <v>3592</v>
      </c>
      <c r="N400" t="s">
        <v>3720</v>
      </c>
    </row>
    <row r="401" spans="1:24" ht="13.5" customHeight="1">
      <c r="A401" t="s">
        <v>2165</v>
      </c>
      <c r="B401" t="s">
        <v>2175</v>
      </c>
      <c r="E401" s="118" t="s">
        <v>4658</v>
      </c>
      <c r="H401" s="206" t="str">
        <f t="shared" si="68"/>
        <v>(3.05b) In the last 12 months, how many &lt;b&gt;[Clinical officers]&lt;/b&gt; have been hired?</v>
      </c>
      <c r="I401" s="213" t="str">
        <f t="shared" si="65"/>
        <v>integer</v>
      </c>
      <c r="K401" s="116" t="s">
        <v>2443</v>
      </c>
      <c r="L401" s="118" t="str">
        <f t="shared" si="67"/>
        <v>Sorry, question (3.05b) is required!</v>
      </c>
      <c r="M401" s="113" t="s">
        <v>3592</v>
      </c>
      <c r="N401" t="s">
        <v>3721</v>
      </c>
    </row>
    <row r="402" spans="1:24" ht="13.5" customHeight="1">
      <c r="A402" t="s">
        <v>2170</v>
      </c>
      <c r="B402" s="107" t="s">
        <v>2176</v>
      </c>
      <c r="E402" s="118" t="s">
        <v>2658</v>
      </c>
      <c r="H402" s="206" t="str">
        <f t="shared" si="68"/>
        <v>(3.06b) Is this category of worker difficult to keep staffed?</v>
      </c>
      <c r="I402" s="213" t="str">
        <f t="shared" si="65"/>
        <v>select_one yesno</v>
      </c>
      <c r="J402" s="106" t="s">
        <v>4457</v>
      </c>
      <c r="K402" s="116" t="s">
        <v>2443</v>
      </c>
      <c r="L402" s="118" t="str">
        <f t="shared" si="67"/>
        <v>Sorry, question (3.06b) is required!</v>
      </c>
    </row>
    <row r="403" spans="1:24" ht="13.5" customHeight="1">
      <c r="A403" t="s">
        <v>2166</v>
      </c>
      <c r="L403" s="118" t="str">
        <f t="shared" si="67"/>
        <v/>
      </c>
      <c r="X403" t="s">
        <v>3032</v>
      </c>
    </row>
    <row r="404" spans="1:24" ht="13.5" customHeight="1">
      <c r="A404" t="s">
        <v>2164</v>
      </c>
      <c r="B404" s="1" t="s">
        <v>4659</v>
      </c>
      <c r="J404" s="106" t="s">
        <v>13</v>
      </c>
      <c r="L404" s="118" t="str">
        <f t="shared" si="67"/>
        <v/>
      </c>
      <c r="X404" t="s">
        <v>3032</v>
      </c>
    </row>
    <row r="405" spans="1:24" ht="13.5" customHeight="1">
      <c r="A405" t="s">
        <v>17</v>
      </c>
      <c r="B405" s="1" t="s">
        <v>4661</v>
      </c>
      <c r="E405" s="130"/>
      <c r="F405" s="130" t="s">
        <v>4132</v>
      </c>
      <c r="I405" s="213" t="str">
        <f t="shared" si="65"/>
        <v>note</v>
      </c>
      <c r="L405" s="118" t="str">
        <f t="shared" si="67"/>
        <v/>
      </c>
    </row>
    <row r="406" spans="1:24" ht="13.5" customHeight="1">
      <c r="A406" t="s">
        <v>2165</v>
      </c>
      <c r="B406" t="s">
        <v>2177</v>
      </c>
      <c r="E406" s="132" t="s">
        <v>4662</v>
      </c>
      <c r="H406" s="206" t="str">
        <f t="shared" ref="H406:H411" si="69">E406</f>
        <v>(3.01c) How many authorized positions are there in the facility for &lt;b&gt;[Hospital administrators/ Executive directors]&lt;/b&gt;?</v>
      </c>
      <c r="I406" s="213" t="str">
        <f t="shared" si="65"/>
        <v>integer</v>
      </c>
      <c r="K406" s="116" t="s">
        <v>2443</v>
      </c>
      <c r="L406" s="118" t="str">
        <f t="shared" si="67"/>
        <v>Sorry, question (3.01c) is required!</v>
      </c>
      <c r="M406" s="113" t="s">
        <v>3591</v>
      </c>
      <c r="N406" t="s">
        <v>3722</v>
      </c>
    </row>
    <row r="407" spans="1:24" ht="13.5" customHeight="1">
      <c r="A407" t="s">
        <v>2165</v>
      </c>
      <c r="B407" t="s">
        <v>2178</v>
      </c>
      <c r="E407" s="118" t="s">
        <v>4663</v>
      </c>
      <c r="H407" s="206" t="str">
        <f t="shared" si="69"/>
        <v>(3.02c) How many authorized positions for &lt;b&gt;[Hospital administrators/ Executive directors]&lt;/b&gt; are currently filled?</v>
      </c>
      <c r="I407" s="213" t="str">
        <f t="shared" si="65"/>
        <v>integer</v>
      </c>
      <c r="K407" s="116" t="s">
        <v>2443</v>
      </c>
      <c r="L407" s="118" t="str">
        <f t="shared" si="67"/>
        <v>Sorry, question (3.02c) is required!</v>
      </c>
      <c r="M407" s="113" t="s">
        <v>3622</v>
      </c>
      <c r="N407" t="str">
        <f>"(3.02c) MAXIMUM 40 AND NOT GREATER THAN (3.01"&amp;RIGHT(B406,1)&amp;")"</f>
        <v>(3.02c) MAXIMUM 40 AND NOT GREATER THAN (3.01c)</v>
      </c>
    </row>
    <row r="408" spans="1:24" ht="13.5" customHeight="1">
      <c r="A408" t="s">
        <v>2165</v>
      </c>
      <c r="B408" t="s">
        <v>2179</v>
      </c>
      <c r="E408" s="118" t="s">
        <v>4664</v>
      </c>
      <c r="H408" s="206" t="str">
        <f t="shared" si="69"/>
        <v>(3.03c) In the last 12 months, how many &lt;b&gt;[Hospital administrators/ Executive directors]&lt;/b&gt; have left the facility permanently?</v>
      </c>
      <c r="I408" s="213" t="str">
        <f t="shared" si="65"/>
        <v>integer</v>
      </c>
      <c r="K408" s="116" t="s">
        <v>2443</v>
      </c>
      <c r="L408" s="118" t="str">
        <f t="shared" si="67"/>
        <v>Sorry, question (3.03c) is required!</v>
      </c>
      <c r="M408" s="113" t="s">
        <v>3592</v>
      </c>
      <c r="N408" t="s">
        <v>3723</v>
      </c>
    </row>
    <row r="409" spans="1:24" ht="13.5" customHeight="1">
      <c r="A409" t="s">
        <v>2165</v>
      </c>
      <c r="B409" t="s">
        <v>2180</v>
      </c>
      <c r="E409" s="118" t="s">
        <v>4665</v>
      </c>
      <c r="H409" s="206" t="str">
        <f t="shared" si="69"/>
        <v>(3.04c) How many &lt;b&gt;[Hospital administrators/ Executive directors]&lt;/b&gt; work regularly in this facility without being in an authorized position?</v>
      </c>
      <c r="I409" s="213" t="str">
        <f t="shared" si="65"/>
        <v>integer</v>
      </c>
      <c r="K409" s="116" t="s">
        <v>2443</v>
      </c>
      <c r="L409" s="118" t="str">
        <f t="shared" si="67"/>
        <v>Sorry, question (3.04c) is required!</v>
      </c>
      <c r="M409" s="113" t="s">
        <v>3592</v>
      </c>
      <c r="N409" t="s">
        <v>3724</v>
      </c>
    </row>
    <row r="410" spans="1:24" ht="13.5" customHeight="1">
      <c r="A410" t="s">
        <v>2165</v>
      </c>
      <c r="B410" t="s">
        <v>2181</v>
      </c>
      <c r="E410" s="118" t="s">
        <v>4666</v>
      </c>
      <c r="H410" s="206" t="str">
        <f t="shared" si="69"/>
        <v>(3.05c) In the last 12 months, how many &lt;b&gt;[Hospital administrators/ Executive directors]&lt;/b&gt; have been hired?</v>
      </c>
      <c r="I410" s="213" t="str">
        <f t="shared" si="65"/>
        <v>integer</v>
      </c>
      <c r="K410" s="116" t="s">
        <v>2443</v>
      </c>
      <c r="L410" s="118" t="str">
        <f t="shared" si="67"/>
        <v>Sorry, question (3.05c) is required!</v>
      </c>
      <c r="M410" s="113" t="s">
        <v>3592</v>
      </c>
      <c r="N410" t="s">
        <v>3725</v>
      </c>
    </row>
    <row r="411" spans="1:24" ht="13.5" customHeight="1">
      <c r="A411" t="s">
        <v>2170</v>
      </c>
      <c r="B411" t="s">
        <v>2182</v>
      </c>
      <c r="E411" s="118" t="s">
        <v>2657</v>
      </c>
      <c r="H411" s="206" t="str">
        <f t="shared" si="69"/>
        <v>(3.06c) Is this category of worker difficult to keep staffed?</v>
      </c>
      <c r="I411" s="213" t="str">
        <f t="shared" si="65"/>
        <v>select_one yesno</v>
      </c>
      <c r="J411" s="106" t="s">
        <v>4457</v>
      </c>
      <c r="K411" s="116" t="s">
        <v>2443</v>
      </c>
      <c r="L411" s="118" t="str">
        <f t="shared" si="67"/>
        <v>Sorry, question (3.06c) is required!</v>
      </c>
    </row>
    <row r="412" spans="1:24" ht="13.5" customHeight="1">
      <c r="A412" t="s">
        <v>2166</v>
      </c>
      <c r="L412" s="118" t="str">
        <f t="shared" si="67"/>
        <v/>
      </c>
      <c r="X412" t="s">
        <v>3032</v>
      </c>
    </row>
    <row r="413" spans="1:24" ht="13.5" customHeight="1">
      <c r="A413" t="s">
        <v>2164</v>
      </c>
      <c r="B413" s="1" t="s">
        <v>4660</v>
      </c>
      <c r="J413" s="106" t="s">
        <v>13</v>
      </c>
      <c r="L413" s="118" t="str">
        <f t="shared" si="67"/>
        <v/>
      </c>
      <c r="X413" t="s">
        <v>3032</v>
      </c>
    </row>
    <row r="414" spans="1:24" ht="13.5" customHeight="1">
      <c r="A414" t="s">
        <v>17</v>
      </c>
      <c r="B414" s="1" t="s">
        <v>4667</v>
      </c>
      <c r="E414" s="130"/>
      <c r="F414" s="130" t="s">
        <v>4132</v>
      </c>
      <c r="I414" s="213" t="str">
        <f t="shared" si="65"/>
        <v>note</v>
      </c>
      <c r="L414" s="118" t="str">
        <f t="shared" si="67"/>
        <v/>
      </c>
    </row>
    <row r="415" spans="1:24" ht="13.5" customHeight="1">
      <c r="A415" t="s">
        <v>2165</v>
      </c>
      <c r="B415" t="s">
        <v>2183</v>
      </c>
      <c r="E415" s="132" t="s">
        <v>4668</v>
      </c>
      <c r="H415" s="206" t="str">
        <f>E415</f>
        <v>(3.01d) How many authorized positions are there in the facility for &lt;b&gt;[Nurses]&lt;/b&gt;?</v>
      </c>
      <c r="I415" s="213" t="str">
        <f t="shared" si="65"/>
        <v>integer</v>
      </c>
      <c r="K415" s="116" t="s">
        <v>2443</v>
      </c>
      <c r="L415" s="118" t="str">
        <f t="shared" si="67"/>
        <v>Sorry, question (3.01d) is required!</v>
      </c>
      <c r="M415" s="113" t="s">
        <v>3591</v>
      </c>
      <c r="N415" t="s">
        <v>3726</v>
      </c>
    </row>
    <row r="416" spans="1:24" ht="13.5" customHeight="1">
      <c r="A416" t="s">
        <v>2165</v>
      </c>
      <c r="B416" t="s">
        <v>2184</v>
      </c>
      <c r="E416" s="118" t="s">
        <v>4669</v>
      </c>
      <c r="H416" s="206" t="str">
        <f t="shared" ref="H416:H420" si="70">E416</f>
        <v>(3.02d) How many authorized positions for &lt;b&gt;[Nurses]&lt;/b&gt; are currently filled?</v>
      </c>
      <c r="I416" s="213" t="str">
        <f t="shared" si="65"/>
        <v>integer</v>
      </c>
      <c r="K416" s="116" t="s">
        <v>2443</v>
      </c>
      <c r="L416" s="118" t="str">
        <f t="shared" si="67"/>
        <v>Sorry, question (3.02d) is required!</v>
      </c>
      <c r="M416" s="113" t="s">
        <v>3623</v>
      </c>
      <c r="N416" t="str">
        <f>"(3.02d) MAXIMUM 40 AND NOT GREATER THAN (3.01"&amp;RIGHT(B415,1)&amp;")"</f>
        <v>(3.02d) MAXIMUM 40 AND NOT GREATER THAN (3.01d)</v>
      </c>
    </row>
    <row r="417" spans="1:24" ht="13.5" customHeight="1">
      <c r="A417" t="s">
        <v>2165</v>
      </c>
      <c r="B417" t="s">
        <v>2185</v>
      </c>
      <c r="E417" s="118" t="s">
        <v>4670</v>
      </c>
      <c r="H417" s="206" t="str">
        <f t="shared" si="70"/>
        <v>(3.03d) In the last 12 months, how many &lt;b&gt;[Nurses]&lt;/b&gt; have left the facility permanently?</v>
      </c>
      <c r="I417" s="213" t="str">
        <f t="shared" si="65"/>
        <v>integer</v>
      </c>
      <c r="K417" s="116" t="s">
        <v>2443</v>
      </c>
      <c r="L417" s="118" t="str">
        <f t="shared" si="67"/>
        <v>Sorry, question (3.03d) is required!</v>
      </c>
      <c r="M417" s="113" t="s">
        <v>3592</v>
      </c>
      <c r="N417" t="s">
        <v>3727</v>
      </c>
    </row>
    <row r="418" spans="1:24" ht="13.5" customHeight="1">
      <c r="A418" t="s">
        <v>2165</v>
      </c>
      <c r="B418" t="s">
        <v>2186</v>
      </c>
      <c r="E418" s="118" t="s">
        <v>4671</v>
      </c>
      <c r="H418" s="206" t="str">
        <f t="shared" si="70"/>
        <v>(3.04d) How many &lt;b&gt;[Nurses]&lt;/b&gt; work regularly in this facility without being in an authorized position?</v>
      </c>
      <c r="I418" s="213" t="str">
        <f t="shared" si="65"/>
        <v>integer</v>
      </c>
      <c r="K418" s="116" t="s">
        <v>2443</v>
      </c>
      <c r="L418" s="118" t="str">
        <f t="shared" si="67"/>
        <v>Sorry, question (3.04d) is required!</v>
      </c>
      <c r="M418" s="113" t="s">
        <v>3592</v>
      </c>
      <c r="N418" t="s">
        <v>3728</v>
      </c>
    </row>
    <row r="419" spans="1:24" ht="13.5" customHeight="1">
      <c r="A419" t="s">
        <v>2165</v>
      </c>
      <c r="B419" t="s">
        <v>2187</v>
      </c>
      <c r="E419" s="118" t="s">
        <v>4672</v>
      </c>
      <c r="H419" s="206" t="str">
        <f t="shared" si="70"/>
        <v>(3.05d) In the last 12 months, how many &lt;b&gt;[Nurses]&lt;/b&gt; have been hired?</v>
      </c>
      <c r="I419" s="213" t="str">
        <f t="shared" si="65"/>
        <v>integer</v>
      </c>
      <c r="K419" s="116" t="s">
        <v>2443</v>
      </c>
      <c r="L419" s="118" t="str">
        <f t="shared" si="67"/>
        <v>Sorry, question (3.05d) is required!</v>
      </c>
      <c r="M419" s="113" t="s">
        <v>3592</v>
      </c>
      <c r="N419" t="s">
        <v>3729</v>
      </c>
    </row>
    <row r="420" spans="1:24" ht="13.5" customHeight="1">
      <c r="A420" t="s">
        <v>2170</v>
      </c>
      <c r="B420" t="s">
        <v>2188</v>
      </c>
      <c r="E420" s="118" t="s">
        <v>2656</v>
      </c>
      <c r="H420" s="206" t="str">
        <f t="shared" si="70"/>
        <v>(3.06d) Is this category of worker difficult to keep staffed?</v>
      </c>
      <c r="I420" s="213" t="str">
        <f t="shared" si="65"/>
        <v>select_one yesno</v>
      </c>
      <c r="J420" s="106" t="s">
        <v>4457</v>
      </c>
      <c r="K420" s="116" t="s">
        <v>2443</v>
      </c>
      <c r="L420" s="118" t="str">
        <f t="shared" si="67"/>
        <v>Sorry, question (3.06d) is required!</v>
      </c>
    </row>
    <row r="421" spans="1:24" ht="13.5" customHeight="1">
      <c r="A421" t="s">
        <v>2166</v>
      </c>
      <c r="L421" s="118" t="str">
        <f t="shared" si="67"/>
        <v/>
      </c>
      <c r="X421" t="s">
        <v>3032</v>
      </c>
    </row>
    <row r="422" spans="1:24" ht="13.5" customHeight="1">
      <c r="A422" t="s">
        <v>2164</v>
      </c>
      <c r="B422" s="1" t="s">
        <v>4673</v>
      </c>
      <c r="J422" s="106" t="s">
        <v>13</v>
      </c>
      <c r="L422" s="118" t="str">
        <f t="shared" si="67"/>
        <v/>
      </c>
      <c r="X422" t="s">
        <v>3032</v>
      </c>
    </row>
    <row r="423" spans="1:24" ht="13.5" customHeight="1">
      <c r="A423" t="s">
        <v>17</v>
      </c>
      <c r="B423" s="1" t="s">
        <v>4674</v>
      </c>
      <c r="E423" s="130"/>
      <c r="F423" s="130" t="s">
        <v>4132</v>
      </c>
      <c r="I423" s="213" t="str">
        <f t="shared" si="65"/>
        <v>note</v>
      </c>
      <c r="L423" s="118" t="str">
        <f t="shared" si="67"/>
        <v/>
      </c>
    </row>
    <row r="424" spans="1:24" ht="13.5" customHeight="1">
      <c r="A424" t="s">
        <v>2165</v>
      </c>
      <c r="B424" t="s">
        <v>2189</v>
      </c>
      <c r="E424" s="132" t="s">
        <v>4675</v>
      </c>
      <c r="H424" s="206" t="str">
        <f t="shared" ref="H424:H429" si="71">E424</f>
        <v>(3.01e) How many authorized positions are there in the facility for &lt;b&gt;[Midwives]&lt;/b&gt;?</v>
      </c>
      <c r="I424" s="213" t="str">
        <f t="shared" si="65"/>
        <v>integer</v>
      </c>
      <c r="K424" s="116" t="s">
        <v>2443</v>
      </c>
      <c r="L424" s="118" t="str">
        <f t="shared" si="67"/>
        <v>Sorry, question (3.01e) is required!</v>
      </c>
      <c r="M424" s="113" t="s">
        <v>3591</v>
      </c>
      <c r="N424" t="s">
        <v>3730</v>
      </c>
    </row>
    <row r="425" spans="1:24" ht="13.5" customHeight="1">
      <c r="A425" t="s">
        <v>2165</v>
      </c>
      <c r="B425" t="s">
        <v>2190</v>
      </c>
      <c r="E425" s="118" t="s">
        <v>4676</v>
      </c>
      <c r="H425" s="206" t="str">
        <f t="shared" si="71"/>
        <v>(3.02e) How many authorized positions for &lt;b&gt;[Midwives]&lt;/b&gt;  are currently filled?</v>
      </c>
      <c r="I425" s="213" t="str">
        <f t="shared" si="65"/>
        <v>integer</v>
      </c>
      <c r="K425" s="116" t="s">
        <v>2443</v>
      </c>
      <c r="L425" s="118" t="str">
        <f t="shared" si="67"/>
        <v>Sorry, question (3.02e) is required!</v>
      </c>
      <c r="M425" s="113" t="s">
        <v>3624</v>
      </c>
      <c r="N425" t="str">
        <f>"(3.02e) MAXIMUM 40 AND NOT GREATER THAN (3.01"&amp;RIGHT(B424,1)&amp;")"</f>
        <v>(3.02e) MAXIMUM 40 AND NOT GREATER THAN (3.01e)</v>
      </c>
    </row>
    <row r="426" spans="1:24" ht="13.5" customHeight="1">
      <c r="A426" t="s">
        <v>2165</v>
      </c>
      <c r="B426" t="s">
        <v>2191</v>
      </c>
      <c r="E426" s="118" t="s">
        <v>4677</v>
      </c>
      <c r="H426" s="206" t="str">
        <f t="shared" si="71"/>
        <v>(3.03e) In the last 12 months, how many &lt;b&gt;[Midwives]&lt;/b&gt;  have left the facility permanently?</v>
      </c>
      <c r="I426" s="213" t="str">
        <f t="shared" si="65"/>
        <v>integer</v>
      </c>
      <c r="K426" s="116" t="s">
        <v>2443</v>
      </c>
      <c r="L426" s="118" t="str">
        <f t="shared" si="67"/>
        <v>Sorry, question (3.03e) is required!</v>
      </c>
      <c r="M426" s="113" t="s">
        <v>3592</v>
      </c>
      <c r="N426" t="s">
        <v>3731</v>
      </c>
    </row>
    <row r="427" spans="1:24" ht="13.5" customHeight="1">
      <c r="A427" t="s">
        <v>2165</v>
      </c>
      <c r="B427" t="s">
        <v>2192</v>
      </c>
      <c r="E427" s="118" t="s">
        <v>4678</v>
      </c>
      <c r="H427" s="206" t="str">
        <f t="shared" si="71"/>
        <v>(3.04e) How many &lt;b&gt;[Midwives]&lt;/b&gt;  work regularly in this facility without being in an authorized position?</v>
      </c>
      <c r="I427" s="213" t="str">
        <f t="shared" si="65"/>
        <v>integer</v>
      </c>
      <c r="K427" s="116" t="s">
        <v>2443</v>
      </c>
      <c r="L427" s="118" t="str">
        <f t="shared" si="67"/>
        <v>Sorry, question (3.04e) is required!</v>
      </c>
      <c r="M427" s="113" t="s">
        <v>3592</v>
      </c>
      <c r="N427" t="s">
        <v>3732</v>
      </c>
    </row>
    <row r="428" spans="1:24" ht="13.5" customHeight="1">
      <c r="A428" t="s">
        <v>2165</v>
      </c>
      <c r="B428" t="s">
        <v>2193</v>
      </c>
      <c r="E428" s="118" t="s">
        <v>4679</v>
      </c>
      <c r="H428" s="206" t="str">
        <f t="shared" si="71"/>
        <v>(3.05e) In the last 12 months, how many &lt;b&gt;[Midwives]&lt;/b&gt;  have been hired?</v>
      </c>
      <c r="I428" s="213" t="str">
        <f t="shared" si="65"/>
        <v>integer</v>
      </c>
      <c r="K428" s="116" t="s">
        <v>2443</v>
      </c>
      <c r="L428" s="118" t="str">
        <f t="shared" si="67"/>
        <v>Sorry, question (3.05e) is required!</v>
      </c>
      <c r="M428" s="113" t="s">
        <v>3592</v>
      </c>
      <c r="N428" t="s">
        <v>3733</v>
      </c>
    </row>
    <row r="429" spans="1:24" ht="13.5" customHeight="1">
      <c r="A429" t="s">
        <v>2170</v>
      </c>
      <c r="B429" t="s">
        <v>2194</v>
      </c>
      <c r="E429" s="118" t="s">
        <v>2655</v>
      </c>
      <c r="H429" s="206" t="str">
        <f t="shared" si="71"/>
        <v>(3.06e) Is this category of worker difficult to keep staffed?</v>
      </c>
      <c r="I429" s="213" t="str">
        <f t="shared" si="65"/>
        <v>select_one yesno</v>
      </c>
      <c r="J429" s="106" t="s">
        <v>4457</v>
      </c>
      <c r="K429" s="116" t="s">
        <v>2443</v>
      </c>
      <c r="L429" s="118" t="str">
        <f t="shared" si="67"/>
        <v>Sorry, question (3.06e) is required!</v>
      </c>
    </row>
    <row r="430" spans="1:24" ht="13.5" customHeight="1">
      <c r="A430" t="s">
        <v>2166</v>
      </c>
      <c r="L430" s="118" t="str">
        <f t="shared" si="67"/>
        <v/>
      </c>
      <c r="X430" t="s">
        <v>3032</v>
      </c>
    </row>
    <row r="431" spans="1:24" ht="13.5" customHeight="1">
      <c r="A431" t="s">
        <v>2164</v>
      </c>
      <c r="B431" s="1" t="s">
        <v>4680</v>
      </c>
      <c r="J431" s="106" t="s">
        <v>13</v>
      </c>
      <c r="L431" s="118" t="str">
        <f t="shared" si="67"/>
        <v/>
      </c>
      <c r="X431" t="s">
        <v>3032</v>
      </c>
    </row>
    <row r="432" spans="1:24" ht="13.5" customHeight="1">
      <c r="A432" t="s">
        <v>17</v>
      </c>
      <c r="B432" s="1" t="s">
        <v>4681</v>
      </c>
      <c r="E432" s="130"/>
      <c r="F432" s="130" t="s">
        <v>4132</v>
      </c>
      <c r="I432" s="213" t="str">
        <f t="shared" si="65"/>
        <v>note</v>
      </c>
      <c r="L432" s="118" t="str">
        <f t="shared" si="67"/>
        <v/>
      </c>
    </row>
    <row r="433" spans="1:24" ht="13.5" customHeight="1">
      <c r="A433" t="s">
        <v>2165</v>
      </c>
      <c r="B433" t="s">
        <v>2195</v>
      </c>
      <c r="E433" s="132" t="s">
        <v>4682</v>
      </c>
      <c r="H433" s="206" t="str">
        <f t="shared" ref="H433:H438" si="72">E433</f>
        <v>(3.01f) How many authorized positions are there in the facility for &lt;b&gt;[Pharmacists]&lt;/b&gt;?</v>
      </c>
      <c r="I433" s="213" t="str">
        <f t="shared" si="65"/>
        <v>integer</v>
      </c>
      <c r="K433" s="116" t="s">
        <v>2443</v>
      </c>
      <c r="L433" s="118" t="str">
        <f t="shared" si="67"/>
        <v>Sorry, question (3.01f) is required!</v>
      </c>
      <c r="M433" s="113" t="s">
        <v>3591</v>
      </c>
      <c r="N433" t="s">
        <v>3734</v>
      </c>
    </row>
    <row r="434" spans="1:24" ht="13.5" customHeight="1">
      <c r="A434" t="s">
        <v>2165</v>
      </c>
      <c r="B434" t="s">
        <v>2196</v>
      </c>
      <c r="E434" s="118" t="s">
        <v>4683</v>
      </c>
      <c r="H434" s="206" t="str">
        <f t="shared" si="72"/>
        <v>(3.02f) How many authorized positions for &lt;b&gt;[Pharmacists]&lt;/b&gt;  are currently filled?</v>
      </c>
      <c r="I434" s="213" t="str">
        <f t="shared" si="65"/>
        <v>integer</v>
      </c>
      <c r="K434" s="116" t="s">
        <v>2443</v>
      </c>
      <c r="L434" s="118" t="str">
        <f t="shared" si="67"/>
        <v>Sorry, question (3.02f) is required!</v>
      </c>
      <c r="M434" s="113" t="s">
        <v>3625</v>
      </c>
      <c r="N434" t="str">
        <f>"(3.02f) MAXIMUM 40 AND NOT GREATER THAN (3.01"&amp;RIGHT(B433,1)&amp;")"</f>
        <v>(3.02f) MAXIMUM 40 AND NOT GREATER THAN (3.01f)</v>
      </c>
    </row>
    <row r="435" spans="1:24" ht="13.5" customHeight="1">
      <c r="A435" t="s">
        <v>2165</v>
      </c>
      <c r="B435" t="s">
        <v>2197</v>
      </c>
      <c r="E435" s="118" t="s">
        <v>4684</v>
      </c>
      <c r="H435" s="206" t="str">
        <f t="shared" si="72"/>
        <v>(3.03f) In the last 12 months, how many &lt;b&gt;[Pharmacists]&lt;/b&gt;  have left the facility permanently?</v>
      </c>
      <c r="I435" s="213" t="str">
        <f t="shared" si="65"/>
        <v>integer</v>
      </c>
      <c r="K435" s="116" t="s">
        <v>2443</v>
      </c>
      <c r="L435" s="118" t="str">
        <f t="shared" si="67"/>
        <v>Sorry, question (3.03f) is required!</v>
      </c>
      <c r="M435" s="113" t="s">
        <v>3592</v>
      </c>
      <c r="N435" t="s">
        <v>3735</v>
      </c>
    </row>
    <row r="436" spans="1:24" ht="13.5" customHeight="1">
      <c r="A436" t="s">
        <v>2165</v>
      </c>
      <c r="B436" t="s">
        <v>2198</v>
      </c>
      <c r="E436" s="118" t="s">
        <v>4685</v>
      </c>
      <c r="H436" s="206" t="str">
        <f t="shared" si="72"/>
        <v>(3.04f) How many &lt;b&gt;[Pharmacists]&lt;/b&gt;  work regularly in this facility without being in an authorized position?</v>
      </c>
      <c r="I436" s="213" t="str">
        <f t="shared" si="65"/>
        <v>integer</v>
      </c>
      <c r="K436" s="116" t="s">
        <v>2443</v>
      </c>
      <c r="L436" s="118" t="str">
        <f t="shared" si="67"/>
        <v>Sorry, question (3.04f) is required!</v>
      </c>
      <c r="M436" s="113" t="s">
        <v>3592</v>
      </c>
      <c r="N436" t="s">
        <v>3736</v>
      </c>
    </row>
    <row r="437" spans="1:24" ht="13.5" customHeight="1">
      <c r="A437" t="s">
        <v>2165</v>
      </c>
      <c r="B437" t="s">
        <v>2199</v>
      </c>
      <c r="E437" s="118" t="s">
        <v>4686</v>
      </c>
      <c r="H437" s="206" t="str">
        <f t="shared" si="72"/>
        <v>(3.05f) In the last 12 months, how many &lt;b&gt;[Pharmacists]&lt;/b&gt;  have been hired?</v>
      </c>
      <c r="I437" s="213" t="str">
        <f t="shared" si="65"/>
        <v>integer</v>
      </c>
      <c r="K437" s="116" t="s">
        <v>2443</v>
      </c>
      <c r="L437" s="118" t="str">
        <f t="shared" si="67"/>
        <v>Sorry, question (3.05f) is required!</v>
      </c>
      <c r="M437" s="113" t="s">
        <v>3592</v>
      </c>
      <c r="N437" t="s">
        <v>3737</v>
      </c>
    </row>
    <row r="438" spans="1:24" ht="13.5" customHeight="1">
      <c r="A438" t="s">
        <v>2170</v>
      </c>
      <c r="B438" t="s">
        <v>2200</v>
      </c>
      <c r="E438" s="118" t="s">
        <v>2654</v>
      </c>
      <c r="H438" s="206" t="str">
        <f t="shared" si="72"/>
        <v>(3.06f) Is this category of worker difficult to keep staffed?</v>
      </c>
      <c r="I438" s="213" t="str">
        <f t="shared" si="65"/>
        <v>select_one yesno</v>
      </c>
      <c r="J438" s="106" t="s">
        <v>4457</v>
      </c>
      <c r="K438" s="116" t="s">
        <v>2443</v>
      </c>
      <c r="L438" s="118" t="str">
        <f t="shared" si="67"/>
        <v>Sorry, question (3.06f) is required!</v>
      </c>
    </row>
    <row r="439" spans="1:24" ht="13.5" customHeight="1">
      <c r="A439" t="s">
        <v>2166</v>
      </c>
      <c r="L439" s="118" t="str">
        <f t="shared" si="67"/>
        <v/>
      </c>
      <c r="X439" t="s">
        <v>3032</v>
      </c>
    </row>
    <row r="440" spans="1:24" ht="13.5" customHeight="1">
      <c r="A440" t="s">
        <v>2164</v>
      </c>
      <c r="B440" s="1" t="s">
        <v>4687</v>
      </c>
      <c r="J440" s="106" t="s">
        <v>13</v>
      </c>
      <c r="L440" s="118" t="str">
        <f t="shared" si="67"/>
        <v/>
      </c>
      <c r="X440" t="s">
        <v>3032</v>
      </c>
    </row>
    <row r="441" spans="1:24" ht="13.5" customHeight="1">
      <c r="A441" t="s">
        <v>17</v>
      </c>
      <c r="B441" s="1" t="s">
        <v>4688</v>
      </c>
      <c r="E441" s="130"/>
      <c r="F441" s="130" t="s">
        <v>4132</v>
      </c>
      <c r="I441" s="213" t="str">
        <f t="shared" si="65"/>
        <v>note</v>
      </c>
      <c r="L441" s="118" t="str">
        <f t="shared" si="67"/>
        <v/>
      </c>
    </row>
    <row r="442" spans="1:24" ht="13.5" customHeight="1">
      <c r="A442" t="s">
        <v>2165</v>
      </c>
      <c r="B442" t="s">
        <v>2201</v>
      </c>
      <c r="E442" s="132" t="s">
        <v>4689</v>
      </c>
      <c r="H442" s="206" t="str">
        <f t="shared" ref="H442:H447" si="73">E442</f>
        <v>(3.01g) How many authorized positions are there in the facility for &lt;b&gt;[PHO]&lt;/b&gt;?</v>
      </c>
      <c r="I442" s="213" t="str">
        <f t="shared" si="65"/>
        <v>integer</v>
      </c>
      <c r="K442" s="116" t="s">
        <v>2443</v>
      </c>
      <c r="L442" s="118" t="str">
        <f t="shared" si="67"/>
        <v>Sorry, question (3.01g) is required!</v>
      </c>
      <c r="M442" s="113" t="s">
        <v>3591</v>
      </c>
      <c r="N442" t="s">
        <v>3738</v>
      </c>
    </row>
    <row r="443" spans="1:24" ht="13.5" customHeight="1">
      <c r="A443" t="s">
        <v>2165</v>
      </c>
      <c r="B443" t="s">
        <v>2202</v>
      </c>
      <c r="E443" s="118" t="s">
        <v>4690</v>
      </c>
      <c r="H443" s="206" t="str">
        <f t="shared" si="73"/>
        <v>(3.02g) How many authorized positions for &lt;b&gt;[PHO]&lt;/b&gt; are currently filled?</v>
      </c>
      <c r="I443" s="213" t="str">
        <f t="shared" si="65"/>
        <v>integer</v>
      </c>
      <c r="K443" s="116" t="s">
        <v>2443</v>
      </c>
      <c r="L443" s="118" t="str">
        <f t="shared" si="67"/>
        <v>Sorry, question (3.02g) is required!</v>
      </c>
      <c r="M443" s="113" t="s">
        <v>3626</v>
      </c>
      <c r="N443" t="str">
        <f>"(3.02g) MAXIMUM 40 AND NOT GREATER THAN (3.01"&amp;RIGHT(B442,1)&amp;")"</f>
        <v>(3.02g) MAXIMUM 40 AND NOT GREATER THAN (3.01g)</v>
      </c>
    </row>
    <row r="444" spans="1:24" ht="13.5" customHeight="1">
      <c r="A444" t="s">
        <v>2165</v>
      </c>
      <c r="B444" t="s">
        <v>2203</v>
      </c>
      <c r="E444" s="118" t="s">
        <v>4691</v>
      </c>
      <c r="H444" s="206" t="str">
        <f t="shared" si="73"/>
        <v>(3.03g) In the last 12 months, how many &lt;b&gt;[PHO]&lt;/b&gt; have left the facility permanently?</v>
      </c>
      <c r="I444" s="213" t="str">
        <f t="shared" si="65"/>
        <v>integer</v>
      </c>
      <c r="K444" s="116" t="s">
        <v>2443</v>
      </c>
      <c r="L444" s="118" t="str">
        <f t="shared" si="67"/>
        <v>Sorry, question (3.03g) is required!</v>
      </c>
      <c r="M444" s="113" t="s">
        <v>3592</v>
      </c>
      <c r="N444" t="s">
        <v>3739</v>
      </c>
    </row>
    <row r="445" spans="1:24" ht="13.5" customHeight="1">
      <c r="A445" t="s">
        <v>2165</v>
      </c>
      <c r="B445" t="s">
        <v>2204</v>
      </c>
      <c r="E445" s="118" t="s">
        <v>4692</v>
      </c>
      <c r="H445" s="206" t="str">
        <f t="shared" si="73"/>
        <v>(3.04g) How many &lt;b&gt;[PHO]&lt;/b&gt; work regularly in this facility without being in an authorized position?</v>
      </c>
      <c r="I445" s="213" t="str">
        <f t="shared" si="65"/>
        <v>integer</v>
      </c>
      <c r="K445" s="116" t="s">
        <v>2443</v>
      </c>
      <c r="L445" s="118" t="str">
        <f t="shared" si="67"/>
        <v>Sorry, question (3.04g) is required!</v>
      </c>
      <c r="M445" s="113" t="s">
        <v>3592</v>
      </c>
      <c r="N445" t="s">
        <v>3740</v>
      </c>
    </row>
    <row r="446" spans="1:24" ht="13.5" customHeight="1">
      <c r="A446" t="s">
        <v>2165</v>
      </c>
      <c r="B446" t="s">
        <v>2205</v>
      </c>
      <c r="E446" s="118" t="s">
        <v>4693</v>
      </c>
      <c r="H446" s="206" t="str">
        <f t="shared" si="73"/>
        <v>(3.05g) In the last 12 months, how many &lt;b&gt;[PHO]&lt;/b&gt; have been hired?</v>
      </c>
      <c r="I446" s="213" t="str">
        <f t="shared" si="65"/>
        <v>integer</v>
      </c>
      <c r="K446" s="116" t="s">
        <v>2443</v>
      </c>
      <c r="L446" s="118" t="str">
        <f t="shared" si="67"/>
        <v>Sorry, question (3.05g) is required!</v>
      </c>
      <c r="M446" s="113" t="s">
        <v>3592</v>
      </c>
      <c r="N446" t="s">
        <v>3741</v>
      </c>
    </row>
    <row r="447" spans="1:24" ht="13.5" customHeight="1">
      <c r="A447" t="s">
        <v>2170</v>
      </c>
      <c r="B447" t="s">
        <v>2206</v>
      </c>
      <c r="E447" s="118" t="s">
        <v>2653</v>
      </c>
      <c r="H447" s="206" t="str">
        <f t="shared" si="73"/>
        <v>(3.06g) Is this category of worker difficult to keep staffed?</v>
      </c>
      <c r="I447" s="213" t="str">
        <f t="shared" si="65"/>
        <v>select_one yesno</v>
      </c>
      <c r="J447" s="106" t="s">
        <v>4457</v>
      </c>
      <c r="K447" s="116" t="s">
        <v>2443</v>
      </c>
      <c r="L447" s="118" t="str">
        <f t="shared" si="67"/>
        <v>Sorry, question (3.06g) is required!</v>
      </c>
    </row>
    <row r="448" spans="1:24" ht="13.5" customHeight="1">
      <c r="A448" t="s">
        <v>2166</v>
      </c>
      <c r="L448" s="118" t="str">
        <f t="shared" si="67"/>
        <v/>
      </c>
      <c r="X448" t="s">
        <v>3032</v>
      </c>
    </row>
    <row r="449" spans="1:24" ht="13.5" customHeight="1">
      <c r="A449" t="s">
        <v>2164</v>
      </c>
      <c r="B449" s="1" t="s">
        <v>4756</v>
      </c>
      <c r="J449" s="106" t="s">
        <v>13</v>
      </c>
      <c r="L449" s="118" t="str">
        <f t="shared" si="67"/>
        <v/>
      </c>
      <c r="X449" t="s">
        <v>3032</v>
      </c>
    </row>
    <row r="450" spans="1:24" ht="13.5" customHeight="1">
      <c r="A450" t="s">
        <v>17</v>
      </c>
      <c r="B450" t="s">
        <v>2659</v>
      </c>
      <c r="E450" s="130"/>
      <c r="F450" s="130" t="s">
        <v>4132</v>
      </c>
      <c r="I450" s="213" t="str">
        <f t="shared" ref="I450:I510" si="74">A450</f>
        <v>note</v>
      </c>
      <c r="L450" s="118" t="str">
        <f t="shared" si="67"/>
        <v/>
      </c>
    </row>
    <row r="451" spans="1:24" ht="13.5" customHeight="1">
      <c r="A451" t="s">
        <v>2165</v>
      </c>
      <c r="B451" t="s">
        <v>2207</v>
      </c>
      <c r="E451" s="132" t="s">
        <v>4694</v>
      </c>
      <c r="H451" s="206" t="str">
        <f t="shared" ref="H451:H456" si="75">E451</f>
        <v>(3.01h) How many authorized positions are there in the facility for &lt;b&gt;[Pharmacy technicians]&lt;/b&gt;?</v>
      </c>
      <c r="I451" s="213" t="str">
        <f t="shared" si="74"/>
        <v>integer</v>
      </c>
      <c r="K451" s="116" t="s">
        <v>2443</v>
      </c>
      <c r="L451" s="118" t="str">
        <f t="shared" si="67"/>
        <v>Sorry, question (3.01h) is required!</v>
      </c>
      <c r="M451" s="113" t="s">
        <v>3591</v>
      </c>
      <c r="N451" t="s">
        <v>3742</v>
      </c>
    </row>
    <row r="452" spans="1:24" ht="13.5" customHeight="1">
      <c r="A452" t="s">
        <v>2165</v>
      </c>
      <c r="B452" t="s">
        <v>2208</v>
      </c>
      <c r="E452" s="118" t="s">
        <v>4695</v>
      </c>
      <c r="H452" s="206" t="str">
        <f t="shared" si="75"/>
        <v>(3.02h) How many authorized positions for &lt;b&gt;[Pharmacy technicians]&lt;/b&gt; are currently filled?</v>
      </c>
      <c r="I452" s="213" t="str">
        <f t="shared" si="74"/>
        <v>integer</v>
      </c>
      <c r="K452" s="116" t="s">
        <v>2443</v>
      </c>
      <c r="L452" s="118" t="str">
        <f t="shared" si="67"/>
        <v>Sorry, question (3.02h) is required!</v>
      </c>
      <c r="M452" s="113" t="s">
        <v>3627</v>
      </c>
      <c r="N452" t="str">
        <f>"(3.02h) MAXIMUM 40 AND NOT GREATER THAN (3.01"&amp;RIGHT(B451,1)&amp;")"</f>
        <v>(3.02h) MAXIMUM 40 AND NOT GREATER THAN (3.01h)</v>
      </c>
    </row>
    <row r="453" spans="1:24" ht="13.5" customHeight="1">
      <c r="A453" t="s">
        <v>2165</v>
      </c>
      <c r="B453" t="s">
        <v>2209</v>
      </c>
      <c r="E453" s="118" t="s">
        <v>4696</v>
      </c>
      <c r="H453" s="206" t="str">
        <f t="shared" si="75"/>
        <v>(3.03h) In the last 12 months, how many &lt;b&gt;[Pharmacy technicians]&lt;/b&gt; have left the facility permanently?</v>
      </c>
      <c r="I453" s="213" t="str">
        <f t="shared" si="74"/>
        <v>integer</v>
      </c>
      <c r="K453" s="116" t="s">
        <v>2443</v>
      </c>
      <c r="L453" s="118" t="str">
        <f t="shared" ref="L453:L516" si="76">IF(K453="yes",("Sorry, question "&amp;LEFT(E453, 7)&amp;" is required!"),"")</f>
        <v>Sorry, question (3.03h) is required!</v>
      </c>
      <c r="M453" s="113" t="s">
        <v>3592</v>
      </c>
      <c r="N453" t="s">
        <v>3743</v>
      </c>
    </row>
    <row r="454" spans="1:24" ht="13.5" customHeight="1">
      <c r="A454" t="s">
        <v>2165</v>
      </c>
      <c r="B454" t="s">
        <v>2210</v>
      </c>
      <c r="E454" s="118" t="s">
        <v>4697</v>
      </c>
      <c r="H454" s="206" t="str">
        <f t="shared" si="75"/>
        <v>(3.04h) How many &lt;b&gt;[Pharmacy technicians]&lt;/b&gt; work regularly in this facility without being in an authorized position?</v>
      </c>
      <c r="I454" s="213" t="str">
        <f t="shared" si="74"/>
        <v>integer</v>
      </c>
      <c r="K454" s="116" t="s">
        <v>2443</v>
      </c>
      <c r="L454" s="118" t="str">
        <f t="shared" si="76"/>
        <v>Sorry, question (3.04h) is required!</v>
      </c>
      <c r="M454" s="113" t="s">
        <v>3592</v>
      </c>
      <c r="N454" t="s">
        <v>3744</v>
      </c>
    </row>
    <row r="455" spans="1:24" ht="13.5" customHeight="1">
      <c r="A455" t="s">
        <v>2165</v>
      </c>
      <c r="B455" t="s">
        <v>2211</v>
      </c>
      <c r="E455" s="118" t="s">
        <v>4698</v>
      </c>
      <c r="H455" s="206" t="str">
        <f t="shared" si="75"/>
        <v>(3.05h) In the last 12 months, how many &lt;b&gt;[Pharmacy technicians]&lt;/b&gt; have been hired?</v>
      </c>
      <c r="I455" s="213" t="str">
        <f t="shared" si="74"/>
        <v>integer</v>
      </c>
      <c r="K455" s="116" t="s">
        <v>2443</v>
      </c>
      <c r="L455" s="118" t="str">
        <f t="shared" si="76"/>
        <v>Sorry, question (3.05h) is required!</v>
      </c>
      <c r="M455" s="113" t="s">
        <v>3592</v>
      </c>
      <c r="N455" t="s">
        <v>3745</v>
      </c>
    </row>
    <row r="456" spans="1:24" ht="13.5" customHeight="1">
      <c r="A456" t="s">
        <v>2170</v>
      </c>
      <c r="B456" t="s">
        <v>2212</v>
      </c>
      <c r="E456" s="118" t="s">
        <v>2652</v>
      </c>
      <c r="H456" s="206" t="str">
        <f t="shared" si="75"/>
        <v>(3.06h) Is this category of worker difficult to keep staffed?</v>
      </c>
      <c r="I456" s="213" t="str">
        <f t="shared" si="74"/>
        <v>select_one yesno</v>
      </c>
      <c r="J456" s="106" t="s">
        <v>4457</v>
      </c>
      <c r="K456" s="116" t="s">
        <v>2443</v>
      </c>
      <c r="L456" s="118" t="str">
        <f t="shared" si="76"/>
        <v>Sorry, question (3.06h) is required!</v>
      </c>
    </row>
    <row r="457" spans="1:24" ht="13.5" customHeight="1">
      <c r="A457" t="s">
        <v>2166</v>
      </c>
      <c r="L457" s="118" t="str">
        <f t="shared" si="76"/>
        <v/>
      </c>
      <c r="X457" t="s">
        <v>3032</v>
      </c>
    </row>
    <row r="458" spans="1:24" ht="13.5" customHeight="1">
      <c r="A458" t="s">
        <v>2164</v>
      </c>
      <c r="B458" s="1" t="s">
        <v>4757</v>
      </c>
      <c r="J458" s="106" t="s">
        <v>13</v>
      </c>
      <c r="L458" s="118" t="str">
        <f t="shared" si="76"/>
        <v/>
      </c>
      <c r="X458" t="s">
        <v>3032</v>
      </c>
    </row>
    <row r="459" spans="1:24" ht="13.5" customHeight="1">
      <c r="A459" t="s">
        <v>17</v>
      </c>
      <c r="B459" t="s">
        <v>2660</v>
      </c>
      <c r="E459" s="130"/>
      <c r="F459" s="130" t="s">
        <v>4132</v>
      </c>
      <c r="I459" s="213" t="str">
        <f t="shared" si="74"/>
        <v>note</v>
      </c>
      <c r="L459" s="118" t="str">
        <f t="shared" si="76"/>
        <v/>
      </c>
    </row>
    <row r="460" spans="1:24" ht="13.5" customHeight="1">
      <c r="A460" t="s">
        <v>2165</v>
      </c>
      <c r="B460" t="s">
        <v>2213</v>
      </c>
      <c r="E460" s="132" t="s">
        <v>4699</v>
      </c>
      <c r="H460" s="206" t="str">
        <f t="shared" ref="H460:H465" si="77">E460</f>
        <v>(3.01i) How many authorized positions are there in the facility for &lt;b&gt;[Pharmacy assistants]&lt;/b&gt;?</v>
      </c>
      <c r="I460" s="213" t="str">
        <f t="shared" si="74"/>
        <v>integer</v>
      </c>
      <c r="K460" s="116" t="s">
        <v>2443</v>
      </c>
      <c r="L460" s="118" t="str">
        <f t="shared" si="76"/>
        <v>Sorry, question (3.01i) is required!</v>
      </c>
      <c r="M460" s="113" t="s">
        <v>3591</v>
      </c>
      <c r="N460" t="s">
        <v>3746</v>
      </c>
    </row>
    <row r="461" spans="1:24" ht="13.5" customHeight="1">
      <c r="A461" t="s">
        <v>2165</v>
      </c>
      <c r="B461" t="s">
        <v>2214</v>
      </c>
      <c r="E461" s="118" t="s">
        <v>4700</v>
      </c>
      <c r="H461" s="206" t="str">
        <f t="shared" si="77"/>
        <v>(3.02i) How many authorized positions for &lt;b&gt;[Pharmacy assistants]&lt;/b&gt; are currently filled?</v>
      </c>
      <c r="I461" s="213" t="str">
        <f t="shared" si="74"/>
        <v>integer</v>
      </c>
      <c r="K461" s="116" t="s">
        <v>2443</v>
      </c>
      <c r="L461" s="118" t="str">
        <f t="shared" si="76"/>
        <v>Sorry, question (3.02i) is required!</v>
      </c>
      <c r="M461" s="113" t="s">
        <v>3628</v>
      </c>
      <c r="N461" t="str">
        <f>"(3.02i) MAXIMUM 40 AND NOT GREATER THAN (3.01"&amp;RIGHT(B460,1)&amp;")"</f>
        <v>(3.02i) MAXIMUM 40 AND NOT GREATER THAN (3.01i)</v>
      </c>
    </row>
    <row r="462" spans="1:24" ht="13.5" customHeight="1">
      <c r="A462" t="s">
        <v>2165</v>
      </c>
      <c r="B462" t="s">
        <v>2215</v>
      </c>
      <c r="E462" s="118" t="s">
        <v>4701</v>
      </c>
      <c r="H462" s="206" t="str">
        <f t="shared" si="77"/>
        <v>(3.03i) In the last 12 months, how many &lt;b&gt;[Pharmacy assistants]&lt;/b&gt; have left the facility permanently?</v>
      </c>
      <c r="I462" s="213" t="str">
        <f t="shared" si="74"/>
        <v>integer</v>
      </c>
      <c r="K462" s="116" t="s">
        <v>2443</v>
      </c>
      <c r="L462" s="118" t="str">
        <f t="shared" si="76"/>
        <v>Sorry, question (3.03i) is required!</v>
      </c>
      <c r="M462" s="113" t="s">
        <v>3592</v>
      </c>
      <c r="N462" t="s">
        <v>3747</v>
      </c>
    </row>
    <row r="463" spans="1:24" ht="13.5" customHeight="1">
      <c r="A463" t="s">
        <v>2165</v>
      </c>
      <c r="B463" t="s">
        <v>2216</v>
      </c>
      <c r="E463" s="118" t="s">
        <v>4702</v>
      </c>
      <c r="H463" s="206" t="str">
        <f t="shared" si="77"/>
        <v>(3.04i) How many &lt;b&gt;[Pharmacy assistants]&lt;/b&gt; work regularly in this facility without being in an authorized position?</v>
      </c>
      <c r="I463" s="213" t="str">
        <f t="shared" si="74"/>
        <v>integer</v>
      </c>
      <c r="K463" s="116" t="s">
        <v>2443</v>
      </c>
      <c r="L463" s="118" t="str">
        <f t="shared" si="76"/>
        <v>Sorry, question (3.04i) is required!</v>
      </c>
      <c r="M463" s="113" t="s">
        <v>3592</v>
      </c>
      <c r="N463" t="s">
        <v>3748</v>
      </c>
    </row>
    <row r="464" spans="1:24" ht="13.5" customHeight="1">
      <c r="A464" t="s">
        <v>2165</v>
      </c>
      <c r="B464" t="s">
        <v>2217</v>
      </c>
      <c r="E464" s="118" t="s">
        <v>4703</v>
      </c>
      <c r="H464" s="206" t="str">
        <f t="shared" si="77"/>
        <v>(3.05i) In the last 12 months, how many &lt;b&gt;[Pharmacy assistants]&lt;/b&gt; have been hired?</v>
      </c>
      <c r="I464" s="213" t="str">
        <f t="shared" si="74"/>
        <v>integer</v>
      </c>
      <c r="K464" s="116" t="s">
        <v>2443</v>
      </c>
      <c r="L464" s="118" t="str">
        <f t="shared" si="76"/>
        <v>Sorry, question (3.05i) is required!</v>
      </c>
      <c r="M464" s="113" t="s">
        <v>3592</v>
      </c>
      <c r="N464" t="s">
        <v>3749</v>
      </c>
    </row>
    <row r="465" spans="1:24" ht="13.5" customHeight="1">
      <c r="A465" t="s">
        <v>2170</v>
      </c>
      <c r="B465" t="s">
        <v>2218</v>
      </c>
      <c r="E465" s="118" t="s">
        <v>2651</v>
      </c>
      <c r="H465" s="206" t="str">
        <f t="shared" si="77"/>
        <v>(3.06i) Is this category of worker difficult to keep staffed?</v>
      </c>
      <c r="I465" s="213" t="str">
        <f t="shared" si="74"/>
        <v>select_one yesno</v>
      </c>
      <c r="J465" s="106" t="s">
        <v>4457</v>
      </c>
      <c r="K465" s="116" t="s">
        <v>2443</v>
      </c>
      <c r="L465" s="118" t="str">
        <f t="shared" si="76"/>
        <v>Sorry, question (3.06i) is required!</v>
      </c>
    </row>
    <row r="466" spans="1:24" ht="13.5" customHeight="1">
      <c r="A466" t="s">
        <v>2166</v>
      </c>
      <c r="L466" s="118" t="str">
        <f t="shared" si="76"/>
        <v/>
      </c>
      <c r="X466" t="s">
        <v>3032</v>
      </c>
    </row>
    <row r="467" spans="1:24" ht="13.5" customHeight="1">
      <c r="A467" t="s">
        <v>2164</v>
      </c>
      <c r="B467" s="1" t="s">
        <v>4758</v>
      </c>
      <c r="J467" s="106" t="s">
        <v>13</v>
      </c>
      <c r="L467" s="118" t="str">
        <f t="shared" si="76"/>
        <v/>
      </c>
      <c r="X467" t="s">
        <v>3032</v>
      </c>
    </row>
    <row r="468" spans="1:24" ht="13.5" customHeight="1">
      <c r="A468" t="s">
        <v>17</v>
      </c>
      <c r="B468" t="s">
        <v>2661</v>
      </c>
      <c r="E468" s="130"/>
      <c r="F468" s="130" t="s">
        <v>4132</v>
      </c>
      <c r="I468" s="213" t="str">
        <f t="shared" si="74"/>
        <v>note</v>
      </c>
      <c r="L468" s="118" t="str">
        <f t="shared" si="76"/>
        <v/>
      </c>
    </row>
    <row r="469" spans="1:24" ht="13.5" customHeight="1">
      <c r="A469" t="s">
        <v>2165</v>
      </c>
      <c r="B469" t="s">
        <v>2219</v>
      </c>
      <c r="E469" s="132" t="s">
        <v>4704</v>
      </c>
      <c r="H469" s="206" t="str">
        <f t="shared" ref="H469:H474" si="78">E469</f>
        <v>(3.01j) How many authorized positions are there in the facility for &lt;b&gt;[Lab technologists]&lt;/b&gt;?</v>
      </c>
      <c r="I469" s="213" t="str">
        <f t="shared" si="74"/>
        <v>integer</v>
      </c>
      <c r="K469" s="116" t="s">
        <v>2443</v>
      </c>
      <c r="L469" s="118" t="str">
        <f t="shared" si="76"/>
        <v>Sorry, question (3.01j) is required!</v>
      </c>
      <c r="M469" s="113" t="s">
        <v>3591</v>
      </c>
      <c r="N469" t="s">
        <v>3750</v>
      </c>
    </row>
    <row r="470" spans="1:24" ht="13.5" customHeight="1">
      <c r="A470" t="s">
        <v>2165</v>
      </c>
      <c r="B470" t="s">
        <v>2220</v>
      </c>
      <c r="E470" s="118" t="s">
        <v>4705</v>
      </c>
      <c r="H470" s="206" t="str">
        <f t="shared" si="78"/>
        <v>(3.02j) How many authorized positions for &lt;b&gt;[Lab technologists]&lt;/b&gt; are currently filled?</v>
      </c>
      <c r="I470" s="213" t="str">
        <f t="shared" si="74"/>
        <v>integer</v>
      </c>
      <c r="K470" s="116" t="s">
        <v>2443</v>
      </c>
      <c r="L470" s="118" t="str">
        <f t="shared" si="76"/>
        <v>Sorry, question (3.02j) is required!</v>
      </c>
      <c r="M470" s="113" t="s">
        <v>3629</v>
      </c>
      <c r="N470" t="str">
        <f>"(3.02j) MAXIMUM 40 AND NOT GREATER THAN (3.01"&amp;RIGHT(B469,1)&amp;")"</f>
        <v>(3.02j) MAXIMUM 40 AND NOT GREATER THAN (3.01j)</v>
      </c>
    </row>
    <row r="471" spans="1:24" ht="13.5" customHeight="1">
      <c r="A471" t="s">
        <v>2165</v>
      </c>
      <c r="B471" t="s">
        <v>2221</v>
      </c>
      <c r="E471" s="118" t="s">
        <v>4706</v>
      </c>
      <c r="H471" s="206" t="str">
        <f t="shared" si="78"/>
        <v>(3.03j) In the last 12 months, how many &lt;b&gt;[Lab technologists]&lt;/b&gt; have left the facility permanently?</v>
      </c>
      <c r="I471" s="213" t="str">
        <f t="shared" si="74"/>
        <v>integer</v>
      </c>
      <c r="K471" s="116" t="s">
        <v>2443</v>
      </c>
      <c r="L471" s="118" t="str">
        <f t="shared" si="76"/>
        <v>Sorry, question (3.03j) is required!</v>
      </c>
      <c r="M471" s="113" t="s">
        <v>3592</v>
      </c>
      <c r="N471" t="s">
        <v>3752</v>
      </c>
    </row>
    <row r="472" spans="1:24" ht="13.5" customHeight="1">
      <c r="A472" t="s">
        <v>2165</v>
      </c>
      <c r="B472" t="s">
        <v>2222</v>
      </c>
      <c r="E472" s="118" t="s">
        <v>4707</v>
      </c>
      <c r="H472" s="206" t="str">
        <f t="shared" si="78"/>
        <v>(3.04j) How many &lt;b&gt;[Lab technologists]&lt;/b&gt; work regularly in this facility without being in an authorized position?</v>
      </c>
      <c r="I472" s="213" t="str">
        <f t="shared" si="74"/>
        <v>integer</v>
      </c>
      <c r="K472" s="116" t="s">
        <v>2443</v>
      </c>
      <c r="L472" s="118" t="str">
        <f t="shared" si="76"/>
        <v>Sorry, question (3.04j) is required!</v>
      </c>
      <c r="M472" s="113" t="s">
        <v>3592</v>
      </c>
      <c r="N472" t="s">
        <v>3751</v>
      </c>
    </row>
    <row r="473" spans="1:24" ht="13.5" customHeight="1">
      <c r="A473" t="s">
        <v>2165</v>
      </c>
      <c r="B473" t="s">
        <v>2223</v>
      </c>
      <c r="E473" s="118" t="s">
        <v>4708</v>
      </c>
      <c r="H473" s="206" t="str">
        <f t="shared" si="78"/>
        <v>(3.05j) In the last 12 months, how many &lt;b&gt;[Lab technologists]&lt;/b&gt; have been hired?</v>
      </c>
      <c r="I473" s="213" t="str">
        <f t="shared" si="74"/>
        <v>integer</v>
      </c>
      <c r="K473" s="116" t="s">
        <v>2443</v>
      </c>
      <c r="L473" s="118" t="str">
        <f t="shared" si="76"/>
        <v>Sorry, question (3.05j) is required!</v>
      </c>
      <c r="M473" s="113" t="s">
        <v>3592</v>
      </c>
      <c r="N473" t="s">
        <v>3753</v>
      </c>
    </row>
    <row r="474" spans="1:24" ht="13.5" customHeight="1">
      <c r="A474" t="s">
        <v>2170</v>
      </c>
      <c r="B474" t="s">
        <v>2224</v>
      </c>
      <c r="E474" s="118" t="s">
        <v>2650</v>
      </c>
      <c r="H474" s="206" t="str">
        <f t="shared" si="78"/>
        <v>(3.06j) Is this category of worker difficult to keep staffed?</v>
      </c>
      <c r="I474" s="213" t="str">
        <f t="shared" si="74"/>
        <v>select_one yesno</v>
      </c>
      <c r="J474" s="106" t="s">
        <v>4457</v>
      </c>
      <c r="K474" s="116" t="s">
        <v>2443</v>
      </c>
      <c r="L474" s="118" t="str">
        <f t="shared" si="76"/>
        <v>Sorry, question (3.06j) is required!</v>
      </c>
    </row>
    <row r="475" spans="1:24" ht="13.5" customHeight="1">
      <c r="A475" t="s">
        <v>2166</v>
      </c>
      <c r="L475" s="118" t="str">
        <f t="shared" si="76"/>
        <v/>
      </c>
      <c r="X475" t="s">
        <v>3032</v>
      </c>
    </row>
    <row r="476" spans="1:24" ht="13.5" customHeight="1">
      <c r="A476" t="s">
        <v>2164</v>
      </c>
      <c r="B476" s="1" t="s">
        <v>4759</v>
      </c>
      <c r="J476" s="106" t="s">
        <v>13</v>
      </c>
      <c r="L476" s="118" t="str">
        <f t="shared" si="76"/>
        <v/>
      </c>
      <c r="X476" t="s">
        <v>3032</v>
      </c>
    </row>
    <row r="477" spans="1:24" ht="13.5" customHeight="1">
      <c r="A477" t="s">
        <v>17</v>
      </c>
      <c r="B477" t="s">
        <v>2662</v>
      </c>
      <c r="E477" s="130"/>
      <c r="F477" s="130" t="s">
        <v>4132</v>
      </c>
      <c r="I477" s="213" t="str">
        <f t="shared" si="74"/>
        <v>note</v>
      </c>
      <c r="L477" s="118" t="str">
        <f t="shared" si="76"/>
        <v/>
      </c>
    </row>
    <row r="478" spans="1:24" ht="13.5" customHeight="1">
      <c r="A478" t="s">
        <v>2165</v>
      </c>
      <c r="B478" t="s">
        <v>2225</v>
      </c>
      <c r="E478" s="132" t="s">
        <v>4709</v>
      </c>
      <c r="H478" s="206" t="str">
        <f t="shared" ref="H478:H483" si="79">E478</f>
        <v>(3.01k) How many authorized positions are there in the facility for &lt;b&gt;[Lab technicians]&lt;/b&gt;?</v>
      </c>
      <c r="I478" s="213" t="str">
        <f t="shared" si="74"/>
        <v>integer</v>
      </c>
      <c r="K478" s="116" t="s">
        <v>2443</v>
      </c>
      <c r="L478" s="118" t="str">
        <f t="shared" si="76"/>
        <v>Sorry, question (3.01k) is required!</v>
      </c>
      <c r="M478" s="113" t="s">
        <v>3591</v>
      </c>
      <c r="N478" t="s">
        <v>3754</v>
      </c>
    </row>
    <row r="479" spans="1:24" ht="13.5" customHeight="1">
      <c r="A479" t="s">
        <v>2165</v>
      </c>
      <c r="B479" t="s">
        <v>2226</v>
      </c>
      <c r="E479" s="118" t="s">
        <v>4710</v>
      </c>
      <c r="H479" s="206" t="str">
        <f t="shared" si="79"/>
        <v>(3.02k) How many authorized positions for &lt;b&gt;[Lab technicians]&lt;/b&gt; are currently filled?</v>
      </c>
      <c r="I479" s="213" t="str">
        <f t="shared" si="74"/>
        <v>integer</v>
      </c>
      <c r="K479" s="116" t="s">
        <v>2443</v>
      </c>
      <c r="L479" s="118" t="str">
        <f t="shared" si="76"/>
        <v>Sorry, question (3.02k) is required!</v>
      </c>
      <c r="M479" s="113" t="s">
        <v>3630</v>
      </c>
      <c r="N479" t="str">
        <f>"(3.02k) MAXIMUM 40 AND NOT GREATER THAN (3.01"&amp;RIGHT(B478,1)&amp;")"</f>
        <v>(3.02k) MAXIMUM 40 AND NOT GREATER THAN (3.01k)</v>
      </c>
    </row>
    <row r="480" spans="1:24" ht="13.5" customHeight="1">
      <c r="A480" t="s">
        <v>2165</v>
      </c>
      <c r="B480" t="s">
        <v>2227</v>
      </c>
      <c r="E480" s="118" t="s">
        <v>4711</v>
      </c>
      <c r="H480" s="206" t="str">
        <f t="shared" si="79"/>
        <v>(3.03k) In the last 12 months, how many &lt;b&gt;[Lab technicians]&lt;/b&gt; have left the facility permanently?</v>
      </c>
      <c r="I480" s="213" t="str">
        <f t="shared" si="74"/>
        <v>integer</v>
      </c>
      <c r="K480" s="116" t="s">
        <v>2443</v>
      </c>
      <c r="L480" s="118" t="str">
        <f t="shared" si="76"/>
        <v>Sorry, question (3.03k) is required!</v>
      </c>
      <c r="M480" s="113" t="s">
        <v>3592</v>
      </c>
      <c r="N480" t="s">
        <v>3756</v>
      </c>
    </row>
    <row r="481" spans="1:24" ht="13.5" customHeight="1">
      <c r="A481" t="s">
        <v>2165</v>
      </c>
      <c r="B481" t="s">
        <v>2228</v>
      </c>
      <c r="E481" s="118" t="s">
        <v>4712</v>
      </c>
      <c r="H481" s="206" t="str">
        <f t="shared" si="79"/>
        <v>(3.04k) How many &lt;b&gt;[Lab technicians]&lt;/b&gt; work regularly in this facility without being in an authorized position?</v>
      </c>
      <c r="I481" s="213" t="str">
        <f t="shared" si="74"/>
        <v>integer</v>
      </c>
      <c r="K481" s="116" t="s">
        <v>2443</v>
      </c>
      <c r="L481" s="118" t="str">
        <f t="shared" si="76"/>
        <v>Sorry, question (3.04k) is required!</v>
      </c>
      <c r="M481" s="113" t="s">
        <v>3592</v>
      </c>
      <c r="N481" t="s">
        <v>3755</v>
      </c>
    </row>
    <row r="482" spans="1:24" ht="13.5" customHeight="1">
      <c r="A482" t="s">
        <v>2165</v>
      </c>
      <c r="B482" t="s">
        <v>2229</v>
      </c>
      <c r="E482" s="118" t="s">
        <v>4713</v>
      </c>
      <c r="H482" s="206" t="str">
        <f t="shared" si="79"/>
        <v>(3.05k) In the last 12 months, how many &lt;b&gt;[Lab technicians]&lt;/b&gt; have been hired?</v>
      </c>
      <c r="I482" s="213" t="str">
        <f t="shared" si="74"/>
        <v>integer</v>
      </c>
      <c r="K482" s="116" t="s">
        <v>2443</v>
      </c>
      <c r="L482" s="118" t="str">
        <f t="shared" si="76"/>
        <v>Sorry, question (3.05k) is required!</v>
      </c>
      <c r="M482" s="113" t="s">
        <v>3592</v>
      </c>
      <c r="N482" t="s">
        <v>3757</v>
      </c>
    </row>
    <row r="483" spans="1:24" ht="13.5" customHeight="1">
      <c r="A483" t="s">
        <v>2170</v>
      </c>
      <c r="B483" t="s">
        <v>2230</v>
      </c>
      <c r="E483" s="118" t="s">
        <v>2649</v>
      </c>
      <c r="H483" s="206" t="str">
        <f t="shared" si="79"/>
        <v>(3.06k) Is this category of worker difficult to keep staffed?</v>
      </c>
      <c r="I483" s="213" t="str">
        <f t="shared" si="74"/>
        <v>select_one yesno</v>
      </c>
      <c r="J483" s="106" t="s">
        <v>4457</v>
      </c>
      <c r="K483" s="116" t="s">
        <v>2443</v>
      </c>
      <c r="L483" s="118" t="str">
        <f t="shared" si="76"/>
        <v>Sorry, question (3.06k) is required!</v>
      </c>
    </row>
    <row r="484" spans="1:24" ht="13.5" customHeight="1">
      <c r="A484" t="s">
        <v>2166</v>
      </c>
      <c r="L484" s="118" t="str">
        <f t="shared" si="76"/>
        <v/>
      </c>
      <c r="X484" t="s">
        <v>3032</v>
      </c>
    </row>
    <row r="485" spans="1:24" ht="13.5" customHeight="1">
      <c r="A485" t="s">
        <v>2164</v>
      </c>
      <c r="B485" s="1" t="s">
        <v>4760</v>
      </c>
      <c r="J485" s="106" t="s">
        <v>13</v>
      </c>
      <c r="L485" s="118" t="str">
        <f t="shared" si="76"/>
        <v/>
      </c>
      <c r="X485" t="s">
        <v>3032</v>
      </c>
    </row>
    <row r="486" spans="1:24" ht="13.5" customHeight="1">
      <c r="A486" t="s">
        <v>17</v>
      </c>
      <c r="B486" t="s">
        <v>2663</v>
      </c>
      <c r="E486" s="130"/>
      <c r="F486" s="130" t="s">
        <v>4132</v>
      </c>
      <c r="I486" s="213" t="str">
        <f t="shared" si="74"/>
        <v>note</v>
      </c>
      <c r="L486" s="118" t="str">
        <f t="shared" si="76"/>
        <v/>
      </c>
    </row>
    <row r="487" spans="1:24" ht="13.5" customHeight="1">
      <c r="A487" t="s">
        <v>2165</v>
      </c>
      <c r="B487" t="s">
        <v>2231</v>
      </c>
      <c r="E487" s="132" t="s">
        <v>4714</v>
      </c>
      <c r="H487" s="206" t="str">
        <f t="shared" ref="H487:H492" si="80">E487</f>
        <v>(3.01l) How many authorized positions are there in the facility for &lt;b&gt;[Classified Daily Employees (CDEs)]&lt;/b&gt;?</v>
      </c>
      <c r="I487" s="213" t="str">
        <f t="shared" si="74"/>
        <v>integer</v>
      </c>
      <c r="K487" s="116" t="s">
        <v>2443</v>
      </c>
      <c r="L487" s="118" t="str">
        <f t="shared" si="76"/>
        <v>Sorry, question (3.01l) is required!</v>
      </c>
      <c r="M487" s="113" t="s">
        <v>3591</v>
      </c>
      <c r="N487" t="s">
        <v>3758</v>
      </c>
    </row>
    <row r="488" spans="1:24" ht="13.5" customHeight="1">
      <c r="A488" t="s">
        <v>2165</v>
      </c>
      <c r="B488" t="s">
        <v>2232</v>
      </c>
      <c r="E488" s="118" t="s">
        <v>4715</v>
      </c>
      <c r="H488" s="206" t="str">
        <f t="shared" si="80"/>
        <v>(3.02l) How many authorized positions for &lt;b&gt;[Classified Daily Employees (CDEs)]&lt;/b&gt; are currently filled?</v>
      </c>
      <c r="I488" s="213" t="str">
        <f t="shared" si="74"/>
        <v>integer</v>
      </c>
      <c r="K488" s="116" t="s">
        <v>2443</v>
      </c>
      <c r="L488" s="118" t="str">
        <f t="shared" si="76"/>
        <v>Sorry, question (3.02l) is required!</v>
      </c>
      <c r="M488" s="113" t="s">
        <v>3631</v>
      </c>
      <c r="N488" t="str">
        <f>"(3.02l) MAXIMUM 40 AND NOT GREATER THAN (3.01"&amp;RIGHT(B487,1)&amp;")"</f>
        <v>(3.02l) MAXIMUM 40 AND NOT GREATER THAN (3.01l)</v>
      </c>
    </row>
    <row r="489" spans="1:24" ht="13.5" customHeight="1">
      <c r="A489" t="s">
        <v>2165</v>
      </c>
      <c r="B489" t="s">
        <v>2233</v>
      </c>
      <c r="E489" s="118" t="s">
        <v>4716</v>
      </c>
      <c r="H489" s="206" t="str">
        <f t="shared" si="80"/>
        <v>(3.03l) In the last 12 months, how many &lt;b&gt;[Classified Daily Employees (CDEs)]&lt;/b&gt; have left the facility permanently?</v>
      </c>
      <c r="I489" s="213" t="str">
        <f t="shared" si="74"/>
        <v>integer</v>
      </c>
      <c r="K489" s="116" t="s">
        <v>2443</v>
      </c>
      <c r="L489" s="118" t="str">
        <f t="shared" si="76"/>
        <v>Sorry, question (3.03l) is required!</v>
      </c>
      <c r="M489" s="113" t="s">
        <v>3592</v>
      </c>
      <c r="N489" t="s">
        <v>3761</v>
      </c>
    </row>
    <row r="490" spans="1:24" ht="13.5" customHeight="1">
      <c r="A490" t="s">
        <v>2165</v>
      </c>
      <c r="B490" t="s">
        <v>2234</v>
      </c>
      <c r="E490" s="118" t="s">
        <v>4717</v>
      </c>
      <c r="H490" s="206" t="str">
        <f t="shared" si="80"/>
        <v>(3.04l) How many &lt;b&gt;[Classified Daily Employees (CDEs)]&lt;/b&gt; work regularly in this facility without being in an authorized position?</v>
      </c>
      <c r="I490" s="213" t="str">
        <f t="shared" si="74"/>
        <v>integer</v>
      </c>
      <c r="K490" s="116" t="s">
        <v>2443</v>
      </c>
      <c r="L490" s="118" t="str">
        <f t="shared" si="76"/>
        <v>Sorry, question (3.04l) is required!</v>
      </c>
      <c r="M490" s="113" t="s">
        <v>3592</v>
      </c>
      <c r="N490" t="s">
        <v>3760</v>
      </c>
    </row>
    <row r="491" spans="1:24" ht="13.5" customHeight="1">
      <c r="A491" t="s">
        <v>2165</v>
      </c>
      <c r="B491" t="s">
        <v>2235</v>
      </c>
      <c r="E491" s="118" t="s">
        <v>4718</v>
      </c>
      <c r="H491" s="206" t="str">
        <f t="shared" si="80"/>
        <v>(3.05l) In the last 12 months, how many &lt;b&gt;[Classified Daily Employees (CDEs)]&lt;/b&gt; have been hired?</v>
      </c>
      <c r="I491" s="213" t="str">
        <f t="shared" si="74"/>
        <v>integer</v>
      </c>
      <c r="K491" s="116" t="s">
        <v>2443</v>
      </c>
      <c r="L491" s="118" t="str">
        <f t="shared" si="76"/>
        <v>Sorry, question (3.05l) is required!</v>
      </c>
      <c r="M491" s="113" t="s">
        <v>3592</v>
      </c>
      <c r="N491" t="s">
        <v>3759</v>
      </c>
    </row>
    <row r="492" spans="1:24" ht="13.5" customHeight="1">
      <c r="A492" t="s">
        <v>2170</v>
      </c>
      <c r="B492" t="s">
        <v>2236</v>
      </c>
      <c r="E492" s="118" t="s">
        <v>2648</v>
      </c>
      <c r="H492" s="206" t="str">
        <f t="shared" si="80"/>
        <v>(3.06l) Is this category of worker difficult to keep staffed?</v>
      </c>
      <c r="I492" s="213" t="str">
        <f t="shared" si="74"/>
        <v>select_one yesno</v>
      </c>
      <c r="J492" s="106" t="s">
        <v>4457</v>
      </c>
      <c r="K492" s="116" t="s">
        <v>2443</v>
      </c>
      <c r="L492" s="118" t="str">
        <f t="shared" si="76"/>
        <v>Sorry, question (3.06l) is required!</v>
      </c>
    </row>
    <row r="493" spans="1:24" ht="13.5" customHeight="1">
      <c r="A493" t="s">
        <v>2166</v>
      </c>
      <c r="L493" s="118" t="str">
        <f t="shared" si="76"/>
        <v/>
      </c>
      <c r="X493" t="s">
        <v>3032</v>
      </c>
    </row>
    <row r="494" spans="1:24" ht="13.5" customHeight="1">
      <c r="A494" t="s">
        <v>2164</v>
      </c>
      <c r="B494" s="1" t="s">
        <v>4761</v>
      </c>
      <c r="J494" s="106" t="s">
        <v>13</v>
      </c>
      <c r="L494" s="118" t="str">
        <f t="shared" si="76"/>
        <v/>
      </c>
      <c r="X494" t="s">
        <v>3032</v>
      </c>
    </row>
    <row r="495" spans="1:24" ht="13.5" customHeight="1">
      <c r="A495" t="s">
        <v>17</v>
      </c>
      <c r="B495" t="s">
        <v>2664</v>
      </c>
      <c r="E495" s="130"/>
      <c r="F495" s="130" t="s">
        <v>4132</v>
      </c>
      <c r="I495" s="213" t="str">
        <f t="shared" si="74"/>
        <v>note</v>
      </c>
      <c r="L495" s="118" t="str">
        <f t="shared" si="76"/>
        <v/>
      </c>
    </row>
    <row r="496" spans="1:24" ht="13.5" customHeight="1">
      <c r="A496" t="s">
        <v>2165</v>
      </c>
      <c r="B496" t="s">
        <v>2237</v>
      </c>
      <c r="E496" s="132" t="s">
        <v>4719</v>
      </c>
      <c r="H496" s="206" t="str">
        <f t="shared" ref="H496:H501" si="81">E496</f>
        <v>(3.01m) How many authorized positions are there in the facility for &lt;b&gt;[State Enrolled Nurses]&lt;/b&gt;?</v>
      </c>
      <c r="I496" s="213" t="str">
        <f t="shared" si="74"/>
        <v>integer</v>
      </c>
      <c r="K496" s="116" t="s">
        <v>2443</v>
      </c>
      <c r="L496" s="118" t="str">
        <f t="shared" si="76"/>
        <v>Sorry, question (3.01m) is required!</v>
      </c>
      <c r="M496" s="113" t="s">
        <v>3591</v>
      </c>
      <c r="N496" t="s">
        <v>3762</v>
      </c>
    </row>
    <row r="497" spans="1:24" ht="13.5" customHeight="1">
      <c r="A497" t="s">
        <v>2165</v>
      </c>
      <c r="B497" t="s">
        <v>2238</v>
      </c>
      <c r="E497" s="118" t="s">
        <v>4720</v>
      </c>
      <c r="H497" s="206" t="str">
        <f t="shared" si="81"/>
        <v>(3.02m) How many authorized positions for &lt;b&gt;[State Enrolled Nurses]&lt;/b&gt; are currently filled?</v>
      </c>
      <c r="I497" s="213" t="str">
        <f t="shared" si="74"/>
        <v>integer</v>
      </c>
      <c r="K497" s="116" t="s">
        <v>2443</v>
      </c>
      <c r="L497" s="118" t="str">
        <f t="shared" si="76"/>
        <v>Sorry, question (3.02m) is required!</v>
      </c>
      <c r="M497" s="113" t="s">
        <v>3632</v>
      </c>
      <c r="N497" t="str">
        <f>"(3.02m) MAXIMUM 40 AND NOT GREATER THAN (3.01"&amp;RIGHT(B496,1)&amp;")"</f>
        <v>(3.02m) MAXIMUM 40 AND NOT GREATER THAN (3.01m)</v>
      </c>
    </row>
    <row r="498" spans="1:24" ht="13.5" customHeight="1">
      <c r="A498" t="s">
        <v>2165</v>
      </c>
      <c r="B498" t="s">
        <v>2239</v>
      </c>
      <c r="E498" s="118" t="s">
        <v>4721</v>
      </c>
      <c r="H498" s="206" t="str">
        <f t="shared" si="81"/>
        <v>(3.03m) In the last 12 months, how many &lt;b&gt;[State Enrolled Nurses]&lt;/b&gt; have left the facility permanently?</v>
      </c>
      <c r="I498" s="213" t="str">
        <f t="shared" si="74"/>
        <v>integer</v>
      </c>
      <c r="K498" s="116" t="s">
        <v>2443</v>
      </c>
      <c r="L498" s="118" t="str">
        <f t="shared" si="76"/>
        <v>Sorry, question (3.03m) is required!</v>
      </c>
      <c r="M498" s="113" t="s">
        <v>3592</v>
      </c>
      <c r="N498" t="s">
        <v>3763</v>
      </c>
    </row>
    <row r="499" spans="1:24" ht="13.5" customHeight="1">
      <c r="A499" t="s">
        <v>2165</v>
      </c>
      <c r="B499" t="s">
        <v>2240</v>
      </c>
      <c r="E499" s="118" t="s">
        <v>4722</v>
      </c>
      <c r="H499" s="206" t="str">
        <f t="shared" si="81"/>
        <v>(3.04m) How many &lt;b&gt;[State Enrolled Nurses]&lt;/b&gt; work regularly in this facility without being in an authorized position?</v>
      </c>
      <c r="I499" s="213" t="str">
        <f t="shared" si="74"/>
        <v>integer</v>
      </c>
      <c r="K499" s="116" t="s">
        <v>2443</v>
      </c>
      <c r="L499" s="118" t="str">
        <f t="shared" si="76"/>
        <v>Sorry, question (3.04m) is required!</v>
      </c>
      <c r="M499" s="113" t="s">
        <v>3592</v>
      </c>
      <c r="N499" t="s">
        <v>3764</v>
      </c>
    </row>
    <row r="500" spans="1:24" ht="13.5" customHeight="1">
      <c r="A500" t="s">
        <v>2165</v>
      </c>
      <c r="B500" t="s">
        <v>2241</v>
      </c>
      <c r="E500" s="118" t="s">
        <v>4723</v>
      </c>
      <c r="H500" s="206" t="str">
        <f t="shared" si="81"/>
        <v>(3.05m) In the last 12 months, how many &lt;b&gt;[State Enrolled Nurses]&lt;/b&gt; have been hired?</v>
      </c>
      <c r="I500" s="213" t="str">
        <f t="shared" si="74"/>
        <v>integer</v>
      </c>
      <c r="K500" s="116" t="s">
        <v>2443</v>
      </c>
      <c r="L500" s="118" t="str">
        <f t="shared" si="76"/>
        <v>Sorry, question (3.05m) is required!</v>
      </c>
      <c r="M500" s="113" t="s">
        <v>3592</v>
      </c>
      <c r="N500" t="s">
        <v>3765</v>
      </c>
    </row>
    <row r="501" spans="1:24" ht="13.5" customHeight="1">
      <c r="A501" t="s">
        <v>2170</v>
      </c>
      <c r="B501" t="s">
        <v>2242</v>
      </c>
      <c r="E501" s="118" t="s">
        <v>2647</v>
      </c>
      <c r="H501" s="206" t="str">
        <f t="shared" si="81"/>
        <v>(3.06m) Is this category of worker difficult to keep staffed?</v>
      </c>
      <c r="I501" s="213" t="str">
        <f t="shared" si="74"/>
        <v>select_one yesno</v>
      </c>
      <c r="J501" s="106" t="s">
        <v>4457</v>
      </c>
      <c r="K501" s="116" t="s">
        <v>2443</v>
      </c>
      <c r="L501" s="118" t="str">
        <f t="shared" si="76"/>
        <v>Sorry, question (3.06m) is required!</v>
      </c>
    </row>
    <row r="502" spans="1:24" ht="13.5" customHeight="1">
      <c r="A502" t="s">
        <v>2166</v>
      </c>
      <c r="L502" s="118" t="str">
        <f t="shared" si="76"/>
        <v/>
      </c>
      <c r="X502" t="s">
        <v>3032</v>
      </c>
    </row>
    <row r="503" spans="1:24" ht="13.5" customHeight="1">
      <c r="A503" t="s">
        <v>2164</v>
      </c>
      <c r="B503" s="1" t="s">
        <v>4762</v>
      </c>
      <c r="J503" s="106" t="s">
        <v>13</v>
      </c>
      <c r="L503" s="118" t="str">
        <f t="shared" si="76"/>
        <v/>
      </c>
      <c r="X503" t="s">
        <v>3032</v>
      </c>
    </row>
    <row r="504" spans="1:24" ht="13.5" customHeight="1">
      <c r="A504" t="s">
        <v>17</v>
      </c>
      <c r="B504" t="s">
        <v>2665</v>
      </c>
      <c r="E504" s="130"/>
      <c r="F504" s="130" t="s">
        <v>4132</v>
      </c>
      <c r="I504" s="213" t="str">
        <f t="shared" si="74"/>
        <v>note</v>
      </c>
      <c r="L504" s="118" t="str">
        <f t="shared" si="76"/>
        <v/>
      </c>
    </row>
    <row r="505" spans="1:24" ht="13.5" customHeight="1">
      <c r="A505" t="s">
        <v>2165</v>
      </c>
      <c r="B505" t="s">
        <v>2243</v>
      </c>
      <c r="E505" s="132" t="s">
        <v>4724</v>
      </c>
      <c r="H505" s="206" t="str">
        <f t="shared" ref="H505:H510" si="82">E505</f>
        <v>(3.01n) How many authorized positions are there in the facility for &lt;b&gt;[State Registered Nurses]&lt;/b&gt;?</v>
      </c>
      <c r="I505" s="213" t="str">
        <f t="shared" si="74"/>
        <v>integer</v>
      </c>
      <c r="K505" s="116" t="s">
        <v>2443</v>
      </c>
      <c r="L505" s="118" t="str">
        <f t="shared" si="76"/>
        <v>Sorry, question (3.01n) is required!</v>
      </c>
      <c r="M505" s="113" t="s">
        <v>3591</v>
      </c>
      <c r="N505" t="s">
        <v>3766</v>
      </c>
    </row>
    <row r="506" spans="1:24" ht="13.5" customHeight="1">
      <c r="A506" t="s">
        <v>2165</v>
      </c>
      <c r="B506" t="s">
        <v>2244</v>
      </c>
      <c r="E506" s="118" t="s">
        <v>4725</v>
      </c>
      <c r="H506" s="206" t="str">
        <f t="shared" si="82"/>
        <v>(3.02n) How many authorized positions for &lt;b&gt;[State Registered Nurses]&lt;/b&gt; are currently filled?</v>
      </c>
      <c r="I506" s="213" t="str">
        <f t="shared" si="74"/>
        <v>integer</v>
      </c>
      <c r="K506" s="116" t="s">
        <v>2443</v>
      </c>
      <c r="L506" s="118" t="str">
        <f t="shared" si="76"/>
        <v>Sorry, question (3.02n) is required!</v>
      </c>
      <c r="M506" s="113" t="s">
        <v>3633</v>
      </c>
      <c r="N506" t="str">
        <f>"(3.02n) MAXIMUM 40 AND NOT GREATER THAN (3.01"&amp;RIGHT(B505,1)&amp;")"</f>
        <v>(3.02n) MAXIMUM 40 AND NOT GREATER THAN (3.01n)</v>
      </c>
    </row>
    <row r="507" spans="1:24" ht="13.5" customHeight="1">
      <c r="A507" t="s">
        <v>2165</v>
      </c>
      <c r="B507" t="s">
        <v>2245</v>
      </c>
      <c r="E507" s="118" t="s">
        <v>4726</v>
      </c>
      <c r="H507" s="206" t="str">
        <f t="shared" si="82"/>
        <v>(3.03n) In the last 12 months, how many &lt;b&gt;[State Registered Nurses]&lt;/b&gt; have left the facility permanently?</v>
      </c>
      <c r="I507" s="213" t="str">
        <f t="shared" si="74"/>
        <v>integer</v>
      </c>
      <c r="K507" s="116" t="s">
        <v>2443</v>
      </c>
      <c r="L507" s="118" t="str">
        <f t="shared" si="76"/>
        <v>Sorry, question (3.03n) is required!</v>
      </c>
      <c r="M507" s="113" t="s">
        <v>3592</v>
      </c>
      <c r="N507" t="s">
        <v>3767</v>
      </c>
    </row>
    <row r="508" spans="1:24" ht="13.5" customHeight="1">
      <c r="A508" t="s">
        <v>2165</v>
      </c>
      <c r="B508" t="s">
        <v>2246</v>
      </c>
      <c r="E508" s="118" t="s">
        <v>4727</v>
      </c>
      <c r="H508" s="206" t="str">
        <f t="shared" si="82"/>
        <v>(3.04n) How many &lt;b&gt;[State Registered Nurses]&lt;/b&gt; work regularly in this facility without being in an authorized position?</v>
      </c>
      <c r="I508" s="213" t="str">
        <f t="shared" si="74"/>
        <v>integer</v>
      </c>
      <c r="K508" s="116" t="s">
        <v>2443</v>
      </c>
      <c r="L508" s="118" t="str">
        <f t="shared" si="76"/>
        <v>Sorry, question (3.04n) is required!</v>
      </c>
      <c r="M508" s="113" t="s">
        <v>3592</v>
      </c>
      <c r="N508" t="s">
        <v>3768</v>
      </c>
    </row>
    <row r="509" spans="1:24" ht="13.5" customHeight="1">
      <c r="A509" t="s">
        <v>2165</v>
      </c>
      <c r="B509" t="s">
        <v>2247</v>
      </c>
      <c r="E509" s="118" t="s">
        <v>4728</v>
      </c>
      <c r="H509" s="206" t="str">
        <f t="shared" si="82"/>
        <v>(3.05n) In the last 12 months, how many &lt;b&gt;[State Registered Nurses]&lt;/b&gt; have been hired?</v>
      </c>
      <c r="I509" s="213" t="str">
        <f t="shared" si="74"/>
        <v>integer</v>
      </c>
      <c r="K509" s="116" t="s">
        <v>2443</v>
      </c>
      <c r="L509" s="118" t="str">
        <f t="shared" si="76"/>
        <v>Sorry, question (3.05n) is required!</v>
      </c>
      <c r="M509" s="113" t="s">
        <v>3592</v>
      </c>
      <c r="N509" t="s">
        <v>3769</v>
      </c>
    </row>
    <row r="510" spans="1:24" ht="13.5" customHeight="1">
      <c r="A510" t="s">
        <v>2170</v>
      </c>
      <c r="B510" t="s">
        <v>2248</v>
      </c>
      <c r="E510" s="118" t="s">
        <v>2646</v>
      </c>
      <c r="H510" s="206" t="str">
        <f t="shared" si="82"/>
        <v>(3.06n) Is this category of worker difficult to keep staffed?</v>
      </c>
      <c r="I510" s="213" t="str">
        <f t="shared" si="74"/>
        <v>select_one yesno</v>
      </c>
      <c r="J510" s="106" t="s">
        <v>4457</v>
      </c>
      <c r="K510" s="116" t="s">
        <v>2443</v>
      </c>
      <c r="L510" s="118" t="str">
        <f t="shared" si="76"/>
        <v>Sorry, question (3.06n) is required!</v>
      </c>
    </row>
    <row r="511" spans="1:24" ht="13.5" customHeight="1">
      <c r="A511" t="s">
        <v>2166</v>
      </c>
      <c r="L511" s="118" t="str">
        <f t="shared" si="76"/>
        <v/>
      </c>
      <c r="X511" t="s">
        <v>3032</v>
      </c>
    </row>
    <row r="512" spans="1:24" ht="13.5" customHeight="1">
      <c r="A512" t="s">
        <v>2164</v>
      </c>
      <c r="B512" t="s">
        <v>3123</v>
      </c>
      <c r="J512" s="106" t="s">
        <v>13</v>
      </c>
      <c r="L512" s="118" t="str">
        <f t="shared" si="76"/>
        <v/>
      </c>
      <c r="X512" t="s">
        <v>3032</v>
      </c>
    </row>
    <row r="513" spans="1:24" ht="13.5" customHeight="1">
      <c r="A513" t="s">
        <v>17</v>
      </c>
      <c r="B513" t="s">
        <v>2666</v>
      </c>
      <c r="E513" s="130"/>
      <c r="F513" s="130" t="s">
        <v>4132</v>
      </c>
      <c r="I513" s="213" t="str">
        <f t="shared" ref="I513:I575" si="83">A513</f>
        <v>note</v>
      </c>
      <c r="L513" s="118" t="str">
        <f t="shared" si="76"/>
        <v/>
      </c>
    </row>
    <row r="514" spans="1:24" ht="13.5" customHeight="1">
      <c r="A514" t="s">
        <v>2165</v>
      </c>
      <c r="B514" t="s">
        <v>2249</v>
      </c>
      <c r="E514" s="132" t="s">
        <v>4729</v>
      </c>
      <c r="H514" s="206" t="str">
        <f t="shared" ref="H514:H519" si="84">E514</f>
        <v>(3.01o) How many authorized positions are there in the facility for &lt;b&gt;[State Certified Midwives]&lt;/b&gt;?</v>
      </c>
      <c r="I514" s="213" t="str">
        <f t="shared" si="83"/>
        <v>integer</v>
      </c>
      <c r="K514" s="116" t="s">
        <v>2443</v>
      </c>
      <c r="L514" s="118" t="str">
        <f t="shared" si="76"/>
        <v>Sorry, question (3.01o) is required!</v>
      </c>
      <c r="M514" s="113" t="s">
        <v>3591</v>
      </c>
      <c r="N514" t="s">
        <v>3770</v>
      </c>
    </row>
    <row r="515" spans="1:24" ht="13.5" customHeight="1">
      <c r="A515" t="s">
        <v>2165</v>
      </c>
      <c r="B515" t="s">
        <v>2250</v>
      </c>
      <c r="E515" s="118" t="s">
        <v>4730</v>
      </c>
      <c r="H515" s="206" t="str">
        <f t="shared" si="84"/>
        <v>(3.02o) How many authorized positions for &lt;b&gt;[State Certified Midwives]&lt;/b&gt; are currently filled?</v>
      </c>
      <c r="I515" s="213" t="str">
        <f t="shared" si="83"/>
        <v>integer</v>
      </c>
      <c r="K515" s="116" t="s">
        <v>2443</v>
      </c>
      <c r="L515" s="118" t="str">
        <f t="shared" si="76"/>
        <v>Sorry, question (3.02o) is required!</v>
      </c>
      <c r="M515" s="113" t="s">
        <v>3634</v>
      </c>
      <c r="N515" t="str">
        <f>"(3.02o) MAXIMUM 40 AND NOT GREATER THAN (3.01"&amp;RIGHT(B514,1)&amp;")"</f>
        <v>(3.02o) MAXIMUM 40 AND NOT GREATER THAN (3.01o)</v>
      </c>
    </row>
    <row r="516" spans="1:24" ht="13.5" customHeight="1">
      <c r="A516" t="s">
        <v>2165</v>
      </c>
      <c r="B516" t="s">
        <v>2251</v>
      </c>
      <c r="E516" s="118" t="s">
        <v>4731</v>
      </c>
      <c r="H516" s="206" t="str">
        <f t="shared" si="84"/>
        <v>(3.03o) In the last 12 months, how many &lt;b&gt;[State Certified Midwives]&lt;/b&gt; have left the facility permanently?</v>
      </c>
      <c r="I516" s="213" t="str">
        <f t="shared" si="83"/>
        <v>integer</v>
      </c>
      <c r="K516" s="116" t="s">
        <v>2443</v>
      </c>
      <c r="L516" s="118" t="str">
        <f t="shared" si="76"/>
        <v>Sorry, question (3.03o) is required!</v>
      </c>
      <c r="M516" s="113" t="s">
        <v>3592</v>
      </c>
      <c r="N516" t="s">
        <v>3771</v>
      </c>
    </row>
    <row r="517" spans="1:24" ht="13.5" customHeight="1">
      <c r="A517" t="s">
        <v>2165</v>
      </c>
      <c r="B517" t="s">
        <v>2252</v>
      </c>
      <c r="E517" s="118" t="s">
        <v>4732</v>
      </c>
      <c r="H517" s="206" t="str">
        <f t="shared" si="84"/>
        <v>(3.04o) How many &lt;b&gt;[State Certified Midwives]&lt;/b&gt; work regularly in this facility without being in an authorized position?</v>
      </c>
      <c r="I517" s="213" t="str">
        <f t="shared" si="83"/>
        <v>integer</v>
      </c>
      <c r="K517" s="116" t="s">
        <v>2443</v>
      </c>
      <c r="L517" s="118" t="str">
        <f t="shared" ref="L517:L580" si="85">IF(K517="yes",("Sorry, question "&amp;LEFT(E517, 7)&amp;" is required!"),"")</f>
        <v>Sorry, question (3.04o) is required!</v>
      </c>
      <c r="M517" s="113" t="s">
        <v>3592</v>
      </c>
      <c r="N517" t="s">
        <v>3772</v>
      </c>
    </row>
    <row r="518" spans="1:24" ht="13.5" customHeight="1">
      <c r="A518" t="s">
        <v>2165</v>
      </c>
      <c r="B518" t="s">
        <v>2253</v>
      </c>
      <c r="E518" s="118" t="s">
        <v>4733</v>
      </c>
      <c r="H518" s="206" t="str">
        <f t="shared" si="84"/>
        <v>(3.05o) In the last 12 months, how many &lt;b&gt;[State Certified Midwives]&lt;/b&gt; have been hired?</v>
      </c>
      <c r="I518" s="213" t="str">
        <f t="shared" si="83"/>
        <v>integer</v>
      </c>
      <c r="K518" s="116" t="s">
        <v>2443</v>
      </c>
      <c r="L518" s="118" t="str">
        <f t="shared" si="85"/>
        <v>Sorry, question (3.05o) is required!</v>
      </c>
      <c r="M518" s="113" t="s">
        <v>3592</v>
      </c>
      <c r="N518" t="s">
        <v>3773</v>
      </c>
    </row>
    <row r="519" spans="1:24" ht="13.5" customHeight="1">
      <c r="A519" t="s">
        <v>2170</v>
      </c>
      <c r="B519" t="s">
        <v>2254</v>
      </c>
      <c r="E519" s="118" t="s">
        <v>2645</v>
      </c>
      <c r="H519" s="206" t="str">
        <f t="shared" si="84"/>
        <v>(3.06o) Is this category of worker difficult to keep staffed?</v>
      </c>
      <c r="I519" s="213" t="str">
        <f t="shared" si="83"/>
        <v>select_one yesno</v>
      </c>
      <c r="J519" s="106" t="s">
        <v>4457</v>
      </c>
      <c r="K519" s="116" t="s">
        <v>2443</v>
      </c>
      <c r="L519" s="118" t="str">
        <f t="shared" si="85"/>
        <v>Sorry, question (3.06o) is required!</v>
      </c>
    </row>
    <row r="520" spans="1:24" ht="13.5" customHeight="1">
      <c r="A520" t="s">
        <v>2166</v>
      </c>
      <c r="L520" s="118" t="str">
        <f t="shared" si="85"/>
        <v/>
      </c>
      <c r="X520" t="s">
        <v>3032</v>
      </c>
    </row>
    <row r="521" spans="1:24" ht="13.5" customHeight="1">
      <c r="A521" t="s">
        <v>2164</v>
      </c>
      <c r="B521" t="s">
        <v>3124</v>
      </c>
      <c r="J521" s="106" t="s">
        <v>13</v>
      </c>
      <c r="L521" s="118" t="str">
        <f t="shared" si="85"/>
        <v/>
      </c>
      <c r="X521" t="s">
        <v>3032</v>
      </c>
    </row>
    <row r="522" spans="1:24" ht="13.5" customHeight="1">
      <c r="A522" t="s">
        <v>17</v>
      </c>
      <c r="B522" t="s">
        <v>2667</v>
      </c>
      <c r="E522" s="130"/>
      <c r="F522" s="130" t="s">
        <v>4132</v>
      </c>
      <c r="I522" s="213" t="str">
        <f t="shared" si="83"/>
        <v>note</v>
      </c>
      <c r="L522" s="118" t="str">
        <f t="shared" si="85"/>
        <v/>
      </c>
    </row>
    <row r="523" spans="1:24" ht="13.5" customHeight="1">
      <c r="A523" t="s">
        <v>2165</v>
      </c>
      <c r="B523" t="s">
        <v>2255</v>
      </c>
      <c r="E523" s="132" t="s">
        <v>4734</v>
      </c>
      <c r="H523" s="206" t="str">
        <f t="shared" ref="H523:H528" si="86">E523</f>
        <v>(3.01p) How many authorized positions are there in the facility for &lt;b&gt;[State Enrolled Midwives]&lt;/b&gt;?</v>
      </c>
      <c r="I523" s="213" t="str">
        <f t="shared" si="83"/>
        <v>integer</v>
      </c>
      <c r="K523" s="116" t="s">
        <v>2443</v>
      </c>
      <c r="L523" s="118" t="str">
        <f t="shared" si="85"/>
        <v>Sorry, question (3.01p) is required!</v>
      </c>
      <c r="M523" s="113" t="s">
        <v>3591</v>
      </c>
      <c r="N523" t="s">
        <v>3774</v>
      </c>
    </row>
    <row r="524" spans="1:24" ht="13.5" customHeight="1">
      <c r="A524" t="s">
        <v>2165</v>
      </c>
      <c r="B524" t="s">
        <v>2256</v>
      </c>
      <c r="E524" s="118" t="s">
        <v>4735</v>
      </c>
      <c r="H524" s="206" t="str">
        <f t="shared" si="86"/>
        <v>(3.02p) How many authorized positions for &lt;b&gt;[State Enrolled Midwives]&lt;/b&gt; are currently filled?</v>
      </c>
      <c r="I524" s="213" t="str">
        <f t="shared" si="83"/>
        <v>integer</v>
      </c>
      <c r="K524" s="116" t="s">
        <v>2443</v>
      </c>
      <c r="L524" s="118" t="str">
        <f t="shared" si="85"/>
        <v>Sorry, question (3.02p) is required!</v>
      </c>
      <c r="M524" s="113" t="s">
        <v>3635</v>
      </c>
      <c r="N524" t="str">
        <f>"(3.02p) MAXIMUM 40 AND NOT GREATER THAN (3.01"&amp;RIGHT(B523,1)&amp;")"</f>
        <v>(3.02p) MAXIMUM 40 AND NOT GREATER THAN (3.01p)</v>
      </c>
    </row>
    <row r="525" spans="1:24" ht="13.5" customHeight="1">
      <c r="A525" t="s">
        <v>2165</v>
      </c>
      <c r="B525" t="s">
        <v>2257</v>
      </c>
      <c r="E525" s="118" t="s">
        <v>4736</v>
      </c>
      <c r="H525" s="206" t="str">
        <f t="shared" si="86"/>
        <v>(3.03p) In the last 12 months, how many &lt;b&gt;[State Enrolled Midwives]&lt;/b&gt; have left the facility permanently?</v>
      </c>
      <c r="I525" s="213" t="str">
        <f t="shared" si="83"/>
        <v>integer</v>
      </c>
      <c r="K525" s="116" t="s">
        <v>2443</v>
      </c>
      <c r="L525" s="118" t="str">
        <f t="shared" si="85"/>
        <v>Sorry, question (3.03p) is required!</v>
      </c>
      <c r="M525" s="113" t="s">
        <v>3592</v>
      </c>
      <c r="N525" t="s">
        <v>3775</v>
      </c>
    </row>
    <row r="526" spans="1:24" ht="13.5" customHeight="1">
      <c r="A526" t="s">
        <v>2165</v>
      </c>
      <c r="B526" t="s">
        <v>2258</v>
      </c>
      <c r="E526" s="118" t="s">
        <v>4737</v>
      </c>
      <c r="H526" s="206" t="str">
        <f t="shared" si="86"/>
        <v>(3.04p) How many &lt;b&gt;[State Enrolled Midwives]&lt;/b&gt; work regularly in this facility without being in an authorized position?</v>
      </c>
      <c r="I526" s="213" t="str">
        <f t="shared" si="83"/>
        <v>integer</v>
      </c>
      <c r="K526" s="116" t="s">
        <v>2443</v>
      </c>
      <c r="L526" s="118" t="str">
        <f t="shared" si="85"/>
        <v>Sorry, question (3.04p) is required!</v>
      </c>
      <c r="M526" s="113" t="s">
        <v>3592</v>
      </c>
      <c r="N526" t="s">
        <v>3776</v>
      </c>
    </row>
    <row r="527" spans="1:24" ht="13.5" customHeight="1">
      <c r="A527" t="s">
        <v>2165</v>
      </c>
      <c r="B527" t="s">
        <v>2259</v>
      </c>
      <c r="E527" s="118" t="s">
        <v>4738</v>
      </c>
      <c r="H527" s="206" t="str">
        <f t="shared" si="86"/>
        <v>(3.05p) In the last 12 months, how many &lt;b&gt;[State Enrolled Midwives]&lt;/b&gt; have been hired?</v>
      </c>
      <c r="I527" s="213" t="str">
        <f t="shared" si="83"/>
        <v>integer</v>
      </c>
      <c r="K527" s="116" t="s">
        <v>2443</v>
      </c>
      <c r="L527" s="118" t="str">
        <f t="shared" si="85"/>
        <v>Sorry, question (3.05p) is required!</v>
      </c>
      <c r="M527" s="113" t="s">
        <v>3592</v>
      </c>
      <c r="N527" t="s">
        <v>3777</v>
      </c>
    </row>
    <row r="528" spans="1:24" ht="13.5" customHeight="1">
      <c r="A528" t="s">
        <v>2170</v>
      </c>
      <c r="B528" t="s">
        <v>2260</v>
      </c>
      <c r="E528" s="118" t="s">
        <v>2644</v>
      </c>
      <c r="H528" s="206" t="str">
        <f t="shared" si="86"/>
        <v>(3.06p) Is this category of worker difficult to keep staffed?</v>
      </c>
      <c r="I528" s="213" t="str">
        <f t="shared" si="83"/>
        <v>select_one yesno</v>
      </c>
      <c r="J528" s="106" t="s">
        <v>4457</v>
      </c>
      <c r="K528" s="116" t="s">
        <v>2443</v>
      </c>
      <c r="L528" s="118" t="str">
        <f t="shared" si="85"/>
        <v>Sorry, question (3.06p) is required!</v>
      </c>
    </row>
    <row r="529" spans="1:24" ht="13.5" customHeight="1">
      <c r="A529" t="s">
        <v>2166</v>
      </c>
      <c r="L529" s="118" t="str">
        <f t="shared" si="85"/>
        <v/>
      </c>
      <c r="X529" t="s">
        <v>3032</v>
      </c>
    </row>
    <row r="530" spans="1:24" ht="13.5" customHeight="1">
      <c r="A530" t="s">
        <v>2164</v>
      </c>
      <c r="B530" t="s">
        <v>3125</v>
      </c>
      <c r="J530" s="106" t="s">
        <v>13</v>
      </c>
      <c r="L530" s="118" t="str">
        <f t="shared" si="85"/>
        <v/>
      </c>
      <c r="X530" t="s">
        <v>3032</v>
      </c>
    </row>
    <row r="531" spans="1:24" ht="13.5" customHeight="1">
      <c r="A531" t="s">
        <v>17</v>
      </c>
      <c r="B531" t="s">
        <v>2668</v>
      </c>
      <c r="E531" s="130"/>
      <c r="F531" s="130" t="s">
        <v>4132</v>
      </c>
      <c r="I531" s="213" t="str">
        <f t="shared" si="83"/>
        <v>note</v>
      </c>
      <c r="L531" s="118" t="str">
        <f t="shared" si="85"/>
        <v/>
      </c>
    </row>
    <row r="532" spans="1:24" ht="13.5" customHeight="1">
      <c r="A532" t="s">
        <v>2165</v>
      </c>
      <c r="B532" t="s">
        <v>2261</v>
      </c>
      <c r="E532" s="132" t="s">
        <v>4739</v>
      </c>
      <c r="H532" s="206" t="str">
        <f t="shared" ref="H532:H537" si="87">E532</f>
        <v>(3.01q) How many authorized positions are there in the facility for &lt;b&gt;[Community Health Nurses]&lt;/b&gt;?</v>
      </c>
      <c r="I532" s="213" t="str">
        <f t="shared" si="83"/>
        <v>integer</v>
      </c>
      <c r="K532" s="116" t="s">
        <v>2443</v>
      </c>
      <c r="L532" s="118" t="str">
        <f t="shared" si="85"/>
        <v>Sorry, question (3.01q) is required!</v>
      </c>
      <c r="M532" s="113" t="s">
        <v>3591</v>
      </c>
      <c r="N532" t="s">
        <v>3778</v>
      </c>
    </row>
    <row r="533" spans="1:24" ht="13.5" customHeight="1">
      <c r="A533" t="s">
        <v>2165</v>
      </c>
      <c r="B533" t="s">
        <v>2262</v>
      </c>
      <c r="E533" s="118" t="s">
        <v>4740</v>
      </c>
      <c r="H533" s="206" t="str">
        <f t="shared" si="87"/>
        <v>(3.02q) How many authorized positions for &lt;b&gt;[Community Health Nurses]&lt;/b&gt; are currently filled?</v>
      </c>
      <c r="I533" s="213" t="str">
        <f t="shared" si="83"/>
        <v>integer</v>
      </c>
      <c r="K533" s="116" t="s">
        <v>2443</v>
      </c>
      <c r="L533" s="118" t="str">
        <f t="shared" si="85"/>
        <v>Sorry, question (3.02q) is required!</v>
      </c>
      <c r="M533" s="113" t="s">
        <v>3636</v>
      </c>
      <c r="N533" t="str">
        <f>"(3.02q) MAXIMUM 40 AND NOT GREATER THAN (3.01"&amp;RIGHT(B532,1)&amp;")"</f>
        <v>(3.02q) MAXIMUM 40 AND NOT GREATER THAN (3.01q)</v>
      </c>
    </row>
    <row r="534" spans="1:24" ht="13.5" customHeight="1">
      <c r="A534" t="s">
        <v>2165</v>
      </c>
      <c r="B534" t="s">
        <v>2263</v>
      </c>
      <c r="E534" s="118" t="s">
        <v>4741</v>
      </c>
      <c r="H534" s="206" t="str">
        <f t="shared" si="87"/>
        <v>(3.03q) In the last 12 months, how many &lt;b&gt;[Community Health Nurses]&lt;/b&gt; have left the facility permanently?</v>
      </c>
      <c r="I534" s="213" t="str">
        <f t="shared" si="83"/>
        <v>integer</v>
      </c>
      <c r="K534" s="116" t="s">
        <v>2443</v>
      </c>
      <c r="L534" s="118" t="str">
        <f t="shared" si="85"/>
        <v>Sorry, question (3.03q) is required!</v>
      </c>
      <c r="M534" s="113" t="s">
        <v>3592</v>
      </c>
      <c r="N534" t="s">
        <v>3781</v>
      </c>
    </row>
    <row r="535" spans="1:24" ht="13.5" customHeight="1">
      <c r="A535" t="s">
        <v>2165</v>
      </c>
      <c r="B535" t="s">
        <v>2264</v>
      </c>
      <c r="E535" s="118" t="s">
        <v>4742</v>
      </c>
      <c r="H535" s="206" t="str">
        <f t="shared" si="87"/>
        <v>(3.04q) How many &lt;b&gt;[Community Health Nurses]&lt;/b&gt; work regularly in this facility without being in an authorized position?</v>
      </c>
      <c r="I535" s="213" t="str">
        <f t="shared" si="83"/>
        <v>integer</v>
      </c>
      <c r="K535" s="116" t="s">
        <v>2443</v>
      </c>
      <c r="L535" s="118" t="str">
        <f t="shared" si="85"/>
        <v>Sorry, question (3.04q) is required!</v>
      </c>
      <c r="M535" s="113" t="s">
        <v>3592</v>
      </c>
      <c r="N535" t="s">
        <v>3779</v>
      </c>
    </row>
    <row r="536" spans="1:24" ht="13.5" customHeight="1">
      <c r="A536" t="s">
        <v>2165</v>
      </c>
      <c r="B536" t="s">
        <v>2265</v>
      </c>
      <c r="E536" s="118" t="s">
        <v>4743</v>
      </c>
      <c r="H536" s="206" t="str">
        <f t="shared" si="87"/>
        <v>(3.05q) In the last 12 months, how many &lt;b&gt;[Community Health Nurses]&lt;/b&gt; have been hired?</v>
      </c>
      <c r="I536" s="213" t="str">
        <f t="shared" si="83"/>
        <v>integer</v>
      </c>
      <c r="K536" s="116" t="s">
        <v>2443</v>
      </c>
      <c r="L536" s="118" t="str">
        <f t="shared" si="85"/>
        <v>Sorry, question (3.05q) is required!</v>
      </c>
      <c r="M536" s="113" t="s">
        <v>3592</v>
      </c>
      <c r="N536" t="s">
        <v>3780</v>
      </c>
    </row>
    <row r="537" spans="1:24" ht="13.5" customHeight="1">
      <c r="A537" t="s">
        <v>2170</v>
      </c>
      <c r="B537" t="s">
        <v>2266</v>
      </c>
      <c r="E537" s="118" t="s">
        <v>2643</v>
      </c>
      <c r="H537" s="206" t="str">
        <f t="shared" si="87"/>
        <v>(3.06q) Is this category of worker difficult to keep staffed?</v>
      </c>
      <c r="I537" s="213" t="str">
        <f t="shared" si="83"/>
        <v>select_one yesno</v>
      </c>
      <c r="J537" s="106" t="s">
        <v>4457</v>
      </c>
      <c r="K537" s="116" t="s">
        <v>2443</v>
      </c>
      <c r="L537" s="118" t="str">
        <f t="shared" si="85"/>
        <v>Sorry, question (3.06q) is required!</v>
      </c>
    </row>
    <row r="538" spans="1:24" ht="13.5" customHeight="1">
      <c r="A538" t="s">
        <v>2166</v>
      </c>
      <c r="L538" s="118" t="str">
        <f t="shared" si="85"/>
        <v/>
      </c>
      <c r="X538" t="s">
        <v>3032</v>
      </c>
    </row>
    <row r="539" spans="1:24" ht="13.5" customHeight="1">
      <c r="A539" t="s">
        <v>2164</v>
      </c>
      <c r="B539" t="s">
        <v>3126</v>
      </c>
      <c r="I539" s="213" t="str">
        <f t="shared" si="83"/>
        <v>begin group</v>
      </c>
      <c r="J539" s="106" t="s">
        <v>13</v>
      </c>
      <c r="L539" s="118" t="str">
        <f t="shared" si="85"/>
        <v/>
      </c>
      <c r="X539" t="s">
        <v>3032</v>
      </c>
    </row>
    <row r="540" spans="1:24" ht="13.5" customHeight="1">
      <c r="A540" t="s">
        <v>17</v>
      </c>
      <c r="B540" t="s">
        <v>2669</v>
      </c>
      <c r="E540" s="130"/>
      <c r="F540" s="130" t="s">
        <v>4132</v>
      </c>
      <c r="I540" s="213" t="str">
        <f t="shared" si="83"/>
        <v>note</v>
      </c>
      <c r="L540" s="118" t="str">
        <f t="shared" si="85"/>
        <v/>
      </c>
    </row>
    <row r="541" spans="1:24" ht="13.5" customHeight="1">
      <c r="A541" t="s">
        <v>2165</v>
      </c>
      <c r="B541" t="s">
        <v>2267</v>
      </c>
      <c r="E541" s="132" t="s">
        <v>6777</v>
      </c>
      <c r="H541" s="206" t="str">
        <f t="shared" ref="H541:H546" si="88">E541</f>
        <v>(3.01r) How many authorized positions are there in the facility for &lt;b&gt;[Community Health Midwife]&lt;/b&gt;?</v>
      </c>
      <c r="I541" s="213" t="str">
        <f t="shared" si="83"/>
        <v>integer</v>
      </c>
      <c r="K541" s="116" t="s">
        <v>2443</v>
      </c>
      <c r="L541" s="118" t="str">
        <f t="shared" si="85"/>
        <v>Sorry, question (3.01r) is required!</v>
      </c>
      <c r="M541" s="113" t="s">
        <v>3591</v>
      </c>
      <c r="N541" t="s">
        <v>3782</v>
      </c>
    </row>
    <row r="542" spans="1:24" ht="13.5" customHeight="1">
      <c r="A542" t="s">
        <v>2165</v>
      </c>
      <c r="B542" t="s">
        <v>2268</v>
      </c>
      <c r="E542" s="118" t="s">
        <v>6778</v>
      </c>
      <c r="H542" s="206" t="str">
        <f t="shared" si="88"/>
        <v>(3.02r) How many authorized positions for &lt;b&gt;[Community Health Midwife]&lt;/b&gt; are currently filled?</v>
      </c>
      <c r="I542" s="213" t="str">
        <f t="shared" si="83"/>
        <v>integer</v>
      </c>
      <c r="K542" s="116" t="s">
        <v>2443</v>
      </c>
      <c r="L542" s="118" t="str">
        <f t="shared" si="85"/>
        <v>Sorry, question (3.02r) is required!</v>
      </c>
      <c r="M542" s="113" t="s">
        <v>3637</v>
      </c>
      <c r="N542" t="str">
        <f>"(3.02r) MAXIMUM 40 AND NOT GREATER THAN (3.01"&amp;RIGHT(B541,1)&amp;")"</f>
        <v>(3.02r) MAXIMUM 40 AND NOT GREATER THAN (3.01r)</v>
      </c>
    </row>
    <row r="543" spans="1:24" ht="13.5" customHeight="1">
      <c r="A543" t="s">
        <v>2165</v>
      </c>
      <c r="B543" t="s">
        <v>2269</v>
      </c>
      <c r="E543" s="118" t="s">
        <v>6779</v>
      </c>
      <c r="H543" s="206" t="str">
        <f t="shared" si="88"/>
        <v>(3.03r) In the last 12 months, how many &lt;b&gt;[Community Health Midwife]&lt;/b&gt; have left the facility permanently?</v>
      </c>
      <c r="I543" s="213" t="str">
        <f t="shared" si="83"/>
        <v>integer</v>
      </c>
      <c r="K543" s="116" t="s">
        <v>2443</v>
      </c>
      <c r="L543" s="118" t="str">
        <f t="shared" si="85"/>
        <v>Sorry, question (3.03r) is required!</v>
      </c>
      <c r="M543" s="113" t="s">
        <v>3592</v>
      </c>
      <c r="N543" t="s">
        <v>3784</v>
      </c>
    </row>
    <row r="544" spans="1:24" ht="13.5" customHeight="1">
      <c r="A544" t="s">
        <v>2165</v>
      </c>
      <c r="B544" t="s">
        <v>2270</v>
      </c>
      <c r="E544" s="118" t="s">
        <v>6780</v>
      </c>
      <c r="H544" s="206" t="str">
        <f t="shared" si="88"/>
        <v>(3.04r) How many &lt;b&gt;[Community Health Midwife]&lt;/b&gt; work regularly in this facility without being in an authorized position?</v>
      </c>
      <c r="I544" s="213" t="str">
        <f t="shared" si="83"/>
        <v>integer</v>
      </c>
      <c r="K544" s="116" t="s">
        <v>2443</v>
      </c>
      <c r="L544" s="118" t="str">
        <f t="shared" si="85"/>
        <v>Sorry, question (3.04r) is required!</v>
      </c>
      <c r="M544" s="113" t="s">
        <v>3592</v>
      </c>
      <c r="N544" t="s">
        <v>3783</v>
      </c>
    </row>
    <row r="545" spans="1:24" ht="13.5" customHeight="1">
      <c r="A545" t="s">
        <v>2165</v>
      </c>
      <c r="B545" t="s">
        <v>2271</v>
      </c>
      <c r="E545" s="118" t="s">
        <v>6781</v>
      </c>
      <c r="H545" s="206" t="str">
        <f t="shared" si="88"/>
        <v>(3.05r) In the last 12 months, how many &lt;b&gt;[Community Health Midwife]&lt;/b&gt; have been hired?</v>
      </c>
      <c r="I545" s="213" t="str">
        <f t="shared" si="83"/>
        <v>integer</v>
      </c>
      <c r="K545" s="116" t="s">
        <v>2443</v>
      </c>
      <c r="L545" s="118" t="str">
        <f t="shared" si="85"/>
        <v>Sorry, question (3.05r) is required!</v>
      </c>
      <c r="M545" s="113" t="s">
        <v>3592</v>
      </c>
      <c r="N545" t="s">
        <v>3785</v>
      </c>
    </row>
    <row r="546" spans="1:24" ht="13.5" customHeight="1">
      <c r="A546" t="s">
        <v>2170</v>
      </c>
      <c r="B546" t="s">
        <v>2272</v>
      </c>
      <c r="E546" s="118" t="s">
        <v>2642</v>
      </c>
      <c r="H546" s="206" t="str">
        <f t="shared" si="88"/>
        <v>(3.06r) Is this category of worker difficult to keep staffed?</v>
      </c>
      <c r="I546" s="213" t="str">
        <f t="shared" si="83"/>
        <v>select_one yesno</v>
      </c>
      <c r="J546" s="106" t="s">
        <v>4457</v>
      </c>
      <c r="K546" s="116" t="s">
        <v>2443</v>
      </c>
      <c r="L546" s="118" t="str">
        <f t="shared" si="85"/>
        <v>Sorry, question (3.06r) is required!</v>
      </c>
    </row>
    <row r="547" spans="1:24" ht="13.5" customHeight="1">
      <c r="A547" t="s">
        <v>2166</v>
      </c>
      <c r="L547" s="118" t="str">
        <f t="shared" si="85"/>
        <v/>
      </c>
      <c r="X547" t="s">
        <v>3032</v>
      </c>
    </row>
    <row r="548" spans="1:24" ht="13.5" customHeight="1">
      <c r="A548" t="s">
        <v>2164</v>
      </c>
      <c r="B548" t="s">
        <v>3127</v>
      </c>
      <c r="J548" s="106" t="s">
        <v>13</v>
      </c>
      <c r="L548" s="118" t="str">
        <f t="shared" si="85"/>
        <v/>
      </c>
      <c r="X548" t="s">
        <v>3032</v>
      </c>
    </row>
    <row r="549" spans="1:24" ht="13.5" customHeight="1">
      <c r="A549" t="s">
        <v>17</v>
      </c>
      <c r="B549" t="s">
        <v>2670</v>
      </c>
      <c r="E549" s="130"/>
      <c r="F549" s="130" t="s">
        <v>4132</v>
      </c>
      <c r="I549" s="213" t="str">
        <f t="shared" si="83"/>
        <v>note</v>
      </c>
      <c r="L549" s="118" t="str">
        <f t="shared" si="85"/>
        <v/>
      </c>
    </row>
    <row r="550" spans="1:24" ht="13.5" customHeight="1">
      <c r="A550" t="s">
        <v>2165</v>
      </c>
      <c r="B550" t="s">
        <v>2273</v>
      </c>
      <c r="E550" s="132" t="s">
        <v>4745</v>
      </c>
      <c r="H550" s="206" t="str">
        <f t="shared" ref="H550:H555" si="89">E550</f>
        <v>(3.01s) How many authorized positions are there in the facility for &lt;b&gt;[Nurse Attendants]&lt;/b&gt;?</v>
      </c>
      <c r="I550" s="213" t="str">
        <f t="shared" si="83"/>
        <v>integer</v>
      </c>
      <c r="K550" s="116" t="s">
        <v>2443</v>
      </c>
      <c r="L550" s="118" t="str">
        <f t="shared" si="85"/>
        <v>Sorry, question (3.01s) is required!</v>
      </c>
      <c r="M550" s="113" t="s">
        <v>3591</v>
      </c>
      <c r="N550" t="s">
        <v>3786</v>
      </c>
    </row>
    <row r="551" spans="1:24" ht="13.5" customHeight="1">
      <c r="A551" t="s">
        <v>2165</v>
      </c>
      <c r="B551" t="s">
        <v>2274</v>
      </c>
      <c r="E551" s="118" t="s">
        <v>4746</v>
      </c>
      <c r="H551" s="206" t="str">
        <f t="shared" si="89"/>
        <v>(3.02s) How many authorized positions for &lt;b&gt;[Nurse Attendants]&lt;/b&gt; are currently filled?</v>
      </c>
      <c r="I551" s="213" t="str">
        <f t="shared" si="83"/>
        <v>integer</v>
      </c>
      <c r="K551" s="116" t="s">
        <v>2443</v>
      </c>
      <c r="L551" s="118" t="str">
        <f t="shared" si="85"/>
        <v>Sorry, question (3.02s) is required!</v>
      </c>
      <c r="M551" s="113" t="s">
        <v>3638</v>
      </c>
      <c r="N551" t="str">
        <f>"(3.02s) MAXIMUM 40 AND NOT GREATER THAN (3.01"&amp;RIGHT(B550,1)&amp;")"</f>
        <v>(3.02s) MAXIMUM 40 AND NOT GREATER THAN (3.01s)</v>
      </c>
    </row>
    <row r="552" spans="1:24" ht="13.5" customHeight="1">
      <c r="A552" t="s">
        <v>2165</v>
      </c>
      <c r="B552" t="s">
        <v>2275</v>
      </c>
      <c r="E552" s="118" t="s">
        <v>4747</v>
      </c>
      <c r="H552" s="206" t="str">
        <f t="shared" si="89"/>
        <v>(3.03s) In the last 12 months, how many &lt;b&gt;[Nurse Attendants]&lt;/b&gt; have left the facility permanently?</v>
      </c>
      <c r="I552" s="213" t="str">
        <f t="shared" si="83"/>
        <v>integer</v>
      </c>
      <c r="K552" s="116" t="s">
        <v>2443</v>
      </c>
      <c r="L552" s="118" t="str">
        <f t="shared" si="85"/>
        <v>Sorry, question (3.03s) is required!</v>
      </c>
      <c r="M552" s="113" t="s">
        <v>3592</v>
      </c>
      <c r="N552" t="s">
        <v>3789</v>
      </c>
    </row>
    <row r="553" spans="1:24" ht="13.5" customHeight="1">
      <c r="A553" t="s">
        <v>2165</v>
      </c>
      <c r="B553" t="s">
        <v>2276</v>
      </c>
      <c r="E553" s="118" t="s">
        <v>4748</v>
      </c>
      <c r="H553" s="206" t="str">
        <f t="shared" si="89"/>
        <v>(3.04s) How many &lt;b&gt;[Nurse Attendants]&lt;/b&gt; work regularly in this facility without being in an authorized position?</v>
      </c>
      <c r="I553" s="213" t="str">
        <f t="shared" si="83"/>
        <v>integer</v>
      </c>
      <c r="K553" s="116" t="s">
        <v>2443</v>
      </c>
      <c r="L553" s="118" t="str">
        <f t="shared" si="85"/>
        <v>Sorry, question (3.04s) is required!</v>
      </c>
      <c r="M553" s="113" t="s">
        <v>3592</v>
      </c>
      <c r="N553" t="s">
        <v>3787</v>
      </c>
    </row>
    <row r="554" spans="1:24" ht="13.5" customHeight="1">
      <c r="A554" t="s">
        <v>2165</v>
      </c>
      <c r="B554" t="s">
        <v>2277</v>
      </c>
      <c r="E554" s="118" t="s">
        <v>4749</v>
      </c>
      <c r="H554" s="206" t="str">
        <f t="shared" si="89"/>
        <v>(3.05s) In the last 12 months, how many &lt;b&gt;[Nurse Attendants]&lt;/b&gt; have been hired?</v>
      </c>
      <c r="I554" s="213" t="str">
        <f t="shared" si="83"/>
        <v>integer</v>
      </c>
      <c r="K554" s="116" t="s">
        <v>2443</v>
      </c>
      <c r="L554" s="118" t="str">
        <f t="shared" si="85"/>
        <v>Sorry, question (3.05s) is required!</v>
      </c>
      <c r="M554" s="113" t="s">
        <v>3592</v>
      </c>
      <c r="N554" t="s">
        <v>3788</v>
      </c>
    </row>
    <row r="555" spans="1:24" ht="13.5" customHeight="1">
      <c r="A555" t="s">
        <v>2170</v>
      </c>
      <c r="B555" t="s">
        <v>2278</v>
      </c>
      <c r="E555" s="118" t="s">
        <v>2641</v>
      </c>
      <c r="H555" s="206" t="str">
        <f t="shared" si="89"/>
        <v>(3.06s) Is this category of worker difficult to keep staffed?</v>
      </c>
      <c r="I555" s="213" t="str">
        <f t="shared" si="83"/>
        <v>select_one yesno</v>
      </c>
      <c r="J555" s="106" t="s">
        <v>4457</v>
      </c>
      <c r="K555" s="116" t="s">
        <v>2443</v>
      </c>
      <c r="L555" s="118" t="str">
        <f t="shared" si="85"/>
        <v>Sorry, question (3.06s) is required!</v>
      </c>
    </row>
    <row r="556" spans="1:24" ht="13.5" customHeight="1">
      <c r="A556" t="s">
        <v>2166</v>
      </c>
      <c r="L556" s="118" t="str">
        <f t="shared" si="85"/>
        <v/>
      </c>
      <c r="X556" t="s">
        <v>3032</v>
      </c>
    </row>
    <row r="557" spans="1:24" ht="13.5" customHeight="1">
      <c r="A557" t="s">
        <v>2164</v>
      </c>
      <c r="B557" t="s">
        <v>3128</v>
      </c>
      <c r="J557" s="106" t="s">
        <v>13</v>
      </c>
      <c r="L557" s="118" t="str">
        <f t="shared" si="85"/>
        <v/>
      </c>
      <c r="X557" t="s">
        <v>3032</v>
      </c>
    </row>
    <row r="558" spans="1:24" ht="13.5" customHeight="1">
      <c r="A558" t="s">
        <v>17</v>
      </c>
      <c r="B558" t="s">
        <v>2671</v>
      </c>
      <c r="E558" s="130"/>
      <c r="F558" s="130" t="s">
        <v>4132</v>
      </c>
      <c r="I558" s="213" t="str">
        <f t="shared" si="83"/>
        <v>note</v>
      </c>
      <c r="L558" s="118" t="str">
        <f t="shared" si="85"/>
        <v/>
      </c>
    </row>
    <row r="559" spans="1:24" ht="13.5" customHeight="1">
      <c r="A559" t="s">
        <v>2165</v>
      </c>
      <c r="B559" t="s">
        <v>2279</v>
      </c>
      <c r="E559" s="132" t="s">
        <v>4750</v>
      </c>
      <c r="H559" s="206" t="str">
        <f t="shared" ref="H559:H564" si="90">E559</f>
        <v>(3.01t) How many authorized positions are there in the facility for &lt;b&gt;[Ordelies]&lt;/b&gt;?</v>
      </c>
      <c r="I559" s="213" t="str">
        <f t="shared" si="83"/>
        <v>integer</v>
      </c>
      <c r="K559" s="116" t="s">
        <v>2443</v>
      </c>
      <c r="L559" s="118" t="str">
        <f t="shared" si="85"/>
        <v>Sorry, question (3.01t) is required!</v>
      </c>
      <c r="M559" s="113" t="s">
        <v>3591</v>
      </c>
      <c r="N559" t="s">
        <v>3790</v>
      </c>
    </row>
    <row r="560" spans="1:24" ht="13.5" customHeight="1">
      <c r="A560" t="s">
        <v>2165</v>
      </c>
      <c r="B560" t="s">
        <v>2280</v>
      </c>
      <c r="E560" s="118" t="s">
        <v>4751</v>
      </c>
      <c r="H560" s="206" t="str">
        <f t="shared" si="90"/>
        <v>(3.02t) How many authorized positions for &lt;b&gt;[Ordelies]&lt;/b&gt; are currently filled?</v>
      </c>
      <c r="I560" s="213" t="str">
        <f t="shared" si="83"/>
        <v>integer</v>
      </c>
      <c r="K560" s="116" t="s">
        <v>2443</v>
      </c>
      <c r="L560" s="118" t="str">
        <f t="shared" si="85"/>
        <v>Sorry, question (3.02t) is required!</v>
      </c>
      <c r="M560" s="113" t="s">
        <v>3639</v>
      </c>
      <c r="N560" t="str">
        <f>"(3.02t) MAXIMUM 40 AND NOT GREATER THAN (3.01"&amp;RIGHT(B559,1)&amp;")"</f>
        <v>(3.02t) MAXIMUM 40 AND NOT GREATER THAN (3.01t)</v>
      </c>
    </row>
    <row r="561" spans="1:24" ht="13.5" customHeight="1">
      <c r="A561" t="s">
        <v>2165</v>
      </c>
      <c r="B561" t="s">
        <v>2281</v>
      </c>
      <c r="E561" s="118" t="s">
        <v>4752</v>
      </c>
      <c r="H561" s="206" t="str">
        <f t="shared" si="90"/>
        <v>(3.03t) In the last 12 months, how many &lt;b&gt;[Ordelies]&lt;/b&gt; have left the facility permanently?</v>
      </c>
      <c r="I561" s="213" t="str">
        <f t="shared" si="83"/>
        <v>integer</v>
      </c>
      <c r="K561" s="116" t="s">
        <v>2443</v>
      </c>
      <c r="L561" s="118" t="str">
        <f t="shared" si="85"/>
        <v>Sorry, question (3.03t) is required!</v>
      </c>
      <c r="M561" s="113" t="s">
        <v>3592</v>
      </c>
      <c r="N561" t="s">
        <v>3792</v>
      </c>
    </row>
    <row r="562" spans="1:24" ht="13.5" customHeight="1">
      <c r="A562" t="s">
        <v>2165</v>
      </c>
      <c r="B562" t="s">
        <v>2282</v>
      </c>
      <c r="E562" s="118" t="s">
        <v>4753</v>
      </c>
      <c r="H562" s="206" t="str">
        <f t="shared" si="90"/>
        <v>(3.04t) How many &lt;b&gt;[Ordelies]&lt;/b&gt; work regularly in this facility without being in an authorized position?</v>
      </c>
      <c r="I562" s="213" t="str">
        <f t="shared" si="83"/>
        <v>integer</v>
      </c>
      <c r="K562" s="116" t="s">
        <v>2443</v>
      </c>
      <c r="L562" s="118" t="str">
        <f t="shared" si="85"/>
        <v>Sorry, question (3.04t) is required!</v>
      </c>
      <c r="M562" s="113" t="s">
        <v>3592</v>
      </c>
      <c r="N562" t="s">
        <v>3791</v>
      </c>
    </row>
    <row r="563" spans="1:24" ht="13.5" customHeight="1">
      <c r="A563" t="s">
        <v>2165</v>
      </c>
      <c r="B563" t="s">
        <v>2283</v>
      </c>
      <c r="E563" s="118" t="s">
        <v>4754</v>
      </c>
      <c r="H563" s="206" t="str">
        <f t="shared" si="90"/>
        <v>(3.05t) In the last 12 months, how many &lt;b&gt;[Ordelies]&lt;/b&gt; have been hired?</v>
      </c>
      <c r="I563" s="213" t="str">
        <f t="shared" si="83"/>
        <v>integer</v>
      </c>
      <c r="K563" s="116" t="s">
        <v>2443</v>
      </c>
      <c r="L563" s="118" t="str">
        <f t="shared" si="85"/>
        <v>Sorry, question (3.05t) is required!</v>
      </c>
      <c r="M563" s="113" t="s">
        <v>3592</v>
      </c>
      <c r="N563" t="s">
        <v>3793</v>
      </c>
    </row>
    <row r="564" spans="1:24" ht="13.5" customHeight="1">
      <c r="A564" t="s">
        <v>2170</v>
      </c>
      <c r="B564" t="s">
        <v>2284</v>
      </c>
      <c r="E564" s="118" t="s">
        <v>2640</v>
      </c>
      <c r="H564" s="206" t="str">
        <f t="shared" si="90"/>
        <v>(3.06t) Is this category of worker difficult to keep staffed?</v>
      </c>
      <c r="I564" s="213" t="str">
        <f t="shared" si="83"/>
        <v>select_one yesno</v>
      </c>
      <c r="J564" s="106" t="s">
        <v>4457</v>
      </c>
      <c r="K564" s="116" t="s">
        <v>2443</v>
      </c>
      <c r="L564" s="118" t="str">
        <f t="shared" si="85"/>
        <v>Sorry, question (3.06t) is required!</v>
      </c>
    </row>
    <row r="565" spans="1:24" ht="13.5" customHeight="1">
      <c r="A565" t="s">
        <v>2166</v>
      </c>
      <c r="L565" s="118" t="str">
        <f t="shared" si="85"/>
        <v/>
      </c>
      <c r="X565" t="s">
        <v>3032</v>
      </c>
    </row>
    <row r="566" spans="1:24" ht="14.25" customHeight="1">
      <c r="A566" t="s">
        <v>2164</v>
      </c>
      <c r="B566" t="s">
        <v>3129</v>
      </c>
      <c r="J566" s="106" t="s">
        <v>13</v>
      </c>
      <c r="L566" s="118" t="str">
        <f t="shared" si="85"/>
        <v/>
      </c>
      <c r="X566" t="s">
        <v>3032</v>
      </c>
    </row>
    <row r="567" spans="1:24" ht="13.5" customHeight="1">
      <c r="A567" t="s">
        <v>2170</v>
      </c>
      <c r="B567" t="s">
        <v>2438</v>
      </c>
      <c r="E567" s="118" t="s">
        <v>5334</v>
      </c>
      <c r="H567" s="206" t="str">
        <f t="shared" ref="H567:H575" si="91">E567</f>
        <v>u. Is there any other position not mentioned in this list?</v>
      </c>
      <c r="I567" s="213" t="str">
        <f t="shared" si="83"/>
        <v>select_one yesno</v>
      </c>
      <c r="J567" s="106" t="s">
        <v>4457</v>
      </c>
      <c r="K567" s="116" t="s">
        <v>2443</v>
      </c>
    </row>
    <row r="568" spans="1:24" ht="14.25" customHeight="1">
      <c r="A568" t="s">
        <v>1288</v>
      </c>
      <c r="B568" t="s">
        <v>2439</v>
      </c>
      <c r="E568" s="132" t="s">
        <v>6753</v>
      </c>
      <c r="F568" s="118" t="s">
        <v>2444</v>
      </c>
      <c r="H568" s="206" t="str">
        <f t="shared" si="91"/>
        <v>u.Specify:</v>
      </c>
      <c r="I568" s="213" t="str">
        <f t="shared" si="83"/>
        <v>text</v>
      </c>
      <c r="J568" s="106" t="s">
        <v>2773</v>
      </c>
      <c r="K568" s="116" t="s">
        <v>2443</v>
      </c>
      <c r="L568" s="118" t="str">
        <f t="shared" si="85"/>
        <v>Sorry, question u.Speci is required!</v>
      </c>
      <c r="O568" s="110" t="s">
        <v>2747</v>
      </c>
    </row>
    <row r="569" spans="1:24" ht="13.5" customHeight="1">
      <c r="A569" t="s">
        <v>17</v>
      </c>
      <c r="B569" s="1" t="s">
        <v>4755</v>
      </c>
      <c r="E569" s="130"/>
      <c r="F569" s="130" t="s">
        <v>4132</v>
      </c>
      <c r="I569" s="213" t="str">
        <f t="shared" si="83"/>
        <v>note</v>
      </c>
      <c r="L569" s="118" t="str">
        <f>IF(K569="yes",("Sorry, question "&amp;LEFT(E569, 7)&amp;" is required!"),"")</f>
        <v/>
      </c>
      <c r="O569" s="110" t="s">
        <v>2747</v>
      </c>
    </row>
    <row r="570" spans="1:24" ht="14.25" customHeight="1">
      <c r="A570" t="s">
        <v>2165</v>
      </c>
      <c r="B570" t="s">
        <v>2312</v>
      </c>
      <c r="E570" s="118" t="s">
        <v>2634</v>
      </c>
      <c r="H570" s="206" t="str">
        <f t="shared" si="91"/>
        <v>(3.01u) How many authorized positions are there in the facility for Other?</v>
      </c>
      <c r="I570" s="213" t="str">
        <f t="shared" si="83"/>
        <v>integer</v>
      </c>
      <c r="K570" s="116" t="s">
        <v>2443</v>
      </c>
      <c r="L570" s="118" t="str">
        <f t="shared" si="85"/>
        <v>Sorry, question (3.01u) is required!</v>
      </c>
      <c r="M570" s="113" t="s">
        <v>3591</v>
      </c>
      <c r="N570" t="s">
        <v>3794</v>
      </c>
      <c r="O570" s="110" t="s">
        <v>2747</v>
      </c>
    </row>
    <row r="571" spans="1:24" ht="14.25" customHeight="1">
      <c r="A571" t="s">
        <v>2165</v>
      </c>
      <c r="B571" t="s">
        <v>2313</v>
      </c>
      <c r="E571" s="118" t="s">
        <v>2635</v>
      </c>
      <c r="H571" s="206" t="str">
        <f t="shared" si="91"/>
        <v>(3.02u) How many authorized positions for Other are currently filled?</v>
      </c>
      <c r="I571" s="213" t="str">
        <f t="shared" si="83"/>
        <v>integer</v>
      </c>
      <c r="K571" s="116" t="s">
        <v>2443</v>
      </c>
      <c r="L571" s="118" t="str">
        <f t="shared" si="85"/>
        <v>Sorry, question (3.02u) is required!</v>
      </c>
      <c r="M571" s="113" t="s">
        <v>3640</v>
      </c>
      <c r="N571" t="str">
        <f>"(3.02u) MAXIMUM 40 AND NOT GREATER THAN (3.01"&amp;RIGHT(B570,1)&amp;")"</f>
        <v>(3.02u) MAXIMUM 40 AND NOT GREATER THAN (3.01u)</v>
      </c>
      <c r="O571" s="110" t="s">
        <v>2747</v>
      </c>
    </row>
    <row r="572" spans="1:24" ht="14.25" customHeight="1">
      <c r="A572" t="s">
        <v>2165</v>
      </c>
      <c r="B572" t="s">
        <v>2314</v>
      </c>
      <c r="E572" s="118" t="s">
        <v>2636</v>
      </c>
      <c r="H572" s="206" t="str">
        <f t="shared" si="91"/>
        <v>(3.03u) In the last 12 months, how many Other have left the facility permanently?</v>
      </c>
      <c r="I572" s="213" t="str">
        <f t="shared" si="83"/>
        <v>integer</v>
      </c>
      <c r="K572" s="116" t="s">
        <v>2443</v>
      </c>
      <c r="L572" s="118" t="str">
        <f t="shared" si="85"/>
        <v>Sorry, question (3.03u) is required!</v>
      </c>
      <c r="M572" s="113" t="s">
        <v>3592</v>
      </c>
      <c r="N572" t="s">
        <v>3795</v>
      </c>
      <c r="O572" s="110" t="s">
        <v>2747</v>
      </c>
    </row>
    <row r="573" spans="1:24" ht="14.25" customHeight="1">
      <c r="A573" t="s">
        <v>2165</v>
      </c>
      <c r="B573" t="s">
        <v>2315</v>
      </c>
      <c r="E573" s="118" t="s">
        <v>2637</v>
      </c>
      <c r="H573" s="206" t="str">
        <f t="shared" si="91"/>
        <v>(3.04u) How many Other work regularly in this facility without being in an authorized position?</v>
      </c>
      <c r="I573" s="213" t="str">
        <f t="shared" si="83"/>
        <v>integer</v>
      </c>
      <c r="K573" s="116" t="s">
        <v>2443</v>
      </c>
      <c r="L573" s="118" t="str">
        <f t="shared" si="85"/>
        <v>Sorry, question (3.04u) is required!</v>
      </c>
      <c r="M573" s="113" t="s">
        <v>3592</v>
      </c>
      <c r="N573" t="s">
        <v>3796</v>
      </c>
      <c r="O573" s="110" t="s">
        <v>2747</v>
      </c>
    </row>
    <row r="574" spans="1:24" ht="14.25" customHeight="1">
      <c r="A574" t="s">
        <v>2165</v>
      </c>
      <c r="B574" t="s">
        <v>2316</v>
      </c>
      <c r="E574" s="118" t="s">
        <v>2638</v>
      </c>
      <c r="H574" s="206" t="str">
        <f t="shared" si="91"/>
        <v>(3.05u) In the last 12 months, how many Other have been hired?</v>
      </c>
      <c r="I574" s="213" t="str">
        <f t="shared" si="83"/>
        <v>integer</v>
      </c>
      <c r="K574" s="116" t="s">
        <v>2443</v>
      </c>
      <c r="L574" s="118" t="str">
        <f t="shared" si="85"/>
        <v>Sorry, question (3.05u) is required!</v>
      </c>
      <c r="M574" s="113" t="s">
        <v>3592</v>
      </c>
      <c r="N574" t="s">
        <v>3797</v>
      </c>
      <c r="O574" s="110" t="s">
        <v>2747</v>
      </c>
    </row>
    <row r="575" spans="1:24" ht="14.25" customHeight="1">
      <c r="A575" t="s">
        <v>2170</v>
      </c>
      <c r="B575" t="s">
        <v>2317</v>
      </c>
      <c r="E575" s="118" t="s">
        <v>2639</v>
      </c>
      <c r="H575" s="206" t="str">
        <f t="shared" si="91"/>
        <v>(3.06u) Is this category of worker difficult to keep staffed?</v>
      </c>
      <c r="I575" s="213" t="str">
        <f t="shared" si="83"/>
        <v>select_one yesno</v>
      </c>
      <c r="J575" s="106" t="s">
        <v>4457</v>
      </c>
      <c r="K575" s="116" t="s">
        <v>2443</v>
      </c>
      <c r="L575" s="118" t="str">
        <f t="shared" si="85"/>
        <v>Sorry, question (3.06u) is required!</v>
      </c>
      <c r="O575" s="110" t="s">
        <v>2747</v>
      </c>
    </row>
    <row r="576" spans="1:24" ht="14.25" customHeight="1">
      <c r="A576" t="s">
        <v>2166</v>
      </c>
      <c r="L576" s="118" t="str">
        <f t="shared" si="85"/>
        <v/>
      </c>
      <c r="X576" t="s">
        <v>3032</v>
      </c>
    </row>
    <row r="577" spans="1:24" ht="14.25" customHeight="1">
      <c r="A577" t="s">
        <v>212</v>
      </c>
      <c r="B577" s="1" t="s">
        <v>4763</v>
      </c>
      <c r="J577" s="106" t="s">
        <v>3371</v>
      </c>
      <c r="L577" s="118" t="str">
        <f t="shared" si="85"/>
        <v/>
      </c>
      <c r="X577" t="s">
        <v>3032</v>
      </c>
    </row>
    <row r="578" spans="1:24" ht="14.25" customHeight="1">
      <c r="A578" t="s">
        <v>211</v>
      </c>
      <c r="B578" s="1" t="s">
        <v>4764</v>
      </c>
      <c r="E578" s="118" t="s">
        <v>4237</v>
      </c>
      <c r="I578" s="213" t="str">
        <f t="shared" ref="I578:I639" si="92">A578</f>
        <v>note</v>
      </c>
      <c r="J578" s="106" t="s">
        <v>3501</v>
      </c>
      <c r="L578" s="118" t="str">
        <f t="shared" si="85"/>
        <v/>
      </c>
    </row>
    <row r="579" spans="1:24" ht="14.25" customHeight="1">
      <c r="A579" t="s">
        <v>213</v>
      </c>
      <c r="B579" t="s">
        <v>2709</v>
      </c>
      <c r="E579" s="118" t="s">
        <v>2899</v>
      </c>
      <c r="F579" s="118" t="s">
        <v>3550</v>
      </c>
      <c r="H579" s="206" t="str">
        <f t="shared" ref="H579:H587" si="93">E579</f>
        <v>(3.07) How many villages are in your catchment area?</v>
      </c>
      <c r="I579" s="213" t="str">
        <f t="shared" si="92"/>
        <v>integer</v>
      </c>
      <c r="J579" s="106" t="s">
        <v>3551</v>
      </c>
      <c r="K579" s="116" t="s">
        <v>2443</v>
      </c>
      <c r="L579" s="118" t="str">
        <f t="shared" si="85"/>
        <v>Sorry, question (3.07)  is required!</v>
      </c>
      <c r="M579" s="113" t="s">
        <v>3597</v>
      </c>
      <c r="N579" t="s">
        <v>3798</v>
      </c>
    </row>
    <row r="580" spans="1:24" ht="14.25" customHeight="1">
      <c r="A580" t="s">
        <v>214</v>
      </c>
      <c r="B580" t="s">
        <v>215</v>
      </c>
      <c r="E580" s="118" t="s">
        <v>2900</v>
      </c>
      <c r="H580" s="206" t="str">
        <f t="shared" si="93"/>
        <v>(3.08) How many community health posts are in your catchment area?</v>
      </c>
      <c r="I580" s="213" t="str">
        <f t="shared" si="92"/>
        <v>integer</v>
      </c>
      <c r="J580" s="106" t="s">
        <v>3479</v>
      </c>
      <c r="K580" s="116" t="s">
        <v>2443</v>
      </c>
      <c r="L580" s="118" t="str">
        <f t="shared" si="85"/>
        <v>Sorry, question (3.08)  is required!</v>
      </c>
      <c r="M580" s="113" t="s">
        <v>3690</v>
      </c>
      <c r="N580" t="s">
        <v>6703</v>
      </c>
    </row>
    <row r="581" spans="1:24" ht="14.25" customHeight="1">
      <c r="A581" t="s">
        <v>216</v>
      </c>
      <c r="B581" t="s">
        <v>217</v>
      </c>
      <c r="E581" s="118" t="s">
        <v>218</v>
      </c>
      <c r="H581" s="206" t="str">
        <f t="shared" si="93"/>
        <v>(3.09) Does the health facility catchment area have active Community Health Workers (CHWs)?</v>
      </c>
      <c r="I581" s="213" t="str">
        <f t="shared" si="92"/>
        <v>select_one yesno</v>
      </c>
      <c r="J581" s="106" t="s">
        <v>4462</v>
      </c>
      <c r="K581" s="116" t="s">
        <v>2443</v>
      </c>
      <c r="L581" s="118" t="str">
        <f t="shared" ref="L581:L645" si="94">IF(K581="yes",("Sorry, question "&amp;LEFT(E581, 7)&amp;" is required!"),"")</f>
        <v>Sorry, question (3.09)  is required!</v>
      </c>
    </row>
    <row r="582" spans="1:24" ht="14.25" customHeight="1">
      <c r="A582" t="s">
        <v>220</v>
      </c>
      <c r="B582" t="s">
        <v>221</v>
      </c>
      <c r="E582" s="132" t="s">
        <v>222</v>
      </c>
      <c r="H582" s="206" t="str">
        <f t="shared" si="93"/>
        <v>(3.10) How many Community Health Workers are currently active in this catchment area?</v>
      </c>
      <c r="I582" s="213" t="str">
        <f t="shared" si="92"/>
        <v>note</v>
      </c>
      <c r="J582" s="106" t="s">
        <v>3495</v>
      </c>
      <c r="L582" s="118" t="str">
        <f t="shared" si="94"/>
        <v/>
      </c>
      <c r="O582" s="110" t="s">
        <v>219</v>
      </c>
    </row>
    <row r="583" spans="1:24" ht="14.25" customHeight="1">
      <c r="A583" t="s">
        <v>223</v>
      </c>
      <c r="B583" s="1" t="s">
        <v>4766</v>
      </c>
      <c r="E583" s="118" t="s">
        <v>224</v>
      </c>
      <c r="H583" s="206" t="str">
        <f>"(3.10) How many Community Health Workers "&amp;E583&amp;" are currently active in this catchment area?"</f>
        <v>(3.10) How many Community Health Workers a. FEMALE are currently active in this catchment area?</v>
      </c>
      <c r="I583" s="213" t="str">
        <f t="shared" si="92"/>
        <v>integer</v>
      </c>
      <c r="J583" s="106" t="s">
        <v>3380</v>
      </c>
      <c r="K583" s="116" t="s">
        <v>2443</v>
      </c>
      <c r="L583" s="118" t="str">
        <f>IF(K583="yes",("Sorry, question (3.10) "&amp;LEFT(E583, 1)&amp;" is required!"),"")</f>
        <v>Sorry, question (3.10) a is required!</v>
      </c>
      <c r="M583" s="113" t="s">
        <v>3690</v>
      </c>
      <c r="N583" t="s">
        <v>3800</v>
      </c>
      <c r="O583" s="110" t="s">
        <v>219</v>
      </c>
    </row>
    <row r="584" spans="1:24" ht="14.25" customHeight="1">
      <c r="A584" t="s">
        <v>225</v>
      </c>
      <c r="B584" s="1" t="s">
        <v>4767</v>
      </c>
      <c r="E584" s="118" t="s">
        <v>226</v>
      </c>
      <c r="H584" s="206" t="str">
        <f>"(3.10) How many Community Health Workers "&amp;E584&amp;" are currently active in this catchment area?"</f>
        <v>(3.10) How many Community Health Workers b. MALE are currently active in this catchment area?</v>
      </c>
      <c r="I584" s="213" t="str">
        <f t="shared" si="92"/>
        <v>integer</v>
      </c>
      <c r="J584" s="106" t="s">
        <v>3381</v>
      </c>
      <c r="K584" s="116" t="s">
        <v>2443</v>
      </c>
      <c r="L584" s="118" t="str">
        <f>IF(K584="yes",("Sorry, question (3.10) "&amp;LEFT(E584, 1)&amp;" is required!"),"")</f>
        <v>Sorry, question (3.10) b is required!</v>
      </c>
      <c r="M584" s="113" t="s">
        <v>3690</v>
      </c>
      <c r="N584" t="s">
        <v>3801</v>
      </c>
      <c r="O584" s="110" t="s">
        <v>219</v>
      </c>
    </row>
    <row r="585" spans="1:24" ht="14.25" customHeight="1">
      <c r="A585" s="107" t="s">
        <v>2473</v>
      </c>
      <c r="B585" t="s">
        <v>3587</v>
      </c>
      <c r="H585" s="206" t="s">
        <v>6754</v>
      </c>
      <c r="I585" s="213" t="s">
        <v>14</v>
      </c>
      <c r="L585" s="118" t="str">
        <f t="shared" si="94"/>
        <v/>
      </c>
      <c r="M585" s="113" t="s">
        <v>3588</v>
      </c>
      <c r="N585" s="107" t="s">
        <v>3799</v>
      </c>
      <c r="P585" s="101" t="s">
        <v>5299</v>
      </c>
    </row>
    <row r="586" spans="1:24" ht="14.25" customHeight="1">
      <c r="A586" t="s">
        <v>227</v>
      </c>
      <c r="B586" t="s">
        <v>228</v>
      </c>
      <c r="E586" s="118" t="s">
        <v>5335</v>
      </c>
      <c r="H586" s="206" t="str">
        <f t="shared" si="93"/>
        <v>(3.11) Is there any Community Health Worker who has stopped working &lt;u&gt;in the last 12 months&lt;/u&gt;?</v>
      </c>
      <c r="I586" s="213" t="str">
        <f t="shared" si="92"/>
        <v>select_one yesno</v>
      </c>
      <c r="J586" s="106" t="s">
        <v>4463</v>
      </c>
      <c r="K586" s="116" t="s">
        <v>2443</v>
      </c>
      <c r="L586" s="118" t="str">
        <f t="shared" si="94"/>
        <v>Sorry, question (3.11)  is required!</v>
      </c>
      <c r="O586" s="110" t="s">
        <v>219</v>
      </c>
    </row>
    <row r="587" spans="1:24" ht="14.25" customHeight="1">
      <c r="A587" t="s">
        <v>232</v>
      </c>
      <c r="B587" t="s">
        <v>233</v>
      </c>
      <c r="E587" s="132" t="s">
        <v>5336</v>
      </c>
      <c r="H587" s="206" t="str">
        <f t="shared" si="93"/>
        <v>(3.12) How many Community Health Workers have stopped working &lt;u&gt;in the last 12 months&lt;/u&gt;?</v>
      </c>
      <c r="I587" s="213" t="str">
        <f t="shared" si="92"/>
        <v>note</v>
      </c>
      <c r="J587" s="106" t="s">
        <v>3496</v>
      </c>
      <c r="L587" s="118" t="str">
        <f>IF(K587="yes",("Sorry, question "&amp;LEFT(E587, 7)&amp;" is required!"),"")</f>
        <v/>
      </c>
      <c r="O587" s="110" t="s">
        <v>5300</v>
      </c>
    </row>
    <row r="588" spans="1:24" ht="14.25" customHeight="1">
      <c r="A588" t="s">
        <v>234</v>
      </c>
      <c r="B588" s="1" t="s">
        <v>4768</v>
      </c>
      <c r="E588" s="118" t="s">
        <v>235</v>
      </c>
      <c r="H588" s="206" t="str">
        <f>"(3.12) How many Community Health Workers "&amp;E588&amp;"  have stopped working &lt;u&gt;in the last 12 months&lt;/u&gt;?"</f>
        <v>(3.12) How many Community Health Workers a. FEMALE  have stopped working &lt;u&gt;in the last 12 months&lt;/u&gt;?</v>
      </c>
      <c r="I588" s="213" t="str">
        <f t="shared" si="92"/>
        <v>integer</v>
      </c>
      <c r="J588" s="106" t="s">
        <v>6714</v>
      </c>
      <c r="K588" s="116" t="s">
        <v>2443</v>
      </c>
      <c r="L588" s="118" t="str">
        <f>IF(K588="yes",("Sorry, question (3.12) "&amp;LEFT(E588, 1)&amp;" is required!"),"")</f>
        <v>Sorry, question (3.12) a is required!</v>
      </c>
      <c r="M588" s="113" t="s">
        <v>2504</v>
      </c>
      <c r="N588" t="s">
        <v>6704</v>
      </c>
      <c r="O588" s="110" t="s">
        <v>5300</v>
      </c>
    </row>
    <row r="589" spans="1:24" ht="14.25" customHeight="1">
      <c r="A589" t="s">
        <v>236</v>
      </c>
      <c r="B589" s="1" t="s">
        <v>4769</v>
      </c>
      <c r="E589" s="118" t="s">
        <v>237</v>
      </c>
      <c r="H589" s="206" t="str">
        <f>"(3.12) How many Community Health Workers "&amp;E589&amp;"  have stopped working &lt;u&gt;in the last 12 months&lt;/u&gt;?"</f>
        <v>(3.12) How many Community Health Workers b. MALE  have stopped working &lt;u&gt;in the last 12 months&lt;/u&gt;?</v>
      </c>
      <c r="I589" s="213" t="str">
        <f t="shared" si="92"/>
        <v>integer</v>
      </c>
      <c r="J589" s="106" t="s">
        <v>6715</v>
      </c>
      <c r="K589" s="116" t="s">
        <v>2443</v>
      </c>
      <c r="L589" s="118" t="str">
        <f>IF(K589="yes",("Sorry, question (3.12) "&amp;LEFT(E589, 1)&amp;" is required!"),"")</f>
        <v>Sorry, question (3.12) b is required!</v>
      </c>
      <c r="M589" s="113" t="s">
        <v>2504</v>
      </c>
      <c r="N589" t="s">
        <v>6705</v>
      </c>
      <c r="O589" s="110" t="s">
        <v>5300</v>
      </c>
    </row>
    <row r="590" spans="1:24" ht="14.25" customHeight="1">
      <c r="A590" t="s">
        <v>229</v>
      </c>
      <c r="L590" s="118" t="str">
        <f t="shared" si="94"/>
        <v/>
      </c>
      <c r="X590" t="s">
        <v>3032</v>
      </c>
    </row>
    <row r="591" spans="1:24" s="184" customFormat="1" ht="14.25" customHeight="1">
      <c r="A591" s="185" t="s">
        <v>17</v>
      </c>
      <c r="B591" s="184" t="s">
        <v>6543</v>
      </c>
      <c r="E591" s="186" t="s">
        <v>6717</v>
      </c>
      <c r="F591" s="186"/>
      <c r="H591" s="209"/>
      <c r="I591" s="213" t="str">
        <f t="shared" si="92"/>
        <v>note</v>
      </c>
      <c r="J591" s="106" t="s">
        <v>6843</v>
      </c>
      <c r="K591" s="188" t="s">
        <v>2443</v>
      </c>
      <c r="L591" s="186"/>
      <c r="M591" s="113"/>
      <c r="N591"/>
      <c r="O591" s="191" t="s">
        <v>6544</v>
      </c>
      <c r="P591" s="190"/>
    </row>
    <row r="592" spans="1:24" s="184" customFormat="1" ht="14.25" customHeight="1">
      <c r="A592" s="185" t="s">
        <v>17</v>
      </c>
      <c r="B592" s="184" t="s">
        <v>6716</v>
      </c>
      <c r="E592" s="186" t="s">
        <v>6718</v>
      </c>
      <c r="F592" s="186"/>
      <c r="H592" s="209"/>
      <c r="I592" s="213" t="str">
        <f t="shared" si="92"/>
        <v>note</v>
      </c>
      <c r="J592" s="106" t="s">
        <v>6843</v>
      </c>
      <c r="K592" s="188" t="s">
        <v>2443</v>
      </c>
      <c r="L592" s="186"/>
      <c r="M592" s="113"/>
      <c r="N592"/>
      <c r="O592" s="110" t="s">
        <v>6719</v>
      </c>
      <c r="P592" s="190"/>
    </row>
    <row r="593" spans="1:24" ht="14.25" customHeight="1">
      <c r="A593" t="s">
        <v>231</v>
      </c>
      <c r="B593" s="1" t="s">
        <v>4765</v>
      </c>
      <c r="J593" s="106" t="s">
        <v>3371</v>
      </c>
      <c r="L593" s="118" t="str">
        <f t="shared" si="94"/>
        <v/>
      </c>
      <c r="X593" t="s">
        <v>3032</v>
      </c>
    </row>
    <row r="594" spans="1:24" ht="14.25" customHeight="1">
      <c r="A594" t="s">
        <v>230</v>
      </c>
      <c r="B594" s="1" t="s">
        <v>4773</v>
      </c>
      <c r="E594" s="118" t="s">
        <v>5337</v>
      </c>
      <c r="H594" s="206" t="str">
        <f>E594</f>
        <v>(3.12.1) Have you hired any new Community Health Workers &lt;u&gt;in the last 12 months&lt;/u&gt;?</v>
      </c>
      <c r="I594" s="213" t="str">
        <f t="shared" si="92"/>
        <v>select_one yesno</v>
      </c>
      <c r="J594" s="106" t="s">
        <v>6589</v>
      </c>
      <c r="K594" s="116" t="s">
        <v>2443</v>
      </c>
      <c r="L594" s="118" t="str">
        <f>IF(K594="yes",("Sorry, question "&amp;LEFT(E594, 8)&amp;" is required!"),"")</f>
        <v>Sorry, question (3.12.1) is required!</v>
      </c>
      <c r="O594" s="110" t="s">
        <v>219</v>
      </c>
    </row>
    <row r="595" spans="1:24" ht="14.25" customHeight="1">
      <c r="A595" t="s">
        <v>17</v>
      </c>
      <c r="B595" s="1" t="s">
        <v>4775</v>
      </c>
      <c r="E595" s="132" t="s">
        <v>5338</v>
      </c>
      <c r="I595" s="213" t="str">
        <f t="shared" si="92"/>
        <v>note</v>
      </c>
      <c r="J595" s="106" t="s">
        <v>3478</v>
      </c>
      <c r="L595" s="118" t="str">
        <f>IF(K595="yes",("Sorry, question "&amp;LEFT(E595, 7)&amp;" is required!"),"")</f>
        <v/>
      </c>
      <c r="O595" s="110" t="s">
        <v>4774</v>
      </c>
    </row>
    <row r="596" spans="1:24" ht="14.25" customHeight="1">
      <c r="A596" t="s">
        <v>14</v>
      </c>
      <c r="B596" s="1" t="s">
        <v>4770</v>
      </c>
      <c r="E596" s="118" t="s">
        <v>224</v>
      </c>
      <c r="H596" s="206" t="str">
        <f>"(3.12.2) How many Community Health Workers "&amp;E596&amp;"  did you hire &lt;u&gt;in the last 12 months&lt;/u&gt;?"</f>
        <v>(3.12.2) How many Community Health Workers a. FEMALE  did you hire &lt;u&gt;in the last 12 months&lt;/u&gt;?</v>
      </c>
      <c r="I596" s="213" t="str">
        <f t="shared" si="92"/>
        <v>integer</v>
      </c>
      <c r="J596" s="106" t="s">
        <v>3375</v>
      </c>
      <c r="K596" s="116" t="s">
        <v>2443</v>
      </c>
      <c r="L596" s="118" t="str">
        <f>IF(K596="yes",("Sorry, question (3.12.2) "&amp;LEFT(E596, 1)&amp;" is required!"),"")</f>
        <v>Sorry, question (3.12.2) a is required!</v>
      </c>
      <c r="M596" s="113" t="s">
        <v>3690</v>
      </c>
      <c r="N596" t="s">
        <v>6784</v>
      </c>
      <c r="O596" s="110" t="s">
        <v>4774</v>
      </c>
    </row>
    <row r="597" spans="1:24" ht="14.25" customHeight="1">
      <c r="A597" t="s">
        <v>14</v>
      </c>
      <c r="B597" s="1" t="s">
        <v>4771</v>
      </c>
      <c r="E597" s="118" t="s">
        <v>226</v>
      </c>
      <c r="H597" s="206" t="str">
        <f>"(3.12.2) How many Community Health Workers "&amp;E597&amp;"  did you hire &lt;u&gt;in the last 12 months&lt;/u&gt;?"</f>
        <v>(3.12.2) How many Community Health Workers b. MALE  did you hire &lt;u&gt;in the last 12 months&lt;/u&gt;?</v>
      </c>
      <c r="I597" s="213" t="str">
        <f t="shared" si="92"/>
        <v>integer</v>
      </c>
      <c r="J597" s="106" t="s">
        <v>3376</v>
      </c>
      <c r="K597" s="116" t="s">
        <v>2443</v>
      </c>
      <c r="L597" s="118" t="str">
        <f>IF(K597="yes",("Sorry, question (3.12.2) "&amp;LEFT(E597, 1)&amp;" is required!"),"")</f>
        <v>Sorry, question (3.12.2) b is required!</v>
      </c>
      <c r="M597" s="113" t="s">
        <v>3690</v>
      </c>
      <c r="N597" t="s">
        <v>6785</v>
      </c>
      <c r="O597" s="110" t="s">
        <v>4774</v>
      </c>
    </row>
    <row r="598" spans="1:24" ht="14.25" customHeight="1">
      <c r="A598" s="107" t="s">
        <v>2473</v>
      </c>
      <c r="B598" s="1" t="s">
        <v>4772</v>
      </c>
      <c r="H598" s="206" t="s">
        <v>6832</v>
      </c>
      <c r="I598" s="213" t="s">
        <v>14</v>
      </c>
      <c r="L598" s="118" t="str">
        <f>IF(K598="yes",("Sorry, question "&amp;LEFT(E598, 7)&amp;" is required!"),"")</f>
        <v/>
      </c>
      <c r="N598" s="107"/>
      <c r="P598" s="101" t="s">
        <v>6546</v>
      </c>
      <c r="S598" s="1"/>
    </row>
    <row r="599" spans="1:24" ht="14.25" customHeight="1">
      <c r="A599" t="s">
        <v>239</v>
      </c>
      <c r="B599" t="s">
        <v>240</v>
      </c>
      <c r="E599" s="118" t="s">
        <v>241</v>
      </c>
      <c r="H599" s="206" t="str">
        <f>E599</f>
        <v>(3.13) Does the health facility have a specially designated Community Health Nurse (CHN)?</v>
      </c>
      <c r="I599" s="213" t="str">
        <f t="shared" si="92"/>
        <v>select_one yesno</v>
      </c>
      <c r="J599" s="106" t="s">
        <v>6548</v>
      </c>
      <c r="K599" s="116" t="s">
        <v>2443</v>
      </c>
      <c r="L599" s="118" t="str">
        <f t="shared" si="94"/>
        <v>Sorry, question (3.13)  is required!</v>
      </c>
    </row>
    <row r="600" spans="1:24" ht="14.25" customHeight="1">
      <c r="A600" t="s">
        <v>242</v>
      </c>
      <c r="B600" t="s">
        <v>243</v>
      </c>
      <c r="E600" s="118" t="s">
        <v>4744</v>
      </c>
      <c r="H600" s="206" t="str">
        <f>E600</f>
        <v>(3.14) How many &lt;b&gt;[Community Health Nurses]&lt;/b&gt; work from this facility?</v>
      </c>
      <c r="I600" s="213" t="str">
        <f t="shared" si="92"/>
        <v>integer</v>
      </c>
      <c r="J600" s="106" t="s">
        <v>3483</v>
      </c>
      <c r="K600" s="116" t="s">
        <v>2443</v>
      </c>
      <c r="L600" s="118" t="str">
        <f t="shared" si="94"/>
        <v>Sorry, question (3.14)  is required!</v>
      </c>
      <c r="M600" s="113" t="s">
        <v>6691</v>
      </c>
      <c r="N600" t="s">
        <v>6692</v>
      </c>
      <c r="O600" s="110" t="s">
        <v>4776</v>
      </c>
    </row>
    <row r="601" spans="1:24" ht="14.25" customHeight="1">
      <c r="A601" t="s">
        <v>238</v>
      </c>
      <c r="L601" s="118" t="str">
        <f t="shared" si="94"/>
        <v/>
      </c>
      <c r="X601" t="s">
        <v>3032</v>
      </c>
    </row>
    <row r="602" spans="1:24" s="184" customFormat="1" ht="14.25" customHeight="1">
      <c r="A602" s="185" t="s">
        <v>17</v>
      </c>
      <c r="B602" s="184" t="s">
        <v>6545</v>
      </c>
      <c r="E602" s="186" t="s">
        <v>6693</v>
      </c>
      <c r="F602" s="186"/>
      <c r="H602" s="209"/>
      <c r="I602" s="213" t="str">
        <f t="shared" si="92"/>
        <v>note</v>
      </c>
      <c r="J602" s="187" t="s">
        <v>6843</v>
      </c>
      <c r="K602" s="188" t="s">
        <v>2443</v>
      </c>
      <c r="L602" s="186"/>
      <c r="M602" s="189"/>
      <c r="N602" s="185"/>
      <c r="O602" s="191" t="s">
        <v>6547</v>
      </c>
      <c r="P602" s="190"/>
    </row>
    <row r="603" spans="1:24" ht="14.25" customHeight="1">
      <c r="A603" t="s">
        <v>244</v>
      </c>
      <c r="B603" s="1" t="s">
        <v>4777</v>
      </c>
      <c r="J603" s="106" t="s">
        <v>245</v>
      </c>
      <c r="L603" s="118" t="str">
        <f t="shared" si="94"/>
        <v/>
      </c>
      <c r="O603" s="110" t="s">
        <v>4776</v>
      </c>
      <c r="X603" t="s">
        <v>3032</v>
      </c>
    </row>
    <row r="604" spans="1:24" ht="14.25" customHeight="1">
      <c r="A604" t="s">
        <v>17</v>
      </c>
      <c r="B604" s="1" t="s">
        <v>4778</v>
      </c>
      <c r="E604" s="117" t="s">
        <v>4238</v>
      </c>
      <c r="I604" s="213" t="str">
        <f t="shared" si="92"/>
        <v>note</v>
      </c>
      <c r="L604" s="118" t="str">
        <f t="shared" si="94"/>
        <v/>
      </c>
    </row>
    <row r="605" spans="1:24" ht="14.25" customHeight="1">
      <c r="A605" t="s">
        <v>17</v>
      </c>
      <c r="B605" s="1" t="s">
        <v>4779</v>
      </c>
      <c r="E605" s="118" t="s">
        <v>5339</v>
      </c>
      <c r="I605" s="213" t="str">
        <f t="shared" si="92"/>
        <v>note</v>
      </c>
      <c r="L605" s="118" t="str">
        <f t="shared" si="94"/>
        <v/>
      </c>
    </row>
    <row r="606" spans="1:24" ht="14.25" customHeight="1">
      <c r="A606" t="s">
        <v>246</v>
      </c>
      <c r="B606" s="1" t="s">
        <v>4780</v>
      </c>
      <c r="E606" s="118" t="s">
        <v>4252</v>
      </c>
      <c r="H606" s="206" t="str">
        <f>"(3.15) - "&amp;E606</f>
        <v>(3.15) - a. Participate in Community Health Workers meetings</v>
      </c>
      <c r="I606" s="213" t="str">
        <f t="shared" si="92"/>
        <v>select_one yesno</v>
      </c>
      <c r="J606" s="106" t="s">
        <v>4407</v>
      </c>
      <c r="K606" s="116" t="s">
        <v>2443</v>
      </c>
      <c r="L606" s="118" t="str">
        <f>IF(K606="yes",("Sorry, question (3.15) "&amp;LEFT(C606, 1)&amp;" is required!"),"")</f>
        <v>Sorry, question (3.15)  is required!</v>
      </c>
    </row>
    <row r="607" spans="1:24" ht="14.25" customHeight="1">
      <c r="A607" t="s">
        <v>247</v>
      </c>
      <c r="B607" s="1" t="s">
        <v>4781</v>
      </c>
      <c r="E607" s="118" t="s">
        <v>4253</v>
      </c>
      <c r="H607" s="206" t="str">
        <f t="shared" ref="H607:H616" si="95">"(3.15) - "&amp;E607</f>
        <v>(3.15) - b. Supervise Community Health Workers activities (observe consultations, activities)</v>
      </c>
      <c r="I607" s="213" t="str">
        <f t="shared" si="92"/>
        <v>select_one yesno</v>
      </c>
      <c r="J607" s="106" t="s">
        <v>4407</v>
      </c>
      <c r="K607" s="116" t="s">
        <v>2443</v>
      </c>
      <c r="L607" s="118" t="str">
        <f t="shared" ref="L607:L615" si="96">IF(K607="yes",("Sorry, question (3.15) "&amp;LEFT(C607, 1)&amp;" is required!"),"")</f>
        <v>Sorry, question (3.15)  is required!</v>
      </c>
    </row>
    <row r="608" spans="1:24" ht="14.25" customHeight="1">
      <c r="A608" t="s">
        <v>248</v>
      </c>
      <c r="B608" s="1" t="s">
        <v>4782</v>
      </c>
      <c r="E608" s="118" t="s">
        <v>4254</v>
      </c>
      <c r="H608" s="206" t="str">
        <f t="shared" si="95"/>
        <v>(3.15) - c. Replace Community Health Workers kits</v>
      </c>
      <c r="I608" s="213" t="str">
        <f t="shared" si="92"/>
        <v>select_one yesno</v>
      </c>
      <c r="J608" s="106" t="s">
        <v>4407</v>
      </c>
      <c r="K608" s="116" t="s">
        <v>2443</v>
      </c>
      <c r="L608" s="118" t="str">
        <f t="shared" si="96"/>
        <v>Sorry, question (3.15)  is required!</v>
      </c>
    </row>
    <row r="609" spans="1:24" ht="14.25" customHeight="1">
      <c r="A609" t="s">
        <v>249</v>
      </c>
      <c r="B609" s="1" t="s">
        <v>4783</v>
      </c>
      <c r="E609" s="118" t="s">
        <v>4255</v>
      </c>
      <c r="H609" s="206" t="str">
        <f t="shared" si="95"/>
        <v>(3.15) - d. Provide Community Health Workers training</v>
      </c>
      <c r="I609" s="213" t="str">
        <f t="shared" si="92"/>
        <v>select_one yesno</v>
      </c>
      <c r="J609" s="106" t="s">
        <v>4407</v>
      </c>
      <c r="K609" s="116" t="s">
        <v>2443</v>
      </c>
      <c r="L609" s="118" t="str">
        <f t="shared" si="96"/>
        <v>Sorry, question (3.15)  is required!</v>
      </c>
    </row>
    <row r="610" spans="1:24" ht="14.25" customHeight="1">
      <c r="A610" t="s">
        <v>250</v>
      </c>
      <c r="B610" s="1" t="s">
        <v>4784</v>
      </c>
      <c r="E610" s="118" t="s">
        <v>4256</v>
      </c>
      <c r="H610" s="206" t="str">
        <f t="shared" si="95"/>
        <v>(3.15) - e. Support Community Health Workers training</v>
      </c>
      <c r="I610" s="213" t="str">
        <f t="shared" si="92"/>
        <v>select_one yesno</v>
      </c>
      <c r="J610" s="106" t="s">
        <v>4407</v>
      </c>
      <c r="K610" s="116" t="s">
        <v>2443</v>
      </c>
      <c r="L610" s="118" t="str">
        <f t="shared" si="96"/>
        <v>Sorry, question (3.15)  is required!</v>
      </c>
    </row>
    <row r="611" spans="1:24" ht="14.25" customHeight="1">
      <c r="A611" t="s">
        <v>251</v>
      </c>
      <c r="B611" s="1" t="s">
        <v>4785</v>
      </c>
      <c r="E611" s="118" t="s">
        <v>4257</v>
      </c>
      <c r="H611" s="206" t="str">
        <f t="shared" si="95"/>
        <v>(3.15) - f. Collect and compile Monthly Activity Reports</v>
      </c>
      <c r="I611" s="213" t="str">
        <f t="shared" si="92"/>
        <v>select_one yesno</v>
      </c>
      <c r="J611" s="106" t="s">
        <v>4407</v>
      </c>
      <c r="K611" s="116" t="s">
        <v>2443</v>
      </c>
      <c r="L611" s="118" t="str">
        <f t="shared" si="96"/>
        <v>Sorry, question (3.15)  is required!</v>
      </c>
    </row>
    <row r="612" spans="1:24" ht="14.25" customHeight="1">
      <c r="A612" t="s">
        <v>252</v>
      </c>
      <c r="B612" s="1" t="s">
        <v>4786</v>
      </c>
      <c r="E612" s="118" t="s">
        <v>4258</v>
      </c>
      <c r="H612" s="206" t="str">
        <f t="shared" si="95"/>
        <v>(3.15) - g. Meet with VHWs at health posts</v>
      </c>
      <c r="I612" s="213" t="str">
        <f t="shared" si="92"/>
        <v>select_one yesno</v>
      </c>
      <c r="J612" s="106" t="s">
        <v>4407</v>
      </c>
      <c r="K612" s="116" t="s">
        <v>2443</v>
      </c>
      <c r="L612" s="118" t="str">
        <f t="shared" si="96"/>
        <v>Sorry, question (3.15)  is required!</v>
      </c>
    </row>
    <row r="613" spans="1:24" ht="14.25" customHeight="1">
      <c r="A613" t="s">
        <v>253</v>
      </c>
      <c r="B613" s="1" t="s">
        <v>4787</v>
      </c>
      <c r="E613" s="118" t="s">
        <v>4259</v>
      </c>
      <c r="H613" s="206" t="str">
        <f t="shared" si="95"/>
        <v>(3.15) - h. Promote specific health programs</v>
      </c>
      <c r="I613" s="213" t="str">
        <f t="shared" si="92"/>
        <v>select_one yesno</v>
      </c>
      <c r="J613" s="106" t="s">
        <v>4407</v>
      </c>
      <c r="K613" s="116" t="s">
        <v>2443</v>
      </c>
      <c r="L613" s="118" t="str">
        <f t="shared" si="96"/>
        <v>Sorry, question (3.15)  is required!</v>
      </c>
    </row>
    <row r="614" spans="1:24" ht="14.25" customHeight="1">
      <c r="A614" t="s">
        <v>254</v>
      </c>
      <c r="B614" s="1" t="s">
        <v>4788</v>
      </c>
      <c r="E614" s="118" t="s">
        <v>4260</v>
      </c>
      <c r="H614" s="206" t="str">
        <f t="shared" si="95"/>
        <v xml:space="preserve">(3.15) - i. Organize vaccination campaign(s) </v>
      </c>
      <c r="I614" s="213" t="str">
        <f t="shared" si="92"/>
        <v>select_one yesno</v>
      </c>
      <c r="J614" s="106" t="s">
        <v>4407</v>
      </c>
      <c r="K614" s="116" t="s">
        <v>2443</v>
      </c>
      <c r="L614" s="118" t="str">
        <f t="shared" si="96"/>
        <v>Sorry, question (3.15)  is required!</v>
      </c>
    </row>
    <row r="615" spans="1:24" ht="14.25" customHeight="1">
      <c r="A615" t="s">
        <v>255</v>
      </c>
      <c r="B615" s="1" t="s">
        <v>4789</v>
      </c>
      <c r="E615" s="118" t="s">
        <v>4261</v>
      </c>
      <c r="H615" s="206" t="str">
        <f t="shared" si="95"/>
        <v xml:space="preserve">(3.15) - j. Other, specify: </v>
      </c>
      <c r="I615" s="213" t="str">
        <f t="shared" si="92"/>
        <v>select_one yesno</v>
      </c>
      <c r="J615" s="106" t="s">
        <v>4407</v>
      </c>
      <c r="K615" s="116" t="s">
        <v>2443</v>
      </c>
      <c r="L615" s="118" t="str">
        <f t="shared" si="96"/>
        <v>Sorry, question (3.15)  is required!</v>
      </c>
    </row>
    <row r="616" spans="1:24" ht="14.25" customHeight="1">
      <c r="A616" t="s">
        <v>16</v>
      </c>
      <c r="B616" s="1" t="s">
        <v>4790</v>
      </c>
      <c r="E616" s="132" t="s">
        <v>6755</v>
      </c>
      <c r="F616" s="118" t="s">
        <v>1443</v>
      </c>
      <c r="H616" s="206" t="str">
        <f t="shared" si="95"/>
        <v xml:space="preserve">(3.15) - j.Other, specify: </v>
      </c>
      <c r="I616" s="213" t="str">
        <f t="shared" si="92"/>
        <v>text</v>
      </c>
      <c r="J616" s="106" t="s">
        <v>2773</v>
      </c>
      <c r="K616" s="116" t="s">
        <v>2443</v>
      </c>
      <c r="L616" s="118" t="str">
        <f>IF(K616="yes",("Sorry, question (3.15) "&amp;LEFT(E616, 7)&amp;" is required!"),"")</f>
        <v>Sorry, question (3.15) j.Other is required!</v>
      </c>
      <c r="O616" s="110" t="s">
        <v>4791</v>
      </c>
    </row>
    <row r="617" spans="1:24" s="184" customFormat="1" ht="14.25" customHeight="1">
      <c r="A617" s="184" t="s">
        <v>17</v>
      </c>
      <c r="B617" s="218" t="s">
        <v>6782</v>
      </c>
      <c r="E617" s="220" t="s">
        <v>6836</v>
      </c>
      <c r="F617" s="186"/>
      <c r="H617" s="209"/>
      <c r="I617" s="219" t="str">
        <f t="shared" si="92"/>
        <v>note</v>
      </c>
      <c r="J617" s="187"/>
      <c r="K617" s="188"/>
      <c r="L617" s="186"/>
      <c r="M617" s="189"/>
      <c r="O617" s="191" t="s">
        <v>6783</v>
      </c>
      <c r="P617" s="190"/>
    </row>
    <row r="618" spans="1:24" ht="14.25" customHeight="1">
      <c r="A618" t="s">
        <v>257</v>
      </c>
      <c r="L618" s="118" t="str">
        <f t="shared" si="94"/>
        <v/>
      </c>
      <c r="X618" t="s">
        <v>3032</v>
      </c>
    </row>
    <row r="619" spans="1:24" ht="14.25" customHeight="1">
      <c r="A619" t="s">
        <v>258</v>
      </c>
      <c r="L619" s="118" t="str">
        <f t="shared" si="94"/>
        <v/>
      </c>
      <c r="X619" t="s">
        <v>2778</v>
      </c>
    </row>
    <row r="620" spans="1:24" ht="14.25" customHeight="1">
      <c r="L620" s="118" t="str">
        <f t="shared" si="94"/>
        <v/>
      </c>
    </row>
    <row r="621" spans="1:24" ht="14.25" customHeight="1">
      <c r="A621" t="s">
        <v>259</v>
      </c>
      <c r="B621" t="s">
        <v>2105</v>
      </c>
      <c r="E621" s="118" t="s">
        <v>2788</v>
      </c>
      <c r="J621" s="106" t="s">
        <v>2778</v>
      </c>
      <c r="L621" s="118" t="str">
        <f t="shared" si="94"/>
        <v/>
      </c>
      <c r="O621" s="110" t="s">
        <v>3582</v>
      </c>
      <c r="X621" t="s">
        <v>2778</v>
      </c>
    </row>
    <row r="622" spans="1:24" ht="14.25" customHeight="1">
      <c r="A622" t="s">
        <v>260</v>
      </c>
      <c r="B622" s="1" t="s">
        <v>4792</v>
      </c>
      <c r="J622" s="106" t="s">
        <v>3526</v>
      </c>
      <c r="L622" s="118" t="str">
        <f t="shared" si="94"/>
        <v/>
      </c>
      <c r="X622" t="s">
        <v>3032</v>
      </c>
    </row>
    <row r="623" spans="1:24" ht="14.25" customHeight="1">
      <c r="A623" t="s">
        <v>17</v>
      </c>
      <c r="B623" s="1" t="s">
        <v>4793</v>
      </c>
      <c r="E623" s="130" t="s">
        <v>4139</v>
      </c>
      <c r="I623" s="213" t="str">
        <f t="shared" si="92"/>
        <v>note</v>
      </c>
      <c r="J623" s="106" t="s">
        <v>3528</v>
      </c>
      <c r="L623" s="118" t="str">
        <f t="shared" si="94"/>
        <v/>
      </c>
    </row>
    <row r="624" spans="1:24" ht="14.25" customHeight="1">
      <c r="A624" t="s">
        <v>261</v>
      </c>
      <c r="B624" s="1" t="s">
        <v>4794</v>
      </c>
      <c r="E624" s="130" t="s">
        <v>4140</v>
      </c>
      <c r="F624" s="118" t="s">
        <v>4201</v>
      </c>
      <c r="I624" s="213" t="str">
        <f t="shared" si="92"/>
        <v>note</v>
      </c>
      <c r="J624" s="106" t="s">
        <v>3529</v>
      </c>
      <c r="L624" s="118" t="str">
        <f t="shared" si="94"/>
        <v/>
      </c>
    </row>
    <row r="625" spans="1:24" ht="14.25" customHeight="1">
      <c r="A625" t="s">
        <v>263</v>
      </c>
      <c r="B625" s="1" t="s">
        <v>4795</v>
      </c>
      <c r="E625" s="118" t="s">
        <v>2901</v>
      </c>
      <c r="F625" s="118" t="s">
        <v>3552</v>
      </c>
      <c r="H625" s="206" t="str">
        <f>"(f1_04_roster) "&amp;E625</f>
        <v>(f1_04_roster) How many people will be included in the following roster?</v>
      </c>
      <c r="I625" s="213" t="str">
        <f t="shared" si="92"/>
        <v>integer</v>
      </c>
      <c r="J625" s="106" t="s">
        <v>3484</v>
      </c>
      <c r="K625" s="116" t="s">
        <v>2443</v>
      </c>
      <c r="L625" s="118" t="str">
        <f>IF(K625="yes",("Sorry, question "&amp;LEFT(E625, 8)&amp;"... is required!"),"")</f>
        <v>Sorry, question How many... is required!</v>
      </c>
      <c r="M625" s="113" t="s">
        <v>3368</v>
      </c>
      <c r="N625" t="s">
        <v>3802</v>
      </c>
    </row>
    <row r="626" spans="1:24" ht="14.25" customHeight="1">
      <c r="A626" t="s">
        <v>262</v>
      </c>
      <c r="L626" s="118" t="str">
        <f t="shared" si="94"/>
        <v/>
      </c>
      <c r="X626" t="s">
        <v>3032</v>
      </c>
    </row>
    <row r="627" spans="1:24" ht="14.25" customHeight="1">
      <c r="A627" t="s">
        <v>264</v>
      </c>
      <c r="B627" s="1" t="s">
        <v>4797</v>
      </c>
      <c r="L627" s="118" t="str">
        <f t="shared" si="94"/>
        <v/>
      </c>
      <c r="Q627" s="1" t="s">
        <v>4796</v>
      </c>
      <c r="X627" t="s">
        <v>3035</v>
      </c>
    </row>
    <row r="628" spans="1:24" ht="14.25" customHeight="1">
      <c r="A628" t="s">
        <v>2473</v>
      </c>
      <c r="B628" s="1" t="s">
        <v>6566</v>
      </c>
      <c r="E628" s="118" t="s">
        <v>6573</v>
      </c>
      <c r="H628" s="206" t="s">
        <v>6756</v>
      </c>
      <c r="I628" s="213" t="s">
        <v>14</v>
      </c>
      <c r="L628" s="118" t="str">
        <f t="shared" si="94"/>
        <v/>
      </c>
      <c r="P628" s="101" t="s">
        <v>3382</v>
      </c>
    </row>
    <row r="629" spans="1:24" ht="14.25" customHeight="1">
      <c r="A629" t="s">
        <v>2473</v>
      </c>
      <c r="B629" s="1" t="s">
        <v>6571</v>
      </c>
      <c r="E629" s="118" t="s">
        <v>6572</v>
      </c>
      <c r="H629" s="206" t="s">
        <v>6757</v>
      </c>
      <c r="I629" s="213" t="s">
        <v>14</v>
      </c>
      <c r="P629" s="101" t="s">
        <v>6574</v>
      </c>
    </row>
    <row r="630" spans="1:24" ht="14.25" customHeight="1">
      <c r="A630" t="s">
        <v>265</v>
      </c>
      <c r="B630" s="1" t="s">
        <v>4798</v>
      </c>
      <c r="J630" s="106" t="s">
        <v>13</v>
      </c>
      <c r="L630" s="118" t="str">
        <f t="shared" si="94"/>
        <v/>
      </c>
      <c r="X630" t="s">
        <v>3032</v>
      </c>
    </row>
    <row r="631" spans="1:24" ht="15">
      <c r="A631" s="107" t="s">
        <v>17</v>
      </c>
      <c r="B631" s="1" t="s">
        <v>6554</v>
      </c>
      <c r="E631" s="130" t="s">
        <v>6569</v>
      </c>
      <c r="I631" s="213" t="str">
        <f t="shared" si="92"/>
        <v>note</v>
      </c>
      <c r="S631" s="1"/>
    </row>
    <row r="632" spans="1:24" ht="15">
      <c r="A632" s="1" t="s">
        <v>16</v>
      </c>
      <c r="B632" t="s">
        <v>2797</v>
      </c>
      <c r="E632" s="118" t="s">
        <v>2714</v>
      </c>
      <c r="F632" s="132" t="s">
        <v>6570</v>
      </c>
      <c r="H632" s="206" t="str">
        <f>E632</f>
        <v>(4.01) Please select the Staff's name</v>
      </c>
      <c r="I632" s="213" t="s">
        <v>6760</v>
      </c>
      <c r="J632" s="106" t="s">
        <v>6575</v>
      </c>
      <c r="K632" s="116" t="s">
        <v>2443</v>
      </c>
      <c r="L632" s="118" t="str">
        <f t="shared" si="94"/>
        <v>Sorry, question (4.01)  is required!</v>
      </c>
      <c r="N632" t="s">
        <v>5379</v>
      </c>
    </row>
    <row r="633" spans="1:24" ht="15">
      <c r="A633" t="s">
        <v>2473</v>
      </c>
      <c r="B633" t="s">
        <v>2798</v>
      </c>
      <c r="E633" s="132" t="s">
        <v>4801</v>
      </c>
      <c r="H633" s="206" t="s">
        <v>6758</v>
      </c>
      <c r="I633" s="213" t="s">
        <v>14</v>
      </c>
      <c r="L633" s="118" t="str">
        <f t="shared" si="94"/>
        <v/>
      </c>
      <c r="P633" s="101" t="s">
        <v>6567</v>
      </c>
    </row>
    <row r="634" spans="1:24" ht="15">
      <c r="A634" t="s">
        <v>2473</v>
      </c>
      <c r="B634" t="s">
        <v>2774</v>
      </c>
      <c r="E634" s="132" t="s">
        <v>4802</v>
      </c>
      <c r="H634" s="206" t="s">
        <v>6759</v>
      </c>
      <c r="I634" s="213" t="s">
        <v>16</v>
      </c>
      <c r="L634" s="118" t="str">
        <f t="shared" si="94"/>
        <v/>
      </c>
      <c r="P634" s="101" t="s">
        <v>6512</v>
      </c>
    </row>
    <row r="635" spans="1:24" ht="14.25" customHeight="1">
      <c r="A635" s="1" t="s">
        <v>4804</v>
      </c>
      <c r="B635" t="s">
        <v>266</v>
      </c>
      <c r="E635" s="132" t="s">
        <v>6555</v>
      </c>
      <c r="H635" s="206" t="str">
        <f>E635</f>
        <v>(4.02) IS &lt;b&gt;${f1_04_01_name}&lt;/b&gt; MALE OR FEMALE?</v>
      </c>
      <c r="I635" s="213" t="str">
        <f t="shared" si="92"/>
        <v>select_one gender</v>
      </c>
      <c r="J635" s="106" t="s">
        <v>4457</v>
      </c>
      <c r="K635" s="116" t="s">
        <v>2443</v>
      </c>
      <c r="L635" s="118" t="str">
        <f t="shared" si="94"/>
        <v>Sorry, question (4.02)  is required!</v>
      </c>
    </row>
    <row r="636" spans="1:24" ht="14.25" customHeight="1">
      <c r="A636" t="s">
        <v>267</v>
      </c>
      <c r="B636" s="107" t="s">
        <v>268</v>
      </c>
      <c r="E636" s="118" t="s">
        <v>6556</v>
      </c>
      <c r="H636" s="206" t="str">
        <f t="shared" ref="H636:H639" si="97">E636</f>
        <v>(4.03) Is &lt;b&gt;${f1_04_01_name}&lt;/b&gt; a respondent?</v>
      </c>
      <c r="I636" s="213" t="str">
        <f t="shared" si="92"/>
        <v>select_one yesno</v>
      </c>
      <c r="J636" s="106" t="s">
        <v>4457</v>
      </c>
      <c r="K636" s="116" t="s">
        <v>2443</v>
      </c>
      <c r="L636" s="118" t="str">
        <f t="shared" si="94"/>
        <v>Sorry, question (4.03)  is required!</v>
      </c>
    </row>
    <row r="637" spans="1:24" ht="14.25" customHeight="1">
      <c r="A637" t="s">
        <v>269</v>
      </c>
      <c r="B637" t="s">
        <v>270</v>
      </c>
      <c r="E637" s="118" t="s">
        <v>6557</v>
      </c>
      <c r="F637" s="118" t="s">
        <v>2588</v>
      </c>
      <c r="H637" s="206" t="str">
        <f t="shared" si="97"/>
        <v>(4.04) How old is &lt;b&gt;${f1_04_01_name}&lt;/b&gt;?</v>
      </c>
      <c r="I637" s="213" t="str">
        <f t="shared" si="92"/>
        <v>integer</v>
      </c>
      <c r="J637" s="106" t="s">
        <v>3379</v>
      </c>
      <c r="K637" s="116" t="s">
        <v>2443</v>
      </c>
      <c r="L637" s="118" t="str">
        <f t="shared" si="94"/>
        <v>Sorry, question (4.04)  is required!</v>
      </c>
      <c r="M637" s="113" t="s">
        <v>2732</v>
      </c>
      <c r="N637" t="s">
        <v>3803</v>
      </c>
    </row>
    <row r="638" spans="1:24" ht="14.25" customHeight="1">
      <c r="A638" t="s">
        <v>271</v>
      </c>
      <c r="B638" t="s">
        <v>2476</v>
      </c>
      <c r="E638" s="118" t="s">
        <v>6558</v>
      </c>
      <c r="H638" s="206" t="str">
        <f t="shared" si="97"/>
        <v>(4.05) What is &lt;b&gt;${f1_04_01_name}&lt;/b&gt;'s position in this facility? (Clinical)</v>
      </c>
      <c r="I638" s="213" t="str">
        <f t="shared" si="92"/>
        <v>select_one pos</v>
      </c>
      <c r="J638" s="106" t="s">
        <v>3369</v>
      </c>
      <c r="K638" s="116" t="s">
        <v>2443</v>
      </c>
      <c r="L638" s="118" t="str">
        <f t="shared" si="94"/>
        <v>Sorry, question (4.05)  is required!</v>
      </c>
    </row>
    <row r="639" spans="1:24" ht="14.25" customHeight="1">
      <c r="A639" t="s">
        <v>16</v>
      </c>
      <c r="B639" t="s">
        <v>2587</v>
      </c>
      <c r="E639" s="132" t="s">
        <v>6761</v>
      </c>
      <c r="F639" s="118" t="s">
        <v>2775</v>
      </c>
      <c r="H639" s="206" t="str">
        <f t="shared" si="97"/>
        <v>(4.05). OTHER CLINIC</v>
      </c>
      <c r="I639" s="213" t="str">
        <f t="shared" si="92"/>
        <v>text</v>
      </c>
      <c r="J639" s="106" t="s">
        <v>3547</v>
      </c>
      <c r="K639" s="116" t="s">
        <v>2443</v>
      </c>
      <c r="L639" s="118" t="str">
        <f>IF(K639="yes",("Sorry, question "&amp;LEFT(E639, 14)&amp;" is required!"),"")</f>
        <v>Sorry, question (4.05). OTHER  is required!</v>
      </c>
      <c r="O639" s="110" t="s">
        <v>4129</v>
      </c>
    </row>
    <row r="640" spans="1:24" ht="14.25" customHeight="1">
      <c r="A640" t="s">
        <v>15</v>
      </c>
      <c r="L640" s="118" t="str">
        <f t="shared" si="94"/>
        <v/>
      </c>
      <c r="X640" t="s">
        <v>3032</v>
      </c>
    </row>
    <row r="641" spans="1:24" ht="14.25" customHeight="1">
      <c r="A641" t="s">
        <v>272</v>
      </c>
      <c r="B641" s="1" t="s">
        <v>4805</v>
      </c>
      <c r="J641" s="106" t="s">
        <v>273</v>
      </c>
      <c r="L641" s="118" t="str">
        <f t="shared" si="94"/>
        <v/>
      </c>
      <c r="X641" t="s">
        <v>3032</v>
      </c>
    </row>
    <row r="642" spans="1:24" ht="14.25" customHeight="1">
      <c r="A642" t="s">
        <v>2480</v>
      </c>
      <c r="B642" t="s">
        <v>2481</v>
      </c>
      <c r="E642" s="118" t="s">
        <v>6559</v>
      </c>
      <c r="H642" s="206" t="str">
        <f>E642</f>
        <v>(4.06) Was &lt;b&gt;${f1_04_01_name}&lt;/b&gt; appointed by the central Ministry or contracted locally?</v>
      </c>
      <c r="I642" s="213" t="str">
        <f t="shared" ref="I642:I703" si="98">A642</f>
        <v>select_one app</v>
      </c>
      <c r="J642" s="106" t="s">
        <v>4457</v>
      </c>
      <c r="K642" s="116" t="s">
        <v>2443</v>
      </c>
      <c r="L642" s="118" t="str">
        <f t="shared" si="94"/>
        <v>Sorry, question (4.06)  is required!</v>
      </c>
    </row>
    <row r="643" spans="1:24" ht="14.25" customHeight="1">
      <c r="A643" t="s">
        <v>2583</v>
      </c>
      <c r="B643" t="s">
        <v>2902</v>
      </c>
      <c r="E643" s="118" t="s">
        <v>6560</v>
      </c>
      <c r="F643" s="118" t="s">
        <v>6676</v>
      </c>
      <c r="H643" s="206" t="str">
        <f t="shared" ref="H643:H647" si="99">E643</f>
        <v>(4.07) How many days per week does &lt;b&gt;${f1_04_01_name}&lt;/b&gt; work at this health facility?</v>
      </c>
      <c r="I643" s="213" t="s">
        <v>14</v>
      </c>
      <c r="J643" s="106" t="s">
        <v>3379</v>
      </c>
      <c r="K643" s="116" t="s">
        <v>2443</v>
      </c>
      <c r="L643" s="118" t="str">
        <f t="shared" si="94"/>
        <v>Sorry, question (4.07)  is required!</v>
      </c>
      <c r="M643" s="113" t="s">
        <v>6551</v>
      </c>
      <c r="N643" t="s">
        <v>3804</v>
      </c>
    </row>
    <row r="644" spans="1:24" ht="14.25" customHeight="1">
      <c r="A644" t="s">
        <v>274</v>
      </c>
      <c r="B644" t="s">
        <v>2903</v>
      </c>
      <c r="E644" s="118" t="s">
        <v>6561</v>
      </c>
      <c r="F644" s="118" t="s">
        <v>6677</v>
      </c>
      <c r="H644" s="206" t="str">
        <f t="shared" si="99"/>
        <v>(4.08) How many hours per week does &lt;b&gt;${f1_04_01_name}&lt;/b&gt; usually work at this health facility?</v>
      </c>
      <c r="I644" s="213" t="str">
        <f t="shared" si="98"/>
        <v>integer</v>
      </c>
      <c r="J644" s="106" t="s">
        <v>3379</v>
      </c>
      <c r="K644" s="116" t="s">
        <v>2443</v>
      </c>
      <c r="L644" s="118" t="str">
        <f t="shared" si="94"/>
        <v>Sorry, question (4.08)  is required!</v>
      </c>
      <c r="M644" s="113" t="s">
        <v>6846</v>
      </c>
      <c r="N644" t="s">
        <v>6847</v>
      </c>
    </row>
    <row r="645" spans="1:24" ht="14.25" customHeight="1">
      <c r="A645" t="s">
        <v>275</v>
      </c>
      <c r="B645" t="s">
        <v>2904</v>
      </c>
      <c r="E645" s="118" t="s">
        <v>6712</v>
      </c>
      <c r="F645" t="s">
        <v>6711</v>
      </c>
      <c r="H645" s="206" t="str">
        <f t="shared" si="99"/>
        <v>(4.09) How many hours per week does &lt;b&gt;${f1_04_01_name}&lt;/b&gt; usually spend providing medical care directly to patients?&lt;br&gt;INTERVIEWER: IF NON-CLINICAL STAFF: RECORD 00</v>
      </c>
      <c r="I645" s="213" t="str">
        <f t="shared" si="98"/>
        <v>integer</v>
      </c>
      <c r="K645" s="116" t="s">
        <v>2443</v>
      </c>
      <c r="L645" s="118" t="str">
        <f t="shared" si="94"/>
        <v>Sorry, question (4.09)  is required!</v>
      </c>
      <c r="M645" s="113" t="s">
        <v>6848</v>
      </c>
      <c r="N645" t="s">
        <v>6849</v>
      </c>
    </row>
    <row r="646" spans="1:24" ht="14.25" customHeight="1">
      <c r="A646" t="s">
        <v>276</v>
      </c>
      <c r="B646" t="s">
        <v>2905</v>
      </c>
      <c r="E646" s="118" t="s">
        <v>6562</v>
      </c>
      <c r="H646" s="206" t="str">
        <f t="shared" si="99"/>
        <v>(4.10) Does &lt;b&gt;${f1_04_01_name}&lt;/b&gt; also work in a private health practice?</v>
      </c>
      <c r="I646" s="213" t="str">
        <f t="shared" si="98"/>
        <v>select_one yesno</v>
      </c>
      <c r="J646" s="106" t="s">
        <v>4457</v>
      </c>
      <c r="K646" s="116" t="s">
        <v>2443</v>
      </c>
      <c r="L646" s="118" t="str">
        <f t="shared" ref="L646:L666" si="100">IF(K646="yes",("Sorry, question "&amp;LEFT(E646, 7)&amp;" is required!"),"")</f>
        <v>Sorry, question (4.10)  is required!</v>
      </c>
    </row>
    <row r="647" spans="1:24" ht="14.25" customHeight="1">
      <c r="A647" t="s">
        <v>277</v>
      </c>
      <c r="B647" t="s">
        <v>2906</v>
      </c>
      <c r="E647" s="118" t="s">
        <v>6563</v>
      </c>
      <c r="H647" s="206" t="str">
        <f t="shared" si="99"/>
        <v>(4.11) Is &lt;b&gt;${f1_04_01_name}&lt;/b&gt; here today?</v>
      </c>
      <c r="I647" s="213" t="str">
        <f t="shared" si="98"/>
        <v>select_one yesno</v>
      </c>
      <c r="J647" s="106" t="s">
        <v>4457</v>
      </c>
      <c r="K647" s="116" t="s">
        <v>2443</v>
      </c>
      <c r="L647" s="118" t="str">
        <f t="shared" si="100"/>
        <v>Sorry, question (4.11)  is required!</v>
      </c>
      <c r="M647" s="113" t="s">
        <v>6553</v>
      </c>
      <c r="N647" t="s">
        <v>6549</v>
      </c>
    </row>
    <row r="648" spans="1:24" ht="14.25" customHeight="1">
      <c r="A648" t="s">
        <v>278</v>
      </c>
      <c r="L648" s="118" t="str">
        <f t="shared" si="100"/>
        <v/>
      </c>
      <c r="X648" t="s">
        <v>3032</v>
      </c>
    </row>
    <row r="649" spans="1:24" ht="14.25" customHeight="1">
      <c r="A649" t="s">
        <v>12</v>
      </c>
      <c r="B649" t="s">
        <v>3130</v>
      </c>
      <c r="J649" s="106" t="s">
        <v>13</v>
      </c>
      <c r="L649" s="118" t="str">
        <f t="shared" si="100"/>
        <v/>
      </c>
      <c r="X649" t="s">
        <v>3032</v>
      </c>
    </row>
    <row r="650" spans="1:24" ht="14.25" customHeight="1">
      <c r="A650" t="s">
        <v>279</v>
      </c>
      <c r="B650" s="107" t="s">
        <v>4806</v>
      </c>
      <c r="E650" s="118" t="s">
        <v>6564</v>
      </c>
      <c r="H650" s="206" t="str">
        <f>E650</f>
        <v>(4.12) Can you please tell me why &lt;b&gt;${f1_04_01_name}&lt;/b&gt; is not here today?</v>
      </c>
      <c r="I650" s="213" t="str">
        <f t="shared" si="98"/>
        <v>select_one why</v>
      </c>
      <c r="K650" s="116" t="s">
        <v>2443</v>
      </c>
      <c r="L650" s="118" t="str">
        <f t="shared" si="100"/>
        <v>Sorry, question (4.12)  is required!</v>
      </c>
      <c r="O650" s="110" t="s">
        <v>4807</v>
      </c>
      <c r="R650" s="192" t="s">
        <v>6568</v>
      </c>
    </row>
    <row r="651" spans="1:24" ht="14.25" customHeight="1">
      <c r="A651" t="s">
        <v>280</v>
      </c>
      <c r="B651" t="s">
        <v>2907</v>
      </c>
      <c r="E651" s="132" t="s">
        <v>6762</v>
      </c>
      <c r="F651" s="118" t="s">
        <v>46</v>
      </c>
      <c r="H651" s="206" t="str">
        <f>E651</f>
        <v>(4.12) OTHER, SPECIFY:</v>
      </c>
      <c r="I651" s="213" t="str">
        <f t="shared" si="98"/>
        <v>text</v>
      </c>
      <c r="J651" s="106" t="s">
        <v>2773</v>
      </c>
      <c r="K651" s="116" t="s">
        <v>2443</v>
      </c>
      <c r="L651" s="118" t="str">
        <f>IF(K651="yes",("Sorry, question "&amp;LEFT(E651, 12)&amp;" is required!"),"")</f>
        <v>Sorry, question (4.12) OTHER is required!</v>
      </c>
      <c r="O651" s="110" t="s">
        <v>4808</v>
      </c>
    </row>
    <row r="652" spans="1:24" ht="14.25" customHeight="1">
      <c r="A652" s="1" t="s">
        <v>2908</v>
      </c>
      <c r="B652" t="s">
        <v>2909</v>
      </c>
      <c r="E652" s="132" t="s">
        <v>6565</v>
      </c>
      <c r="F652" s="118" t="s">
        <v>2632</v>
      </c>
      <c r="H652" s="206" t="str">
        <f>E652</f>
        <v>(4.13) What services is &lt;b&gt;${f1_04_01_name}&lt;/b&gt; providing today?</v>
      </c>
      <c r="I652" s="213" t="str">
        <f t="shared" si="98"/>
        <v>select_multiple prov</v>
      </c>
      <c r="K652" s="116" t="s">
        <v>2443</v>
      </c>
      <c r="L652" s="118" t="str">
        <f t="shared" si="100"/>
        <v>Sorry, question (4.13)  is required!</v>
      </c>
      <c r="M652" s="113" t="s">
        <v>4809</v>
      </c>
      <c r="N652" t="s">
        <v>3805</v>
      </c>
      <c r="O652" s="110" t="s">
        <v>6550</v>
      </c>
    </row>
    <row r="653" spans="1:24" ht="14.25" customHeight="1">
      <c r="A653" t="s">
        <v>15</v>
      </c>
      <c r="L653" s="118" t="str">
        <f t="shared" si="100"/>
        <v/>
      </c>
      <c r="X653" t="s">
        <v>3032</v>
      </c>
    </row>
    <row r="654" spans="1:24" ht="14.25" customHeight="1">
      <c r="A654" t="s">
        <v>281</v>
      </c>
      <c r="L654" s="118" t="str">
        <f t="shared" si="100"/>
        <v/>
      </c>
      <c r="X654" t="s">
        <v>3035</v>
      </c>
    </row>
    <row r="655" spans="1:24" ht="14.25" customHeight="1">
      <c r="A655" t="s">
        <v>282</v>
      </c>
      <c r="L655" s="118" t="str">
        <f t="shared" si="100"/>
        <v/>
      </c>
      <c r="X655" t="s">
        <v>2778</v>
      </c>
    </row>
    <row r="657" spans="1:24" ht="14.25" customHeight="1">
      <c r="A657" t="s">
        <v>283</v>
      </c>
      <c r="B657" t="s">
        <v>2106</v>
      </c>
      <c r="E657" s="118" t="s">
        <v>2789</v>
      </c>
      <c r="J657" s="106" t="s">
        <v>2778</v>
      </c>
      <c r="L657" s="118" t="str">
        <f t="shared" si="100"/>
        <v/>
      </c>
      <c r="O657" s="110" t="s">
        <v>3582</v>
      </c>
      <c r="X657" t="s">
        <v>2778</v>
      </c>
    </row>
    <row r="658" spans="1:24" ht="14.25" customHeight="1">
      <c r="A658" t="s">
        <v>284</v>
      </c>
      <c r="B658" t="s">
        <v>3131</v>
      </c>
      <c r="J658" s="106" t="s">
        <v>3526</v>
      </c>
      <c r="L658" s="118" t="str">
        <f t="shared" si="100"/>
        <v/>
      </c>
      <c r="X658" t="s">
        <v>3032</v>
      </c>
    </row>
    <row r="659" spans="1:24" ht="14.25" customHeight="1">
      <c r="A659" t="s">
        <v>285</v>
      </c>
      <c r="B659" t="s">
        <v>286</v>
      </c>
      <c r="E659" s="130" t="s">
        <v>4141</v>
      </c>
      <c r="I659" s="213" t="str">
        <f t="shared" si="98"/>
        <v>note</v>
      </c>
      <c r="J659" s="106" t="s">
        <v>3528</v>
      </c>
      <c r="L659" s="118" t="str">
        <f t="shared" si="100"/>
        <v/>
      </c>
    </row>
    <row r="660" spans="1:24" ht="14.25" customHeight="1">
      <c r="A660" t="s">
        <v>287</v>
      </c>
      <c r="B660" t="s">
        <v>288</v>
      </c>
      <c r="E660" s="133" t="s">
        <v>4281</v>
      </c>
      <c r="I660" s="213" t="str">
        <f t="shared" si="98"/>
        <v>note</v>
      </c>
      <c r="J660" s="106" t="s">
        <v>3529</v>
      </c>
      <c r="L660" s="118" t="str">
        <f t="shared" si="100"/>
        <v/>
      </c>
    </row>
    <row r="661" spans="1:24" ht="14.25" customHeight="1">
      <c r="A661" s="1" t="s">
        <v>2713</v>
      </c>
      <c r="B661" t="s">
        <v>3692</v>
      </c>
      <c r="E661" s="118" t="s">
        <v>289</v>
      </c>
      <c r="F661" s="118" t="s">
        <v>6576</v>
      </c>
      <c r="H661" s="206" t="str">
        <f>"(f1_5id) "&amp;E661</f>
        <v>(f1_5id) ID CODE OF THE RESPONDENT FROM THE STAFF ROSTER</v>
      </c>
      <c r="I661" s="213" t="s">
        <v>6816</v>
      </c>
      <c r="J661" s="165" t="s">
        <v>6636</v>
      </c>
      <c r="K661" s="116" t="s">
        <v>2443</v>
      </c>
      <c r="L661" s="118" t="str">
        <f t="shared" si="100"/>
        <v>Sorry, question ID CODE is required!</v>
      </c>
      <c r="N661" t="s">
        <v>5380</v>
      </c>
      <c r="X661" t="s">
        <v>6578</v>
      </c>
    </row>
    <row r="662" spans="1:24" s="194" customFormat="1" ht="14.25" customHeight="1">
      <c r="A662" s="193" t="s">
        <v>4149</v>
      </c>
      <c r="B662" s="194" t="s">
        <v>5284</v>
      </c>
      <c r="E662" s="132" t="s">
        <v>6763</v>
      </c>
      <c r="F662" s="195"/>
      <c r="H662" s="206" t="str">
        <f>"(f1_5lb) "&amp;E662</f>
        <v>(f1_5lb) NAME OF THE RESPONDENT FROM THE STAFF ROSTER</v>
      </c>
      <c r="I662" s="213" t="s">
        <v>16</v>
      </c>
      <c r="J662" s="200" t="s">
        <v>6577</v>
      </c>
      <c r="K662" s="196"/>
      <c r="L662" s="195"/>
      <c r="M662" s="197"/>
      <c r="O662" s="198"/>
      <c r="P662" s="199"/>
    </row>
    <row r="663" spans="1:24" ht="14.25" customHeight="1">
      <c r="A663" t="s">
        <v>15</v>
      </c>
      <c r="C663" t="s">
        <v>2115</v>
      </c>
      <c r="L663" s="118" t="str">
        <f t="shared" si="100"/>
        <v/>
      </c>
      <c r="X663" t="s">
        <v>3032</v>
      </c>
    </row>
    <row r="664" spans="1:24" ht="15">
      <c r="A664" t="s">
        <v>290</v>
      </c>
      <c r="B664" t="s">
        <v>291</v>
      </c>
      <c r="E664" s="118" t="s">
        <v>292</v>
      </c>
      <c r="H664" s="206" t="str">
        <f>E664</f>
        <v>(5.01) Does the facility provide laboratory services?</v>
      </c>
      <c r="I664" s="213" t="str">
        <f t="shared" si="98"/>
        <v>select_one yesno</v>
      </c>
      <c r="J664" s="106" t="s">
        <v>4457</v>
      </c>
      <c r="K664" s="116" t="s">
        <v>2443</v>
      </c>
      <c r="L664" s="118" t="str">
        <f t="shared" si="100"/>
        <v>Sorry, question (5.01)  is required!</v>
      </c>
    </row>
    <row r="665" spans="1:24" ht="14.25" customHeight="1">
      <c r="A665" t="s">
        <v>12</v>
      </c>
      <c r="B665" t="s">
        <v>3464</v>
      </c>
      <c r="J665" s="106" t="s">
        <v>3526</v>
      </c>
      <c r="L665" s="118" t="str">
        <f t="shared" si="100"/>
        <v/>
      </c>
      <c r="O665" s="110" t="s">
        <v>293</v>
      </c>
      <c r="X665" t="s">
        <v>3032</v>
      </c>
    </row>
    <row r="666" spans="1:24" ht="14.25" customHeight="1">
      <c r="A666" t="s">
        <v>17</v>
      </c>
      <c r="B666" t="s">
        <v>4811</v>
      </c>
      <c r="E666" s="130" t="s">
        <v>4183</v>
      </c>
      <c r="I666" s="213" t="str">
        <f t="shared" si="98"/>
        <v>note</v>
      </c>
      <c r="J666" s="106" t="s">
        <v>3528</v>
      </c>
      <c r="L666" s="118" t="str">
        <f t="shared" si="100"/>
        <v/>
      </c>
    </row>
    <row r="667" spans="1:24" ht="14.25" customHeight="1">
      <c r="A667" t="s">
        <v>14</v>
      </c>
      <c r="B667" t="s">
        <v>4812</v>
      </c>
      <c r="E667" s="118" t="s">
        <v>5340</v>
      </c>
      <c r="F667" s="118" t="s">
        <v>3036</v>
      </c>
      <c r="H667" s="206" t="str">
        <f>E667</f>
        <v xml:space="preserve">(5.01_1N) What quantity of &lt;b&gt;Malaria rapid diagnostic kits&lt;/b&gt; are available at this time? </v>
      </c>
      <c r="I667" s="213" t="str">
        <f t="shared" si="98"/>
        <v>integer</v>
      </c>
      <c r="J667" s="106" t="s">
        <v>3544</v>
      </c>
      <c r="K667" s="116" t="s">
        <v>2443</v>
      </c>
      <c r="L667" s="118" t="str">
        <f>IF(K667="yes",("Sorry, question "&amp;LEFT(E667, 9)&amp;" is required!"),"")</f>
        <v>Sorry, question (5.01_1N) is required!</v>
      </c>
      <c r="M667" s="113" t="s">
        <v>2504</v>
      </c>
      <c r="N667" t="s">
        <v>3806</v>
      </c>
    </row>
    <row r="668" spans="1:24" ht="14.25" customHeight="1">
      <c r="A668" t="s">
        <v>15</v>
      </c>
      <c r="C668" t="s">
        <v>2115</v>
      </c>
      <c r="L668" s="118" t="str">
        <f t="shared" ref="L668:L709" si="101">IF(K668="yes",("Sorry, question "&amp;LEFT(E668, 9)&amp;" is required!"),"")</f>
        <v/>
      </c>
      <c r="X668" t="s">
        <v>3032</v>
      </c>
    </row>
    <row r="669" spans="1:24" ht="14.25" customHeight="1">
      <c r="A669" t="s">
        <v>12</v>
      </c>
      <c r="B669" t="s">
        <v>3576</v>
      </c>
      <c r="J669" s="106" t="s">
        <v>3526</v>
      </c>
      <c r="L669" s="118" t="str">
        <f t="shared" si="101"/>
        <v/>
      </c>
      <c r="O669" s="110" t="s">
        <v>293</v>
      </c>
      <c r="X669" t="s">
        <v>3032</v>
      </c>
    </row>
    <row r="670" spans="1:24" ht="14.25" customHeight="1">
      <c r="A670" t="s">
        <v>23</v>
      </c>
      <c r="B670" s="107" t="s">
        <v>4813</v>
      </c>
      <c r="E670" s="118" t="s">
        <v>3037</v>
      </c>
      <c r="H670" s="206" t="str">
        <f>E670</f>
        <v>(5.01_2N) In the past 30 days, has the item been out of stock at any time?</v>
      </c>
      <c r="I670" s="213" t="str">
        <f t="shared" si="98"/>
        <v>select_one yesno</v>
      </c>
      <c r="J670" s="174" t="s">
        <v>5350</v>
      </c>
      <c r="K670" s="116" t="s">
        <v>2443</v>
      </c>
      <c r="L670" s="118" t="str">
        <f t="shared" si="101"/>
        <v>Sorry, question (5.01_2N) is required!</v>
      </c>
      <c r="O670" s="110" t="s">
        <v>4832</v>
      </c>
    </row>
    <row r="671" spans="1:24" ht="14.25" customHeight="1">
      <c r="A671" t="s">
        <v>14</v>
      </c>
      <c r="B671" t="s">
        <v>4814</v>
      </c>
      <c r="E671" s="118" t="s">
        <v>3038</v>
      </c>
      <c r="F671" s="118" t="s">
        <v>3383</v>
      </c>
      <c r="H671" s="206" t="str">
        <f t="shared" ref="H671:H672" si="102">E671</f>
        <v>(5.01_3N) In the past 30 days, how many days has the item been out of stock?</v>
      </c>
      <c r="I671" s="213" t="str">
        <f t="shared" si="98"/>
        <v>integer</v>
      </c>
      <c r="J671" s="106" t="s">
        <v>3545</v>
      </c>
      <c r="K671" s="116" t="s">
        <v>2443</v>
      </c>
      <c r="L671" s="118" t="str">
        <f t="shared" si="101"/>
        <v>Sorry, question (5.01_3N) is required!</v>
      </c>
      <c r="M671" s="113" t="s">
        <v>4131</v>
      </c>
      <c r="N671" s="107" t="s">
        <v>4148</v>
      </c>
      <c r="O671" s="110" t="s">
        <v>4833</v>
      </c>
    </row>
    <row r="672" spans="1:24" ht="14.25" customHeight="1">
      <c r="A672" t="s">
        <v>2583</v>
      </c>
      <c r="B672" t="s">
        <v>4815</v>
      </c>
      <c r="E672" s="118" t="s">
        <v>5341</v>
      </c>
      <c r="H672" s="206" t="str">
        <f t="shared" si="102"/>
        <v>(5.01_4N) How much do you charge to patients for one &lt;b&gt;Malaria rapid diagnostic kit&lt;/b&gt; in Dalasi?</v>
      </c>
      <c r="I672" s="213" t="s">
        <v>14</v>
      </c>
      <c r="J672" s="106" t="s">
        <v>3375</v>
      </c>
      <c r="K672" s="116" t="s">
        <v>2443</v>
      </c>
      <c r="L672" s="118" t="str">
        <f t="shared" si="101"/>
        <v>Sorry, question (5.01_4N) is required!</v>
      </c>
      <c r="M672" s="113" t="s">
        <v>2504</v>
      </c>
    </row>
    <row r="673" spans="1:24" ht="14.25" customHeight="1">
      <c r="A673" t="s">
        <v>15</v>
      </c>
      <c r="L673" s="118" t="str">
        <f t="shared" si="101"/>
        <v/>
      </c>
      <c r="X673" t="s">
        <v>3032</v>
      </c>
    </row>
    <row r="674" spans="1:24" ht="14.25" customHeight="1">
      <c r="A674" t="s">
        <v>12</v>
      </c>
      <c r="B674" t="s">
        <v>3384</v>
      </c>
      <c r="J674" s="106" t="s">
        <v>13</v>
      </c>
      <c r="L674" s="118" t="str">
        <f t="shared" si="101"/>
        <v/>
      </c>
      <c r="O674" s="110" t="s">
        <v>293</v>
      </c>
      <c r="X674" t="s">
        <v>3032</v>
      </c>
    </row>
    <row r="675" spans="1:24" ht="14.25" customHeight="1">
      <c r="A675" t="s">
        <v>14</v>
      </c>
      <c r="B675" t="s">
        <v>4816</v>
      </c>
      <c r="E675" s="118" t="s">
        <v>5342</v>
      </c>
      <c r="F675" s="118" t="s">
        <v>3036</v>
      </c>
      <c r="H675" s="206" t="str">
        <f>E675</f>
        <v xml:space="preserve">(5.01_1N) What quantity of &lt;b&gt;HIV test kits&lt;/b&gt; are available at this time? </v>
      </c>
      <c r="I675" s="213" t="str">
        <f t="shared" si="98"/>
        <v>integer</v>
      </c>
      <c r="K675" s="116" t="s">
        <v>2443</v>
      </c>
      <c r="L675" s="118" t="str">
        <f t="shared" si="101"/>
        <v>Sorry, question (5.01_1N) is required!</v>
      </c>
      <c r="M675" s="113" t="s">
        <v>2504</v>
      </c>
    </row>
    <row r="676" spans="1:24" ht="14.25" customHeight="1">
      <c r="A676" t="s">
        <v>15</v>
      </c>
      <c r="C676" t="s">
        <v>2115</v>
      </c>
      <c r="L676" s="118" t="str">
        <f t="shared" si="101"/>
        <v/>
      </c>
      <c r="X676" t="s">
        <v>3032</v>
      </c>
    </row>
    <row r="677" spans="1:24" ht="14.25" customHeight="1">
      <c r="A677" t="s">
        <v>12</v>
      </c>
      <c r="B677" t="s">
        <v>3578</v>
      </c>
      <c r="J677" s="106" t="s">
        <v>13</v>
      </c>
      <c r="L677" s="118" t="str">
        <f t="shared" si="101"/>
        <v/>
      </c>
      <c r="O677" s="110" t="s">
        <v>293</v>
      </c>
      <c r="X677" t="s">
        <v>3032</v>
      </c>
    </row>
    <row r="678" spans="1:24" ht="14.25" customHeight="1">
      <c r="A678" t="s">
        <v>23</v>
      </c>
      <c r="B678" s="107" t="s">
        <v>4817</v>
      </c>
      <c r="E678" s="118" t="s">
        <v>3037</v>
      </c>
      <c r="H678" s="206" t="str">
        <f>E678</f>
        <v>(5.01_2N) In the past 30 days, has the item been out of stock at any time?</v>
      </c>
      <c r="I678" s="213" t="str">
        <f t="shared" si="98"/>
        <v>select_one yesno</v>
      </c>
      <c r="J678" s="106" t="s">
        <v>4457</v>
      </c>
      <c r="K678" s="116" t="s">
        <v>2443</v>
      </c>
      <c r="L678" s="118" t="str">
        <f t="shared" si="101"/>
        <v>Sorry, question (5.01_2N) is required!</v>
      </c>
      <c r="O678" s="110" t="s">
        <v>4834</v>
      </c>
    </row>
    <row r="679" spans="1:24" ht="14.25" customHeight="1">
      <c r="A679" t="s">
        <v>14</v>
      </c>
      <c r="B679" t="s">
        <v>4818</v>
      </c>
      <c r="E679" s="118" t="s">
        <v>3038</v>
      </c>
      <c r="H679" s="206" t="str">
        <f t="shared" ref="H679:H680" si="103">E679</f>
        <v>(5.01_3N) In the past 30 days, how many days has the item been out of stock?</v>
      </c>
      <c r="I679" s="213" t="str">
        <f t="shared" si="98"/>
        <v>integer</v>
      </c>
      <c r="K679" s="116" t="s">
        <v>2443</v>
      </c>
      <c r="L679" s="118" t="str">
        <f t="shared" si="101"/>
        <v>Sorry, question (5.01_3N) is required!</v>
      </c>
      <c r="M679" s="113" t="s">
        <v>4131</v>
      </c>
      <c r="N679" s="107" t="s">
        <v>4144</v>
      </c>
      <c r="O679" s="110" t="s">
        <v>4835</v>
      </c>
    </row>
    <row r="680" spans="1:24" ht="14.25" customHeight="1">
      <c r="A680" t="s">
        <v>2583</v>
      </c>
      <c r="B680" t="s">
        <v>4819</v>
      </c>
      <c r="E680" s="118" t="s">
        <v>5343</v>
      </c>
      <c r="H680" s="206" t="str">
        <f t="shared" si="103"/>
        <v>(5.01_4N) How much do you charge to patients for one &lt;b&gt;HIV test kit&lt;/b&gt; in Dalasi?</v>
      </c>
      <c r="I680" s="213" t="s">
        <v>14</v>
      </c>
      <c r="K680" s="116" t="s">
        <v>2443</v>
      </c>
      <c r="L680" s="118" t="str">
        <f t="shared" si="101"/>
        <v>Sorry, question (5.01_4N) is required!</v>
      </c>
      <c r="M680" s="113" t="s">
        <v>2504</v>
      </c>
    </row>
    <row r="681" spans="1:24" ht="14.25" customHeight="1">
      <c r="A681" t="s">
        <v>15</v>
      </c>
      <c r="L681" s="118" t="str">
        <f t="shared" si="101"/>
        <v/>
      </c>
    </row>
    <row r="682" spans="1:24" ht="14.25" customHeight="1">
      <c r="A682" t="s">
        <v>12</v>
      </c>
      <c r="B682" t="s">
        <v>3385</v>
      </c>
      <c r="J682" s="106" t="s">
        <v>13</v>
      </c>
      <c r="L682" s="118" t="str">
        <f t="shared" si="101"/>
        <v/>
      </c>
      <c r="O682" s="110" t="s">
        <v>293</v>
      </c>
      <c r="X682" t="s">
        <v>3032</v>
      </c>
    </row>
    <row r="683" spans="1:24" ht="14.25" customHeight="1">
      <c r="A683" t="s">
        <v>14</v>
      </c>
      <c r="B683" t="s">
        <v>4820</v>
      </c>
      <c r="E683" s="118" t="s">
        <v>5344</v>
      </c>
      <c r="F683" s="118" t="s">
        <v>3036</v>
      </c>
      <c r="H683" s="206" t="str">
        <f>E683</f>
        <v xml:space="preserve">(5.01_1N) What quantity of &lt;b&gt;Pregnancy testing kits&lt;/b&gt; are available at this time? </v>
      </c>
      <c r="I683" s="213" t="str">
        <f t="shared" si="98"/>
        <v>integer</v>
      </c>
      <c r="K683" s="116" t="s">
        <v>2443</v>
      </c>
      <c r="L683" s="118" t="str">
        <f t="shared" si="101"/>
        <v>Sorry, question (5.01_1N) is required!</v>
      </c>
      <c r="M683" s="113" t="s">
        <v>2504</v>
      </c>
    </row>
    <row r="684" spans="1:24" ht="14.25" customHeight="1">
      <c r="A684" t="s">
        <v>15</v>
      </c>
      <c r="C684" t="s">
        <v>2115</v>
      </c>
      <c r="L684" s="118" t="str">
        <f t="shared" si="101"/>
        <v/>
      </c>
      <c r="X684" t="s">
        <v>3032</v>
      </c>
    </row>
    <row r="685" spans="1:24" ht="14.25" customHeight="1">
      <c r="A685" t="s">
        <v>12</v>
      </c>
      <c r="B685" t="s">
        <v>3577</v>
      </c>
      <c r="J685" s="106" t="s">
        <v>13</v>
      </c>
      <c r="L685" s="118" t="str">
        <f t="shared" si="101"/>
        <v/>
      </c>
      <c r="O685" s="110" t="s">
        <v>293</v>
      </c>
      <c r="X685" t="s">
        <v>3032</v>
      </c>
    </row>
    <row r="686" spans="1:24" ht="14.25" customHeight="1">
      <c r="A686" t="s">
        <v>23</v>
      </c>
      <c r="B686" s="107" t="s">
        <v>4821</v>
      </c>
      <c r="E686" s="118" t="s">
        <v>3037</v>
      </c>
      <c r="H686" s="206" t="str">
        <f>E686</f>
        <v>(5.01_2N) In the past 30 days, has the item been out of stock at any time?</v>
      </c>
      <c r="I686" s="213" t="str">
        <f t="shared" si="98"/>
        <v>select_one yesno</v>
      </c>
      <c r="J686" s="106" t="s">
        <v>4457</v>
      </c>
      <c r="K686" s="116" t="s">
        <v>2443</v>
      </c>
      <c r="L686" s="118" t="str">
        <f t="shared" si="101"/>
        <v>Sorry, question (5.01_2N) is required!</v>
      </c>
      <c r="O686" s="110" t="s">
        <v>4836</v>
      </c>
    </row>
    <row r="687" spans="1:24" ht="14.25" customHeight="1">
      <c r="A687" t="s">
        <v>14</v>
      </c>
      <c r="B687" t="s">
        <v>4822</v>
      </c>
      <c r="E687" s="118" t="s">
        <v>3038</v>
      </c>
      <c r="H687" s="206" t="str">
        <f t="shared" ref="H687:H688" si="104">E687</f>
        <v>(5.01_3N) In the past 30 days, how many days has the item been out of stock?</v>
      </c>
      <c r="I687" s="213" t="str">
        <f t="shared" si="98"/>
        <v>integer</v>
      </c>
      <c r="K687" s="116" t="s">
        <v>2443</v>
      </c>
      <c r="L687" s="118" t="str">
        <f t="shared" si="101"/>
        <v>Sorry, question (5.01_3N) is required!</v>
      </c>
      <c r="M687" s="113" t="s">
        <v>4131</v>
      </c>
      <c r="N687" t="s">
        <v>4148</v>
      </c>
      <c r="O687" s="110" t="s">
        <v>4837</v>
      </c>
    </row>
    <row r="688" spans="1:24" ht="14.25" customHeight="1">
      <c r="A688" t="s">
        <v>2583</v>
      </c>
      <c r="B688" t="s">
        <v>4823</v>
      </c>
      <c r="E688" s="118" t="s">
        <v>5345</v>
      </c>
      <c r="H688" s="206" t="str">
        <f t="shared" si="104"/>
        <v>(5.01_4N) How much do you charge to patients for one &lt;b&gt;Pregnancy testing kit&lt;/b&gt; in Dalasi?</v>
      </c>
      <c r="I688" s="213" t="s">
        <v>14</v>
      </c>
      <c r="K688" s="116" t="s">
        <v>2443</v>
      </c>
      <c r="L688" s="118" t="str">
        <f t="shared" si="101"/>
        <v>Sorry, question (5.01_4N) is required!</v>
      </c>
      <c r="M688" s="113" t="s">
        <v>2504</v>
      </c>
    </row>
    <row r="689" spans="1:24" ht="14.25" customHeight="1">
      <c r="A689" t="s">
        <v>15</v>
      </c>
      <c r="L689" s="118" t="str">
        <f t="shared" si="101"/>
        <v/>
      </c>
    </row>
    <row r="690" spans="1:24" ht="14.25" customHeight="1">
      <c r="A690" t="s">
        <v>12</v>
      </c>
      <c r="B690" t="s">
        <v>3386</v>
      </c>
      <c r="J690" s="106" t="s">
        <v>13</v>
      </c>
      <c r="L690" s="118" t="str">
        <f t="shared" si="101"/>
        <v/>
      </c>
      <c r="O690" s="110" t="s">
        <v>293</v>
      </c>
      <c r="X690" t="s">
        <v>3032</v>
      </c>
    </row>
    <row r="691" spans="1:24" ht="14.25" customHeight="1">
      <c r="A691" t="s">
        <v>14</v>
      </c>
      <c r="B691" t="s">
        <v>4824</v>
      </c>
      <c r="E691" s="118" t="s">
        <v>5346</v>
      </c>
      <c r="F691" s="118" t="s">
        <v>3036</v>
      </c>
      <c r="H691" s="206" t="str">
        <f>E691</f>
        <v xml:space="preserve">(5.01_1N) What quantity of &lt;b&gt;Rapid plasma reagin (RPR) test for syphilis&lt;/b&gt; are available at this time? </v>
      </c>
      <c r="I691" s="213" t="str">
        <f t="shared" si="98"/>
        <v>integer</v>
      </c>
      <c r="K691" s="116" t="s">
        <v>2443</v>
      </c>
      <c r="L691" s="118" t="str">
        <f t="shared" si="101"/>
        <v>Sorry, question (5.01_1N) is required!</v>
      </c>
      <c r="M691" s="113" t="s">
        <v>2504</v>
      </c>
    </row>
    <row r="692" spans="1:24" ht="14.25" customHeight="1">
      <c r="A692" t="s">
        <v>15</v>
      </c>
      <c r="C692" t="s">
        <v>2115</v>
      </c>
      <c r="L692" s="118" t="str">
        <f t="shared" si="101"/>
        <v/>
      </c>
      <c r="X692" t="s">
        <v>3032</v>
      </c>
    </row>
    <row r="693" spans="1:24" ht="14.25" customHeight="1">
      <c r="A693" t="s">
        <v>12</v>
      </c>
      <c r="B693" t="s">
        <v>3579</v>
      </c>
      <c r="J693" s="106" t="s">
        <v>13</v>
      </c>
      <c r="L693" s="118" t="str">
        <f t="shared" si="101"/>
        <v/>
      </c>
      <c r="O693" s="110" t="s">
        <v>293</v>
      </c>
      <c r="X693" t="s">
        <v>3032</v>
      </c>
    </row>
    <row r="694" spans="1:24" ht="14.25" customHeight="1">
      <c r="A694" t="s">
        <v>23</v>
      </c>
      <c r="B694" s="107" t="s">
        <v>4825</v>
      </c>
      <c r="E694" s="118" t="s">
        <v>3037</v>
      </c>
      <c r="H694" s="206" t="str">
        <f>E694</f>
        <v>(5.01_2N) In the past 30 days, has the item been out of stock at any time?</v>
      </c>
      <c r="I694" s="213" t="str">
        <f t="shared" si="98"/>
        <v>select_one yesno</v>
      </c>
      <c r="J694" s="106" t="s">
        <v>4457</v>
      </c>
      <c r="K694" s="116" t="s">
        <v>2443</v>
      </c>
      <c r="L694" s="118" t="str">
        <f t="shared" si="101"/>
        <v>Sorry, question (5.01_2N) is required!</v>
      </c>
      <c r="O694" s="110" t="s">
        <v>4838</v>
      </c>
    </row>
    <row r="695" spans="1:24" ht="14.25" customHeight="1">
      <c r="A695" t="s">
        <v>14</v>
      </c>
      <c r="B695" t="s">
        <v>4826</v>
      </c>
      <c r="E695" s="118" t="s">
        <v>3038</v>
      </c>
      <c r="H695" s="206" t="str">
        <f>E695</f>
        <v>(5.01_3N) In the past 30 days, how many days has the item been out of stock?</v>
      </c>
      <c r="I695" s="213" t="str">
        <f t="shared" si="98"/>
        <v>integer</v>
      </c>
      <c r="K695" s="116" t="s">
        <v>2443</v>
      </c>
      <c r="L695" s="118" t="str">
        <f t="shared" si="101"/>
        <v>Sorry, question (5.01_3N) is required!</v>
      </c>
      <c r="M695" s="113" t="s">
        <v>4131</v>
      </c>
      <c r="N695" t="s">
        <v>4148</v>
      </c>
      <c r="O695" s="110" t="s">
        <v>4839</v>
      </c>
    </row>
    <row r="696" spans="1:24" ht="14.25" customHeight="1">
      <c r="A696" t="s">
        <v>2583</v>
      </c>
      <c r="B696" t="s">
        <v>4827</v>
      </c>
      <c r="E696" s="118" t="s">
        <v>5347</v>
      </c>
      <c r="H696" s="206" t="str">
        <f>E696</f>
        <v>(5.01_4N) How much do you charge to patients for one &lt;b&gt;Rapid plasma reagin (RPR) test&lt;/b&gt; for syphilis in Dalasi?</v>
      </c>
      <c r="I696" s="213" t="s">
        <v>14</v>
      </c>
      <c r="K696" s="116" t="s">
        <v>2443</v>
      </c>
      <c r="L696" s="118" t="str">
        <f t="shared" si="101"/>
        <v>Sorry, question (5.01_4N) is required!</v>
      </c>
      <c r="M696" s="113" t="s">
        <v>2504</v>
      </c>
    </row>
    <row r="697" spans="1:24" ht="14.25" customHeight="1">
      <c r="A697" t="s">
        <v>15</v>
      </c>
      <c r="L697" s="118" t="str">
        <f t="shared" si="101"/>
        <v/>
      </c>
    </row>
    <row r="698" spans="1:24" ht="14.25" customHeight="1">
      <c r="A698" t="s">
        <v>12</v>
      </c>
      <c r="B698" t="s">
        <v>3387</v>
      </c>
      <c r="J698" s="106" t="s">
        <v>13</v>
      </c>
      <c r="L698" s="118" t="str">
        <f t="shared" si="101"/>
        <v/>
      </c>
      <c r="O698" s="110" t="s">
        <v>293</v>
      </c>
      <c r="X698" t="s">
        <v>3032</v>
      </c>
    </row>
    <row r="699" spans="1:24" ht="14.25" customHeight="1">
      <c r="A699" t="s">
        <v>14</v>
      </c>
      <c r="B699" t="s">
        <v>4828</v>
      </c>
      <c r="E699" s="118" t="s">
        <v>5348</v>
      </c>
      <c r="F699" s="118" t="s">
        <v>3036</v>
      </c>
      <c r="H699" s="206" t="str">
        <f>E699</f>
        <v xml:space="preserve">(5.01_1N) What quantity of &lt;b&gt;Urine protein &amp; glucose testing kits (dipstick test)&lt;/b&gt; are available at this time? </v>
      </c>
      <c r="I699" s="213" t="str">
        <f t="shared" si="98"/>
        <v>integer</v>
      </c>
      <c r="K699" s="116" t="s">
        <v>2443</v>
      </c>
      <c r="L699" s="118" t="str">
        <f t="shared" si="101"/>
        <v>Sorry, question (5.01_1N) is required!</v>
      </c>
      <c r="M699" s="113" t="s">
        <v>2504</v>
      </c>
    </row>
    <row r="700" spans="1:24" ht="14.25" customHeight="1">
      <c r="A700" t="s">
        <v>15</v>
      </c>
      <c r="C700" t="s">
        <v>2115</v>
      </c>
      <c r="L700" s="118" t="str">
        <f t="shared" si="101"/>
        <v/>
      </c>
      <c r="X700" t="s">
        <v>3032</v>
      </c>
    </row>
    <row r="701" spans="1:24" ht="14.25" customHeight="1">
      <c r="A701" t="s">
        <v>12</v>
      </c>
      <c r="B701" t="s">
        <v>3580</v>
      </c>
      <c r="J701" s="106" t="s">
        <v>13</v>
      </c>
      <c r="L701" s="118" t="str">
        <f t="shared" si="101"/>
        <v/>
      </c>
      <c r="O701" s="110" t="s">
        <v>293</v>
      </c>
      <c r="X701" t="s">
        <v>3032</v>
      </c>
    </row>
    <row r="702" spans="1:24" ht="14.25" customHeight="1">
      <c r="A702" t="s">
        <v>23</v>
      </c>
      <c r="B702" s="107" t="s">
        <v>4829</v>
      </c>
      <c r="E702" s="118" t="s">
        <v>3037</v>
      </c>
      <c r="H702" s="206" t="str">
        <f>E702</f>
        <v>(5.01_2N) In the past 30 days, has the item been out of stock at any time?</v>
      </c>
      <c r="I702" s="213" t="str">
        <f t="shared" si="98"/>
        <v>select_one yesno</v>
      </c>
      <c r="J702" s="106" t="s">
        <v>4457</v>
      </c>
      <c r="K702" s="116" t="s">
        <v>2443</v>
      </c>
      <c r="L702" s="118" t="str">
        <f t="shared" si="101"/>
        <v>Sorry, question (5.01_2N) is required!</v>
      </c>
      <c r="O702" s="110" t="s">
        <v>4840</v>
      </c>
    </row>
    <row r="703" spans="1:24" ht="14.25" customHeight="1">
      <c r="A703" t="s">
        <v>14</v>
      </c>
      <c r="B703" t="s">
        <v>4830</v>
      </c>
      <c r="E703" s="118" t="s">
        <v>3038</v>
      </c>
      <c r="H703" s="206" t="str">
        <f>E703</f>
        <v>(5.01_3N) In the past 30 days, how many days has the item been out of stock?</v>
      </c>
      <c r="I703" s="213" t="str">
        <f t="shared" si="98"/>
        <v>integer</v>
      </c>
      <c r="K703" s="116" t="s">
        <v>2443</v>
      </c>
      <c r="L703" s="118" t="str">
        <f>IF(K703="yes",("Sorry, question "&amp;LEFT(E703, 9)&amp;" is required!"),"")</f>
        <v>Sorry, question (5.01_3N) is required!</v>
      </c>
      <c r="M703" s="113" t="s">
        <v>4131</v>
      </c>
      <c r="N703" t="s">
        <v>4148</v>
      </c>
      <c r="O703" s="110" t="s">
        <v>4841</v>
      </c>
    </row>
    <row r="704" spans="1:24" ht="14.25" customHeight="1">
      <c r="A704" t="s">
        <v>2583</v>
      </c>
      <c r="B704" t="s">
        <v>4831</v>
      </c>
      <c r="E704" s="118" t="s">
        <v>5349</v>
      </c>
      <c r="H704" s="206" t="str">
        <f>E704</f>
        <v>(5.01_4N) How much do you charge to patients for one &lt;b&gt;Urine protein &amp; glucose testing kit (dipstick test)&lt;/b&gt; in Dalasi?</v>
      </c>
      <c r="I704" s="213" t="s">
        <v>14</v>
      </c>
      <c r="K704" s="116" t="s">
        <v>2443</v>
      </c>
      <c r="L704" s="118" t="str">
        <f t="shared" si="101"/>
        <v>Sorry, question (5.01_4N) is required!</v>
      </c>
      <c r="M704" s="113" t="s">
        <v>2504</v>
      </c>
    </row>
    <row r="705" spans="1:24" ht="14.25" customHeight="1">
      <c r="A705" t="s">
        <v>15</v>
      </c>
      <c r="L705" s="118" t="str">
        <f t="shared" si="101"/>
        <v/>
      </c>
    </row>
    <row r="706" spans="1:24" ht="14.25" customHeight="1">
      <c r="A706" t="s">
        <v>294</v>
      </c>
      <c r="B706" t="s">
        <v>3488</v>
      </c>
      <c r="J706" s="106" t="s">
        <v>3526</v>
      </c>
      <c r="L706" s="118" t="str">
        <f t="shared" si="101"/>
        <v/>
      </c>
      <c r="O706" s="110" t="s">
        <v>293</v>
      </c>
      <c r="X706" t="s">
        <v>3033</v>
      </c>
    </row>
    <row r="707" spans="1:24" ht="15">
      <c r="A707" t="s">
        <v>17</v>
      </c>
      <c r="B707" t="s">
        <v>4810</v>
      </c>
      <c r="E707" s="118" t="s">
        <v>4239</v>
      </c>
      <c r="I707" s="213" t="str">
        <f t="shared" ref="I707:I768" si="105">A707</f>
        <v>note</v>
      </c>
      <c r="J707" s="106" t="s">
        <v>3528</v>
      </c>
      <c r="L707" s="118" t="str">
        <f t="shared" si="101"/>
        <v/>
      </c>
    </row>
    <row r="708" spans="1:24" ht="20.25" customHeight="1">
      <c r="A708" t="s">
        <v>17</v>
      </c>
      <c r="B708" t="s">
        <v>4842</v>
      </c>
      <c r="E708" s="118" t="s">
        <v>4240</v>
      </c>
      <c r="I708" s="213" t="str">
        <f t="shared" si="105"/>
        <v>note</v>
      </c>
      <c r="J708" s="106" t="s">
        <v>3529</v>
      </c>
      <c r="L708" s="118" t="str">
        <f t="shared" si="101"/>
        <v/>
      </c>
    </row>
    <row r="709" spans="1:24" ht="14.25" customHeight="1">
      <c r="A709" t="s">
        <v>17</v>
      </c>
      <c r="B709" t="s">
        <v>4845</v>
      </c>
      <c r="E709" s="132" t="s">
        <v>295</v>
      </c>
      <c r="F709" s="118" t="s">
        <v>6694</v>
      </c>
      <c r="I709" s="213" t="str">
        <f t="shared" si="105"/>
        <v>note</v>
      </c>
      <c r="J709" s="165" t="s">
        <v>6688</v>
      </c>
      <c r="L709" s="118" t="str">
        <f t="shared" si="101"/>
        <v/>
      </c>
    </row>
    <row r="710" spans="1:24" ht="14.25" customHeight="1">
      <c r="A710" t="s">
        <v>296</v>
      </c>
      <c r="B710" t="s">
        <v>2119</v>
      </c>
      <c r="E710" s="118" t="s">
        <v>297</v>
      </c>
      <c r="H710" s="206" t="str">
        <f>"(5.02) " &amp;E710&amp;" - For the following tests, able to perform them today, them 3 months ago but not today, or cannot do this test (today or 3 months ago)"</f>
        <v>(5.02) a. White cell and red cell counts - For the following tests, able to perform them today, them 3 months ago but not today, or cannot do this test (today or 3 months ago)</v>
      </c>
      <c r="I710" s="213" t="str">
        <f t="shared" si="105"/>
        <v>select_one able</v>
      </c>
      <c r="J710" s="165" t="s">
        <v>6679</v>
      </c>
      <c r="K710" s="116" t="s">
        <v>2443</v>
      </c>
      <c r="L710" s="118" t="str">
        <f>IF(K710="yes",("Sorry, question (5.02)"&amp;LEFT(E710, 1)&amp;" is required!"),"")</f>
        <v>Sorry, question (5.02)a is required!</v>
      </c>
    </row>
    <row r="711" spans="1:24" ht="14.25" customHeight="1">
      <c r="A711" t="s">
        <v>298</v>
      </c>
      <c r="B711" t="s">
        <v>2120</v>
      </c>
      <c r="E711" s="118" t="s">
        <v>299</v>
      </c>
      <c r="H711" s="206" t="str">
        <f t="shared" ref="H711:H718" si="106">"(5.02) " &amp;E711&amp;" - For the following tests, able to perform them today, them 3 months ago but not today, or cannot do this test (today or 3 months ago)"</f>
        <v>(5.02) b. Hemoglobin estimation (Hematocrit) - For the following tests, able to perform them today, them 3 months ago but not today, or cannot do this test (today or 3 months ago)</v>
      </c>
      <c r="I711" s="213" t="str">
        <f t="shared" si="105"/>
        <v>select_one able</v>
      </c>
      <c r="J711" s="165" t="s">
        <v>6680</v>
      </c>
      <c r="K711" s="116" t="s">
        <v>2443</v>
      </c>
      <c r="L711" s="118" t="str">
        <f t="shared" ref="L711:L732" si="107">IF(K711="yes",("Sorry, question (5.02)"&amp;LEFT(E711, 1)&amp;" is required!"),"")</f>
        <v>Sorry, question (5.02)b is required!</v>
      </c>
    </row>
    <row r="712" spans="1:24" ht="14.25" customHeight="1">
      <c r="A712" t="s">
        <v>300</v>
      </c>
      <c r="B712" t="s">
        <v>2121</v>
      </c>
      <c r="E712" s="118" t="s">
        <v>301</v>
      </c>
      <c r="H712" s="206" t="str">
        <f t="shared" si="106"/>
        <v>(5.02) c. Blood type and cross match - For the following tests, able to perform them today, them 3 months ago but not today, or cannot do this test (today or 3 months ago)</v>
      </c>
      <c r="I712" s="213" t="str">
        <f t="shared" si="105"/>
        <v>select_one able</v>
      </c>
      <c r="J712" s="165" t="s">
        <v>6681</v>
      </c>
      <c r="K712" s="116" t="s">
        <v>2443</v>
      </c>
      <c r="L712" s="118" t="str">
        <f t="shared" si="107"/>
        <v>Sorry, question (5.02)c is required!</v>
      </c>
    </row>
    <row r="713" spans="1:24" ht="14.25" customHeight="1">
      <c r="A713" t="s">
        <v>302</v>
      </c>
      <c r="B713" t="s">
        <v>2122</v>
      </c>
      <c r="E713" s="118" t="s">
        <v>303</v>
      </c>
      <c r="H713" s="206" t="str">
        <f t="shared" si="106"/>
        <v>(5.02) d. Malaria smears (thick and thin)/ Rapid diagnostic test - For the following tests, able to perform them today, them 3 months ago but not today, or cannot do this test (today or 3 months ago)</v>
      </c>
      <c r="I713" s="213" t="str">
        <f t="shared" si="105"/>
        <v>select_one able</v>
      </c>
      <c r="J713" s="165" t="s">
        <v>6682</v>
      </c>
      <c r="K713" s="116" t="s">
        <v>2443</v>
      </c>
      <c r="L713" s="118" t="str">
        <f t="shared" si="107"/>
        <v>Sorry, question (5.02)d is required!</v>
      </c>
    </row>
    <row r="714" spans="1:24" ht="14.25" customHeight="1">
      <c r="A714" t="s">
        <v>304</v>
      </c>
      <c r="B714" t="s">
        <v>2123</v>
      </c>
      <c r="E714" s="118" t="s">
        <v>305</v>
      </c>
      <c r="H714" s="206" t="str">
        <f t="shared" si="106"/>
        <v>(5.02) e. Tuberculosis smears - For the following tests, able to perform them today, them 3 months ago but not today, or cannot do this test (today or 3 months ago)</v>
      </c>
      <c r="I714" s="213" t="str">
        <f t="shared" si="105"/>
        <v>select_one able</v>
      </c>
      <c r="J714" s="165" t="s">
        <v>6683</v>
      </c>
      <c r="K714" s="116" t="s">
        <v>2443</v>
      </c>
      <c r="L714" s="118" t="str">
        <f t="shared" si="107"/>
        <v>Sorry, question (5.02)e is required!</v>
      </c>
    </row>
    <row r="715" spans="1:24" ht="14.25" customHeight="1">
      <c r="A715" t="s">
        <v>306</v>
      </c>
      <c r="B715" t="s">
        <v>2124</v>
      </c>
      <c r="E715" s="118" t="s">
        <v>307</v>
      </c>
      <c r="H715" s="206" t="str">
        <f t="shared" si="106"/>
        <v>(5.02) f. Gram stains - For the following tests, able to perform them today, them 3 months ago but not today, or cannot do this test (today or 3 months ago)</v>
      </c>
      <c r="I715" s="213" t="str">
        <f t="shared" si="105"/>
        <v>select_one able</v>
      </c>
      <c r="J715" s="165" t="s">
        <v>6684</v>
      </c>
      <c r="K715" s="116" t="s">
        <v>2443</v>
      </c>
      <c r="L715" s="118" t="str">
        <f t="shared" si="107"/>
        <v>Sorry, question (5.02)f is required!</v>
      </c>
    </row>
    <row r="716" spans="1:24" ht="14.25" customHeight="1">
      <c r="A716" t="s">
        <v>308</v>
      </c>
      <c r="B716" t="s">
        <v>2125</v>
      </c>
      <c r="E716" s="118" t="s">
        <v>309</v>
      </c>
      <c r="H716" s="206" t="str">
        <f t="shared" si="106"/>
        <v>(5.02) g. HIV testing - For the following tests, able to perform them today, them 3 months ago but not today, or cannot do this test (today or 3 months ago)</v>
      </c>
      <c r="I716" s="213" t="str">
        <f t="shared" si="105"/>
        <v>select_one able</v>
      </c>
      <c r="J716" s="165" t="s">
        <v>6685</v>
      </c>
      <c r="K716" s="116" t="s">
        <v>2443</v>
      </c>
      <c r="L716" s="118" t="str">
        <f t="shared" si="107"/>
        <v>Sorry, question (5.02)g is required!</v>
      </c>
    </row>
    <row r="717" spans="1:24" ht="14.25" customHeight="1">
      <c r="A717" t="s">
        <v>310</v>
      </c>
      <c r="B717" t="s">
        <v>2126</v>
      </c>
      <c r="E717" s="118" t="s">
        <v>311</v>
      </c>
      <c r="H717" s="206" t="str">
        <f t="shared" si="106"/>
        <v>(5.02) h. Hepatitis B testing - For the following tests, able to perform them today, them 3 months ago but not today, or cannot do this test (today or 3 months ago)</v>
      </c>
      <c r="I717" s="213" t="str">
        <f t="shared" si="105"/>
        <v>select_one able</v>
      </c>
      <c r="J717" s="165" t="s">
        <v>6686</v>
      </c>
      <c r="K717" s="116" t="s">
        <v>2443</v>
      </c>
      <c r="L717" s="118" t="str">
        <f t="shared" si="107"/>
        <v>Sorry, question (5.02)h is required!</v>
      </c>
    </row>
    <row r="718" spans="1:24" ht="14.25" customHeight="1">
      <c r="A718" t="s">
        <v>312</v>
      </c>
      <c r="B718" t="s">
        <v>2127</v>
      </c>
      <c r="E718" s="118" t="s">
        <v>313</v>
      </c>
      <c r="H718" s="206" t="str">
        <f t="shared" si="106"/>
        <v>(5.02) i. Hepatitis C testing - For the following tests, able to perform them today, them 3 months ago but not today, or cannot do this test (today or 3 months ago)</v>
      </c>
      <c r="I718" s="213" t="str">
        <f t="shared" si="105"/>
        <v>select_one able</v>
      </c>
      <c r="J718" s="165" t="s">
        <v>6687</v>
      </c>
      <c r="K718" s="116" t="s">
        <v>2443</v>
      </c>
      <c r="L718" s="118" t="str">
        <f t="shared" si="107"/>
        <v>Sorry, question (5.02)i is required!</v>
      </c>
    </row>
    <row r="719" spans="1:24" ht="14.25" customHeight="1">
      <c r="A719" t="s">
        <v>15</v>
      </c>
      <c r="J719" s="165"/>
      <c r="L719" s="118" t="str">
        <f t="shared" si="107"/>
        <v/>
      </c>
      <c r="X719" t="s">
        <v>3033</v>
      </c>
    </row>
    <row r="720" spans="1:24" ht="14.25" customHeight="1">
      <c r="A720" t="s">
        <v>12</v>
      </c>
      <c r="B720" t="s">
        <v>3493</v>
      </c>
      <c r="J720" s="106" t="s">
        <v>13</v>
      </c>
      <c r="L720" s="118" t="str">
        <f t="shared" si="107"/>
        <v/>
      </c>
      <c r="O720" s="110" t="s">
        <v>293</v>
      </c>
      <c r="X720" t="s">
        <v>3033</v>
      </c>
    </row>
    <row r="721" spans="1:24" ht="14.25" customHeight="1">
      <c r="A721" t="s">
        <v>17</v>
      </c>
      <c r="B721" t="s">
        <v>4843</v>
      </c>
      <c r="E721" s="117" t="s">
        <v>4240</v>
      </c>
      <c r="I721" s="213" t="str">
        <f t="shared" si="105"/>
        <v>note</v>
      </c>
      <c r="L721" s="118" t="str">
        <f t="shared" si="107"/>
        <v/>
      </c>
    </row>
    <row r="722" spans="1:24" ht="14.25" customHeight="1">
      <c r="A722" t="s">
        <v>17</v>
      </c>
      <c r="B722" t="s">
        <v>4844</v>
      </c>
      <c r="E722" s="118" t="s">
        <v>295</v>
      </c>
      <c r="F722" s="118" t="s">
        <v>6694</v>
      </c>
      <c r="I722" s="213" t="str">
        <f t="shared" si="105"/>
        <v>note</v>
      </c>
      <c r="L722" s="118" t="str">
        <f t="shared" si="107"/>
        <v/>
      </c>
    </row>
    <row r="723" spans="1:24" ht="14.25" customHeight="1">
      <c r="A723" t="s">
        <v>314</v>
      </c>
      <c r="B723" t="s">
        <v>2128</v>
      </c>
      <c r="E723" s="118" t="s">
        <v>315</v>
      </c>
      <c r="H723" s="206" t="str">
        <f t="shared" ref="H723:H729" si="108">"(5.02) " &amp;E723&amp;" - For the following tests, able to perform them today, them 3 months ago but not today, or cannot do this test (today or 3 months ago)"</f>
        <v>(5.02) j. Syphilis testing (RPR or VDRL Test) - For the following tests, able to perform them today, them 3 months ago but not today, or cannot do this test (today or 3 months ago)</v>
      </c>
      <c r="I723" s="213" t="str">
        <f t="shared" si="105"/>
        <v>select_one able</v>
      </c>
      <c r="J723" s="106" t="s">
        <v>4407</v>
      </c>
      <c r="K723" s="116" t="s">
        <v>2443</v>
      </c>
      <c r="L723" s="118" t="str">
        <f t="shared" si="107"/>
        <v>Sorry, question (5.02)j is required!</v>
      </c>
    </row>
    <row r="724" spans="1:24" ht="14.25" customHeight="1">
      <c r="A724" t="s">
        <v>316</v>
      </c>
      <c r="B724" t="s">
        <v>2129</v>
      </c>
      <c r="E724" s="118" t="s">
        <v>317</v>
      </c>
      <c r="H724" s="206" t="str">
        <f t="shared" si="108"/>
        <v>(5.02) k. Urine protein &amp; glucose test (dipstick tests) - For the following tests, able to perform them today, them 3 months ago but not today, or cannot do this test (today or 3 months ago)</v>
      </c>
      <c r="I724" s="213" t="str">
        <f t="shared" si="105"/>
        <v>select_one able</v>
      </c>
      <c r="J724" s="106" t="s">
        <v>4407</v>
      </c>
      <c r="K724" s="116" t="s">
        <v>2443</v>
      </c>
      <c r="L724" s="118" t="str">
        <f t="shared" si="107"/>
        <v>Sorry, question (5.02)k is required!</v>
      </c>
    </row>
    <row r="725" spans="1:24" ht="14.25" customHeight="1">
      <c r="A725" t="s">
        <v>318</v>
      </c>
      <c r="B725" t="s">
        <v>2118</v>
      </c>
      <c r="E725" s="118" t="s">
        <v>319</v>
      </c>
      <c r="H725" s="206" t="str">
        <f t="shared" si="108"/>
        <v>(5.02) l. Pregnancy testing - For the following tests, able to perform them today, them 3 months ago but not today, or cannot do this test (today or 3 months ago)</v>
      </c>
      <c r="I725" s="213" t="str">
        <f t="shared" si="105"/>
        <v>select_one able</v>
      </c>
      <c r="J725" s="106" t="s">
        <v>4407</v>
      </c>
      <c r="K725" s="116" t="s">
        <v>2443</v>
      </c>
      <c r="L725" s="118" t="str">
        <f t="shared" si="107"/>
        <v>Sorry, question (5.02)l is required!</v>
      </c>
    </row>
    <row r="726" spans="1:24" ht="14.25" customHeight="1">
      <c r="A726" t="s">
        <v>320</v>
      </c>
      <c r="B726" t="s">
        <v>2130</v>
      </c>
      <c r="E726" s="118" t="s">
        <v>321</v>
      </c>
      <c r="H726" s="206" t="str">
        <f t="shared" si="108"/>
        <v>(5.02) m. Blood sugar - For the following tests, able to perform them today, them 3 months ago but not today, or cannot do this test (today or 3 months ago)</v>
      </c>
      <c r="I726" s="213" t="str">
        <f t="shared" si="105"/>
        <v>select_one able</v>
      </c>
      <c r="J726" s="106" t="s">
        <v>4407</v>
      </c>
      <c r="K726" s="116" t="s">
        <v>2443</v>
      </c>
      <c r="L726" s="118" t="str">
        <f t="shared" si="107"/>
        <v>Sorry, question (5.02)m is required!</v>
      </c>
    </row>
    <row r="727" spans="1:24" ht="14.25" customHeight="1">
      <c r="A727" t="s">
        <v>322</v>
      </c>
      <c r="B727" t="s">
        <v>2131</v>
      </c>
      <c r="E727" s="118" t="s">
        <v>323</v>
      </c>
      <c r="H727" s="206" t="str">
        <f t="shared" si="108"/>
        <v>(5.02) n. Stool tests for parasites - For the following tests, able to perform them today, them 3 months ago but not today, or cannot do this test (today or 3 months ago)</v>
      </c>
      <c r="I727" s="213" t="str">
        <f t="shared" si="105"/>
        <v>select_one able</v>
      </c>
      <c r="J727" s="106" t="s">
        <v>4407</v>
      </c>
      <c r="K727" s="116" t="s">
        <v>2443</v>
      </c>
      <c r="L727" s="118" t="str">
        <f t="shared" si="107"/>
        <v>Sorry, question (5.02)n is required!</v>
      </c>
    </row>
    <row r="728" spans="1:24" ht="14.25" customHeight="1">
      <c r="A728" t="s">
        <v>324</v>
      </c>
      <c r="B728" t="s">
        <v>2132</v>
      </c>
      <c r="E728" s="118" t="s">
        <v>325</v>
      </c>
      <c r="H728" s="206" t="str">
        <f t="shared" si="108"/>
        <v>(5.02) o. Stool tests for occult blood - For the following tests, able to perform them today, them 3 months ago but not today, or cannot do this test (today or 3 months ago)</v>
      </c>
      <c r="I728" s="213" t="str">
        <f t="shared" si="105"/>
        <v>select_one able</v>
      </c>
      <c r="J728" s="106" t="s">
        <v>4407</v>
      </c>
      <c r="K728" s="116" t="s">
        <v>2443</v>
      </c>
      <c r="L728" s="118" t="str">
        <f t="shared" si="107"/>
        <v>Sorry, question (5.02)o is required!</v>
      </c>
    </row>
    <row r="729" spans="1:24" ht="14.25" customHeight="1">
      <c r="A729" t="s">
        <v>326</v>
      </c>
      <c r="B729" t="s">
        <v>2133</v>
      </c>
      <c r="E729" s="118" t="s">
        <v>327</v>
      </c>
      <c r="H729" s="206" t="str">
        <f t="shared" si="108"/>
        <v>(5.02) p. Liver function testing - For the following tests, able to perform them today, them 3 months ago but not today, or cannot do this test (today or 3 months ago)</v>
      </c>
      <c r="I729" s="213" t="str">
        <f t="shared" si="105"/>
        <v>select_one able</v>
      </c>
      <c r="J729" s="106" t="s">
        <v>4407</v>
      </c>
      <c r="K729" s="116" t="s">
        <v>2443</v>
      </c>
      <c r="L729" s="118" t="str">
        <f t="shared" si="107"/>
        <v>Sorry, question (5.02)p is required!</v>
      </c>
    </row>
    <row r="730" spans="1:24" ht="14.25" customHeight="1">
      <c r="A730" t="s">
        <v>328</v>
      </c>
      <c r="L730" s="118" t="str">
        <f t="shared" si="107"/>
        <v/>
      </c>
      <c r="X730" t="s">
        <v>3033</v>
      </c>
    </row>
    <row r="731" spans="1:24" ht="15">
      <c r="A731" t="s">
        <v>2164</v>
      </c>
      <c r="B731" t="s">
        <v>3489</v>
      </c>
      <c r="I731" s="213" t="str">
        <f t="shared" si="105"/>
        <v>begin group</v>
      </c>
      <c r="J731" s="106" t="s">
        <v>4419</v>
      </c>
      <c r="L731" s="118" t="str">
        <f t="shared" si="107"/>
        <v/>
      </c>
      <c r="O731" s="110" t="s">
        <v>293</v>
      </c>
      <c r="X731" t="s">
        <v>3033</v>
      </c>
    </row>
    <row r="732" spans="1:24" s="118" customFormat="1" ht="15">
      <c r="A732" s="118" t="s">
        <v>17</v>
      </c>
      <c r="B732" s="118" t="s">
        <v>4847</v>
      </c>
      <c r="E732" s="118" t="s">
        <v>4241</v>
      </c>
      <c r="H732" s="210"/>
      <c r="I732" s="213" t="str">
        <f t="shared" si="105"/>
        <v>note</v>
      </c>
      <c r="J732" s="165"/>
      <c r="K732" s="166"/>
      <c r="L732" s="118" t="str">
        <f t="shared" si="107"/>
        <v/>
      </c>
      <c r="M732" s="167"/>
      <c r="O732" s="168"/>
      <c r="P732" s="128"/>
    </row>
    <row r="733" spans="1:24" ht="15">
      <c r="A733" t="s">
        <v>17</v>
      </c>
      <c r="B733" t="s">
        <v>4846</v>
      </c>
      <c r="E733" s="118" t="s">
        <v>3581</v>
      </c>
      <c r="I733" s="213" t="str">
        <f t="shared" si="105"/>
        <v>note</v>
      </c>
      <c r="L733" s="118" t="str">
        <f>IF(K733="yes",("Sorry, question (5.03)"&amp;LEFT(E733, 1)&amp;" is required!"),"")</f>
        <v/>
      </c>
    </row>
    <row r="734" spans="1:24" ht="14.25" customHeight="1">
      <c r="A734" t="s">
        <v>2165</v>
      </c>
      <c r="B734" t="s">
        <v>3132</v>
      </c>
      <c r="E734" s="118" t="s">
        <v>297</v>
      </c>
      <c r="H734" s="206" t="str">
        <f>"(5.03) - "&amp;E734</f>
        <v>(5.03) - a. White cell and red cell counts</v>
      </c>
      <c r="I734" s="213" t="str">
        <f t="shared" si="105"/>
        <v>integer</v>
      </c>
      <c r="J734" s="106" t="s">
        <v>5355</v>
      </c>
      <c r="K734" s="116" t="s">
        <v>2443</v>
      </c>
      <c r="L734" s="118" t="str">
        <f t="shared" ref="L734:L752" si="109">IF(K734="yes",("Sorry, question (5.03)"&amp;LEFT(E734, 1)&amp;" is required!"),"")</f>
        <v>Sorry, question (5.03)a is required!</v>
      </c>
      <c r="M734" s="113" t="s">
        <v>2504</v>
      </c>
      <c r="N734" t="str">
        <f xml:space="preserve"> "(5.03) " &amp; LEFT(E734,2) &amp; " MINIMUM 0"</f>
        <v>(5.03) a. MINIMUM 0</v>
      </c>
      <c r="O734" s="110" t="s">
        <v>4848</v>
      </c>
    </row>
    <row r="735" spans="1:24" ht="14.25" customHeight="1">
      <c r="A735" t="s">
        <v>2165</v>
      </c>
      <c r="B735" t="s">
        <v>2134</v>
      </c>
      <c r="E735" s="118" t="s">
        <v>299</v>
      </c>
      <c r="H735" s="206" t="str">
        <f t="shared" ref="H735:H749" si="110">"(5.03) - "&amp;E735</f>
        <v>(5.03) - b. Hemoglobin estimation (Hematocrit)</v>
      </c>
      <c r="I735" s="213" t="str">
        <f t="shared" si="105"/>
        <v>integer</v>
      </c>
      <c r="J735" s="106" t="s">
        <v>5355</v>
      </c>
      <c r="K735" s="116" t="s">
        <v>2443</v>
      </c>
      <c r="L735" s="118" t="str">
        <f t="shared" si="109"/>
        <v>Sorry, question (5.03)b is required!</v>
      </c>
      <c r="M735" s="113" t="s">
        <v>2504</v>
      </c>
      <c r="N735" t="str">
        <f t="shared" ref="N735:N741" si="111" xml:space="preserve"> "(5.03) " &amp; LEFT(E735,2) &amp; " MINIMUM 0"</f>
        <v>(5.03) b. MINIMUM 0</v>
      </c>
      <c r="O735" s="110" t="s">
        <v>4849</v>
      </c>
    </row>
    <row r="736" spans="1:24" ht="14.25" customHeight="1">
      <c r="A736" t="s">
        <v>2165</v>
      </c>
      <c r="B736" t="s">
        <v>2136</v>
      </c>
      <c r="E736" s="118" t="s">
        <v>301</v>
      </c>
      <c r="H736" s="206" t="str">
        <f t="shared" si="110"/>
        <v>(5.03) - c. Blood type and cross match</v>
      </c>
      <c r="I736" s="213" t="str">
        <f t="shared" si="105"/>
        <v>integer</v>
      </c>
      <c r="J736" s="106" t="s">
        <v>5355</v>
      </c>
      <c r="K736" s="116" t="s">
        <v>2443</v>
      </c>
      <c r="L736" s="118" t="str">
        <f t="shared" si="109"/>
        <v>Sorry, question (5.03)c is required!</v>
      </c>
      <c r="M736" s="113" t="s">
        <v>2504</v>
      </c>
      <c r="N736" t="str">
        <f t="shared" si="111"/>
        <v>(5.03) c. MINIMUM 0</v>
      </c>
      <c r="O736" s="110" t="s">
        <v>4850</v>
      </c>
    </row>
    <row r="737" spans="1:24" ht="14.25" customHeight="1">
      <c r="A737" t="s">
        <v>2165</v>
      </c>
      <c r="B737" t="s">
        <v>2138</v>
      </c>
      <c r="E737" s="118" t="s">
        <v>303</v>
      </c>
      <c r="H737" s="206" t="str">
        <f t="shared" si="110"/>
        <v>(5.03) - d. Malaria smears (thick and thin)/ Rapid diagnostic test</v>
      </c>
      <c r="I737" s="213" t="str">
        <f t="shared" si="105"/>
        <v>integer</v>
      </c>
      <c r="J737" s="106" t="s">
        <v>5355</v>
      </c>
      <c r="K737" s="116" t="s">
        <v>2443</v>
      </c>
      <c r="L737" s="118" t="str">
        <f t="shared" si="109"/>
        <v>Sorry, question (5.03)d is required!</v>
      </c>
      <c r="M737" s="113" t="s">
        <v>2504</v>
      </c>
      <c r="N737" t="str">
        <f t="shared" si="111"/>
        <v>(5.03) d. MINIMUM 0</v>
      </c>
      <c r="O737" s="110" t="s">
        <v>4851</v>
      </c>
    </row>
    <row r="738" spans="1:24" ht="14.25" customHeight="1">
      <c r="A738" t="s">
        <v>2165</v>
      </c>
      <c r="B738" t="s">
        <v>2140</v>
      </c>
      <c r="E738" s="118" t="s">
        <v>305</v>
      </c>
      <c r="H738" s="206" t="str">
        <f t="shared" si="110"/>
        <v>(5.03) - e. Tuberculosis smears</v>
      </c>
      <c r="I738" s="213" t="str">
        <f t="shared" si="105"/>
        <v>integer</v>
      </c>
      <c r="J738" s="106" t="s">
        <v>5355</v>
      </c>
      <c r="K738" s="116" t="s">
        <v>2443</v>
      </c>
      <c r="L738" s="118" t="str">
        <f t="shared" si="109"/>
        <v>Sorry, question (5.03)e is required!</v>
      </c>
      <c r="M738" s="113" t="s">
        <v>2504</v>
      </c>
      <c r="N738" t="str">
        <f t="shared" si="111"/>
        <v>(5.03) e. MINIMUM 0</v>
      </c>
      <c r="O738" s="110" t="s">
        <v>4852</v>
      </c>
    </row>
    <row r="739" spans="1:24" ht="14.25" customHeight="1">
      <c r="A739" t="s">
        <v>2165</v>
      </c>
      <c r="B739" t="s">
        <v>2142</v>
      </c>
      <c r="E739" s="118" t="s">
        <v>307</v>
      </c>
      <c r="H739" s="206" t="str">
        <f t="shared" si="110"/>
        <v>(5.03) - f. Gram stains</v>
      </c>
      <c r="I739" s="213" t="str">
        <f t="shared" si="105"/>
        <v>integer</v>
      </c>
      <c r="J739" s="106" t="s">
        <v>5355</v>
      </c>
      <c r="K739" s="116" t="s">
        <v>2443</v>
      </c>
      <c r="L739" s="118" t="str">
        <f t="shared" si="109"/>
        <v>Sorry, question (5.03)f is required!</v>
      </c>
      <c r="M739" s="113" t="s">
        <v>2504</v>
      </c>
      <c r="N739" t="str">
        <f t="shared" si="111"/>
        <v>(5.03) f. MINIMUM 0</v>
      </c>
      <c r="O739" s="110" t="s">
        <v>4853</v>
      </c>
    </row>
    <row r="740" spans="1:24" ht="14.25" customHeight="1">
      <c r="A740" t="s">
        <v>2165</v>
      </c>
      <c r="B740" t="s">
        <v>2144</v>
      </c>
      <c r="E740" s="118" t="s">
        <v>309</v>
      </c>
      <c r="H740" s="206" t="str">
        <f t="shared" si="110"/>
        <v>(5.03) - g. HIV testing</v>
      </c>
      <c r="I740" s="213" t="str">
        <f t="shared" si="105"/>
        <v>integer</v>
      </c>
      <c r="J740" s="106" t="s">
        <v>5355</v>
      </c>
      <c r="K740" s="116" t="s">
        <v>2443</v>
      </c>
      <c r="L740" s="118" t="str">
        <f t="shared" si="109"/>
        <v>Sorry, question (5.03)g is required!</v>
      </c>
      <c r="M740" s="113" t="s">
        <v>2504</v>
      </c>
      <c r="N740" t="str">
        <f t="shared" si="111"/>
        <v>(5.03) g. MINIMUM 0</v>
      </c>
      <c r="O740" s="110" t="s">
        <v>4854</v>
      </c>
    </row>
    <row r="741" spans="1:24" ht="14.25" customHeight="1">
      <c r="A741" t="s">
        <v>2165</v>
      </c>
      <c r="B741" t="s">
        <v>2146</v>
      </c>
      <c r="E741" s="118" t="s">
        <v>311</v>
      </c>
      <c r="H741" s="206" t="str">
        <f t="shared" si="110"/>
        <v>(5.03) - h. Hepatitis B testing</v>
      </c>
      <c r="I741" s="213" t="str">
        <f t="shared" si="105"/>
        <v>integer</v>
      </c>
      <c r="J741" s="106" t="s">
        <v>5355</v>
      </c>
      <c r="K741" s="116" t="s">
        <v>2443</v>
      </c>
      <c r="L741" s="118" t="str">
        <f t="shared" si="109"/>
        <v>Sorry, question (5.03)h is required!</v>
      </c>
      <c r="M741" s="113" t="s">
        <v>2504</v>
      </c>
      <c r="N741" t="str">
        <f t="shared" si="111"/>
        <v>(5.03) h. MINIMUM 0</v>
      </c>
      <c r="O741" s="110" t="s">
        <v>4855</v>
      </c>
    </row>
    <row r="742" spans="1:24" ht="14.25" customHeight="1">
      <c r="A742" t="s">
        <v>2165</v>
      </c>
      <c r="B742" t="s">
        <v>2148</v>
      </c>
      <c r="E742" s="118" t="s">
        <v>313</v>
      </c>
      <c r="H742" s="206" t="str">
        <f t="shared" si="110"/>
        <v>(5.03) - i. Hepatitis C testing</v>
      </c>
      <c r="I742" s="213" t="str">
        <f t="shared" si="105"/>
        <v>integer</v>
      </c>
      <c r="J742" s="106" t="s">
        <v>5355</v>
      </c>
      <c r="K742" s="116" t="s">
        <v>2443</v>
      </c>
      <c r="L742" s="118" t="str">
        <f t="shared" si="109"/>
        <v>Sorry, question (5.03)i is required!</v>
      </c>
      <c r="M742" s="113" t="s">
        <v>2504</v>
      </c>
      <c r="N742" t="str">
        <f t="shared" ref="N742:N749" si="112" xml:space="preserve"> "(5.03) " &amp; LEFT(E742,2) &amp; " MINIMUM 0"</f>
        <v>(5.03) i. MINIMUM 0</v>
      </c>
      <c r="O742" s="110" t="s">
        <v>4856</v>
      </c>
    </row>
    <row r="743" spans="1:24" ht="14.25" customHeight="1">
      <c r="A743" t="s">
        <v>2165</v>
      </c>
      <c r="B743" t="s">
        <v>2150</v>
      </c>
      <c r="E743" s="118" t="s">
        <v>315</v>
      </c>
      <c r="H743" s="206" t="str">
        <f t="shared" si="110"/>
        <v>(5.03) - j. Syphilis testing (RPR or VDRL Test)</v>
      </c>
      <c r="I743" s="213" t="str">
        <f t="shared" si="105"/>
        <v>integer</v>
      </c>
      <c r="J743" s="106" t="s">
        <v>5355</v>
      </c>
      <c r="K743" s="116" t="s">
        <v>2443</v>
      </c>
      <c r="L743" s="118" t="str">
        <f t="shared" si="109"/>
        <v>Sorry, question (5.03)j is required!</v>
      </c>
      <c r="M743" s="113" t="s">
        <v>2504</v>
      </c>
      <c r="N743" t="str">
        <f t="shared" si="112"/>
        <v>(5.03) j. MINIMUM 0</v>
      </c>
      <c r="O743" s="110" t="s">
        <v>4857</v>
      </c>
    </row>
    <row r="744" spans="1:24" ht="14.25" customHeight="1">
      <c r="A744" t="s">
        <v>2165</v>
      </c>
      <c r="B744" t="s">
        <v>2152</v>
      </c>
      <c r="E744" s="118" t="s">
        <v>317</v>
      </c>
      <c r="H744" s="206" t="str">
        <f t="shared" si="110"/>
        <v>(5.03) - k. Urine protein &amp; glucose test (dipstick tests)</v>
      </c>
      <c r="I744" s="213" t="str">
        <f t="shared" si="105"/>
        <v>integer</v>
      </c>
      <c r="J744" s="106" t="s">
        <v>5355</v>
      </c>
      <c r="K744" s="116" t="s">
        <v>2443</v>
      </c>
      <c r="L744" s="118" t="str">
        <f t="shared" si="109"/>
        <v>Sorry, question (5.03)k is required!</v>
      </c>
      <c r="M744" s="113" t="s">
        <v>2504</v>
      </c>
      <c r="N744" t="str">
        <f t="shared" si="112"/>
        <v>(5.03) k. MINIMUM 0</v>
      </c>
      <c r="O744" s="110" t="s">
        <v>4858</v>
      </c>
    </row>
    <row r="745" spans="1:24" ht="14.25" customHeight="1">
      <c r="A745" t="s">
        <v>2165</v>
      </c>
      <c r="B745" t="s">
        <v>2154</v>
      </c>
      <c r="E745" s="118" t="s">
        <v>319</v>
      </c>
      <c r="H745" s="206" t="str">
        <f t="shared" si="110"/>
        <v>(5.03) - l. Pregnancy testing</v>
      </c>
      <c r="I745" s="213" t="str">
        <f t="shared" si="105"/>
        <v>integer</v>
      </c>
      <c r="J745" s="106" t="s">
        <v>5355</v>
      </c>
      <c r="K745" s="116" t="s">
        <v>2443</v>
      </c>
      <c r="L745" s="118" t="str">
        <f t="shared" si="109"/>
        <v>Sorry, question (5.03)l is required!</v>
      </c>
      <c r="M745" s="113" t="s">
        <v>2504</v>
      </c>
      <c r="N745" t="str">
        <f t="shared" si="112"/>
        <v>(5.03) l. MINIMUM 0</v>
      </c>
      <c r="O745" s="110" t="s">
        <v>4859</v>
      </c>
    </row>
    <row r="746" spans="1:24" ht="14.25" customHeight="1">
      <c r="A746" t="s">
        <v>2165</v>
      </c>
      <c r="B746" t="s">
        <v>2156</v>
      </c>
      <c r="E746" s="118" t="s">
        <v>321</v>
      </c>
      <c r="H746" s="206" t="str">
        <f t="shared" si="110"/>
        <v>(5.03) - m. Blood sugar</v>
      </c>
      <c r="I746" s="213" t="str">
        <f t="shared" si="105"/>
        <v>integer</v>
      </c>
      <c r="J746" s="106" t="s">
        <v>5355</v>
      </c>
      <c r="K746" s="116" t="s">
        <v>2443</v>
      </c>
      <c r="L746" s="118" t="str">
        <f t="shared" si="109"/>
        <v>Sorry, question (5.03)m is required!</v>
      </c>
      <c r="M746" s="113" t="s">
        <v>2504</v>
      </c>
      <c r="N746" t="str">
        <f t="shared" si="112"/>
        <v>(5.03) m. MINIMUM 0</v>
      </c>
      <c r="O746" s="110" t="s">
        <v>4860</v>
      </c>
    </row>
    <row r="747" spans="1:24" ht="14.25" customHeight="1">
      <c r="A747" t="s">
        <v>2165</v>
      </c>
      <c r="B747" t="s">
        <v>2158</v>
      </c>
      <c r="E747" s="118" t="s">
        <v>323</v>
      </c>
      <c r="H747" s="206" t="str">
        <f t="shared" si="110"/>
        <v>(5.03) - n. Stool tests for parasites</v>
      </c>
      <c r="I747" s="213" t="str">
        <f t="shared" si="105"/>
        <v>integer</v>
      </c>
      <c r="J747" s="106" t="s">
        <v>5355</v>
      </c>
      <c r="K747" s="116" t="s">
        <v>2443</v>
      </c>
      <c r="L747" s="118" t="str">
        <f t="shared" si="109"/>
        <v>Sorry, question (5.03)n is required!</v>
      </c>
      <c r="M747" s="113" t="s">
        <v>2504</v>
      </c>
      <c r="N747" t="str">
        <f t="shared" si="112"/>
        <v>(5.03) n. MINIMUM 0</v>
      </c>
      <c r="O747" s="110" t="s">
        <v>4861</v>
      </c>
    </row>
    <row r="748" spans="1:24" ht="14.25" customHeight="1">
      <c r="A748" t="s">
        <v>2165</v>
      </c>
      <c r="B748" t="s">
        <v>2160</v>
      </c>
      <c r="E748" s="118" t="s">
        <v>325</v>
      </c>
      <c r="H748" s="206" t="str">
        <f t="shared" si="110"/>
        <v>(5.03) - o. Stool tests for occult blood</v>
      </c>
      <c r="I748" s="213" t="str">
        <f t="shared" si="105"/>
        <v>integer</v>
      </c>
      <c r="J748" s="106" t="s">
        <v>5355</v>
      </c>
      <c r="K748" s="116" t="s">
        <v>2443</v>
      </c>
      <c r="L748" s="118" t="str">
        <f t="shared" si="109"/>
        <v>Sorry, question (5.03)o is required!</v>
      </c>
      <c r="M748" s="113" t="s">
        <v>2504</v>
      </c>
      <c r="N748" t="str">
        <f t="shared" si="112"/>
        <v>(5.03) o. MINIMUM 0</v>
      </c>
      <c r="O748" s="110" t="s">
        <v>4862</v>
      </c>
    </row>
    <row r="749" spans="1:24" ht="14.25" customHeight="1">
      <c r="A749" t="s">
        <v>2165</v>
      </c>
      <c r="B749" t="s">
        <v>2162</v>
      </c>
      <c r="E749" s="118" t="s">
        <v>327</v>
      </c>
      <c r="H749" s="206" t="str">
        <f t="shared" si="110"/>
        <v>(5.03) - p. Liver function testing</v>
      </c>
      <c r="I749" s="213" t="str">
        <f t="shared" si="105"/>
        <v>integer</v>
      </c>
      <c r="J749" s="106" t="s">
        <v>5355</v>
      </c>
      <c r="K749" s="116" t="s">
        <v>2443</v>
      </c>
      <c r="L749" s="118" t="str">
        <f t="shared" si="109"/>
        <v>Sorry, question (5.03)p is required!</v>
      </c>
      <c r="M749" s="113" t="s">
        <v>2504</v>
      </c>
      <c r="N749" t="str">
        <f t="shared" si="112"/>
        <v>(5.03) p. MINIMUM 0</v>
      </c>
      <c r="O749" s="110" t="s">
        <v>4863</v>
      </c>
    </row>
    <row r="750" spans="1:24" ht="15">
      <c r="A750" t="s">
        <v>15</v>
      </c>
      <c r="L750" s="118" t="str">
        <f t="shared" si="109"/>
        <v/>
      </c>
      <c r="X750" t="s">
        <v>3033</v>
      </c>
    </row>
    <row r="751" spans="1:24" ht="15">
      <c r="A751" t="s">
        <v>2164</v>
      </c>
      <c r="B751" t="s">
        <v>3490</v>
      </c>
      <c r="J751" s="106" t="s">
        <v>13</v>
      </c>
      <c r="L751" s="118" t="str">
        <f t="shared" si="109"/>
        <v/>
      </c>
      <c r="O751" s="110" t="s">
        <v>293</v>
      </c>
      <c r="X751" t="s">
        <v>3033</v>
      </c>
    </row>
    <row r="752" spans="1:24" ht="15">
      <c r="A752" t="s">
        <v>17</v>
      </c>
      <c r="B752" t="s">
        <v>4864</v>
      </c>
      <c r="E752" s="118" t="s">
        <v>329</v>
      </c>
      <c r="I752" s="213" t="str">
        <f t="shared" si="105"/>
        <v>note</v>
      </c>
      <c r="L752" s="118" t="str">
        <f t="shared" si="109"/>
        <v/>
      </c>
    </row>
    <row r="753" spans="1:15" ht="14.25" customHeight="1">
      <c r="A753" t="s">
        <v>330</v>
      </c>
      <c r="B753" t="s">
        <v>3133</v>
      </c>
      <c r="E753" s="118" t="s">
        <v>297</v>
      </c>
      <c r="H753" s="206" t="str">
        <f>"(5.04) "&amp;E753</f>
        <v>(5.04) a. White cell and red cell counts</v>
      </c>
      <c r="I753" s="213" t="str">
        <f t="shared" si="105"/>
        <v>select_one recd</v>
      </c>
      <c r="J753" s="106" t="s">
        <v>4407</v>
      </c>
      <c r="K753" s="116" t="s">
        <v>2443</v>
      </c>
      <c r="L753" s="118" t="str">
        <f>IF(K753="yes",("Sorry, question (5.04)"&amp;LEFT(E753, 1)&amp;" is required!"),"")</f>
        <v>Sorry, question (5.04)a is required!</v>
      </c>
      <c r="O753" s="110" t="s">
        <v>4848</v>
      </c>
    </row>
    <row r="754" spans="1:15" ht="14.25" customHeight="1">
      <c r="A754" t="s">
        <v>330</v>
      </c>
      <c r="B754" t="s">
        <v>2135</v>
      </c>
      <c r="E754" s="118" t="s">
        <v>299</v>
      </c>
      <c r="H754" s="206" t="str">
        <f t="shared" ref="H754:H768" si="113">"(5.04) "&amp;E754</f>
        <v>(5.04) b. Hemoglobin estimation (Hematocrit)</v>
      </c>
      <c r="I754" s="213" t="str">
        <f t="shared" si="105"/>
        <v>select_one recd</v>
      </c>
      <c r="J754" s="106" t="s">
        <v>4407</v>
      </c>
      <c r="K754" s="116" t="s">
        <v>2443</v>
      </c>
      <c r="L754" s="118" t="str">
        <f t="shared" ref="L754:L774" si="114">IF(K754="yes",("Sorry, question (5.04)"&amp;LEFT(E754, 1)&amp;" is required!"),"")</f>
        <v>Sorry, question (5.04)b is required!</v>
      </c>
      <c r="O754" s="110" t="s">
        <v>4849</v>
      </c>
    </row>
    <row r="755" spans="1:15" ht="14.25" customHeight="1">
      <c r="A755" t="s">
        <v>330</v>
      </c>
      <c r="B755" t="s">
        <v>2137</v>
      </c>
      <c r="E755" s="118" t="s">
        <v>301</v>
      </c>
      <c r="H755" s="206" t="str">
        <f t="shared" si="113"/>
        <v>(5.04) c. Blood type and cross match</v>
      </c>
      <c r="I755" s="213" t="str">
        <f t="shared" si="105"/>
        <v>select_one recd</v>
      </c>
      <c r="J755" s="106" t="s">
        <v>4407</v>
      </c>
      <c r="K755" s="116" t="s">
        <v>2443</v>
      </c>
      <c r="L755" s="118" t="str">
        <f t="shared" si="114"/>
        <v>Sorry, question (5.04)c is required!</v>
      </c>
      <c r="O755" s="110" t="s">
        <v>4850</v>
      </c>
    </row>
    <row r="756" spans="1:15" ht="14.25" customHeight="1">
      <c r="A756" t="s">
        <v>330</v>
      </c>
      <c r="B756" t="s">
        <v>2139</v>
      </c>
      <c r="E756" s="118" t="s">
        <v>303</v>
      </c>
      <c r="H756" s="206" t="str">
        <f t="shared" si="113"/>
        <v>(5.04) d. Malaria smears (thick and thin)/ Rapid diagnostic test</v>
      </c>
      <c r="I756" s="213" t="str">
        <f t="shared" si="105"/>
        <v>select_one recd</v>
      </c>
      <c r="J756" s="106" t="s">
        <v>4407</v>
      </c>
      <c r="K756" s="116" t="s">
        <v>2443</v>
      </c>
      <c r="L756" s="118" t="str">
        <f t="shared" si="114"/>
        <v>Sorry, question (5.04)d is required!</v>
      </c>
      <c r="O756" s="110" t="s">
        <v>4851</v>
      </c>
    </row>
    <row r="757" spans="1:15" ht="14.25" customHeight="1">
      <c r="A757" t="s">
        <v>330</v>
      </c>
      <c r="B757" t="s">
        <v>2141</v>
      </c>
      <c r="E757" s="118" t="s">
        <v>305</v>
      </c>
      <c r="H757" s="206" t="str">
        <f t="shared" si="113"/>
        <v>(5.04) e. Tuberculosis smears</v>
      </c>
      <c r="I757" s="213" t="str">
        <f t="shared" si="105"/>
        <v>select_one recd</v>
      </c>
      <c r="J757" s="106" t="s">
        <v>4407</v>
      </c>
      <c r="K757" s="116" t="s">
        <v>2443</v>
      </c>
      <c r="L757" s="118" t="str">
        <f t="shared" si="114"/>
        <v>Sorry, question (5.04)e is required!</v>
      </c>
      <c r="O757" s="110" t="s">
        <v>4852</v>
      </c>
    </row>
    <row r="758" spans="1:15" ht="14.25" customHeight="1">
      <c r="A758" t="s">
        <v>330</v>
      </c>
      <c r="B758" t="s">
        <v>2143</v>
      </c>
      <c r="E758" s="118" t="s">
        <v>307</v>
      </c>
      <c r="H758" s="206" t="str">
        <f t="shared" si="113"/>
        <v>(5.04) f. Gram stains</v>
      </c>
      <c r="I758" s="213" t="str">
        <f t="shared" si="105"/>
        <v>select_one recd</v>
      </c>
      <c r="J758" s="106" t="s">
        <v>4407</v>
      </c>
      <c r="K758" s="116" t="s">
        <v>2443</v>
      </c>
      <c r="L758" s="118" t="str">
        <f t="shared" si="114"/>
        <v>Sorry, question (5.04)f is required!</v>
      </c>
      <c r="O758" s="110" t="s">
        <v>4853</v>
      </c>
    </row>
    <row r="759" spans="1:15" ht="14.25" customHeight="1">
      <c r="A759" t="s">
        <v>330</v>
      </c>
      <c r="B759" t="s">
        <v>2145</v>
      </c>
      <c r="E759" s="118" t="s">
        <v>309</v>
      </c>
      <c r="H759" s="206" t="str">
        <f t="shared" si="113"/>
        <v>(5.04) g. HIV testing</v>
      </c>
      <c r="I759" s="213" t="str">
        <f t="shared" si="105"/>
        <v>select_one recd</v>
      </c>
      <c r="J759" s="106" t="s">
        <v>4407</v>
      </c>
      <c r="K759" s="116" t="s">
        <v>2443</v>
      </c>
      <c r="L759" s="118" t="str">
        <f t="shared" si="114"/>
        <v>Sorry, question (5.04)g is required!</v>
      </c>
      <c r="O759" s="110" t="s">
        <v>4854</v>
      </c>
    </row>
    <row r="760" spans="1:15" ht="14.25" customHeight="1">
      <c r="A760" t="s">
        <v>330</v>
      </c>
      <c r="B760" t="s">
        <v>2147</v>
      </c>
      <c r="E760" s="118" t="s">
        <v>311</v>
      </c>
      <c r="H760" s="206" t="str">
        <f t="shared" si="113"/>
        <v>(5.04) h. Hepatitis B testing</v>
      </c>
      <c r="I760" s="213" t="str">
        <f t="shared" si="105"/>
        <v>select_one recd</v>
      </c>
      <c r="J760" s="106" t="s">
        <v>4407</v>
      </c>
      <c r="K760" s="116" t="s">
        <v>2443</v>
      </c>
      <c r="L760" s="118" t="str">
        <f t="shared" si="114"/>
        <v>Sorry, question (5.04)h is required!</v>
      </c>
      <c r="O760" s="110" t="s">
        <v>4855</v>
      </c>
    </row>
    <row r="761" spans="1:15" ht="14.25" customHeight="1">
      <c r="A761" t="s">
        <v>330</v>
      </c>
      <c r="B761" t="s">
        <v>2149</v>
      </c>
      <c r="E761" s="118" t="s">
        <v>313</v>
      </c>
      <c r="H761" s="206" t="str">
        <f t="shared" si="113"/>
        <v>(5.04) i. Hepatitis C testing</v>
      </c>
      <c r="I761" s="213" t="str">
        <f t="shared" si="105"/>
        <v>select_one recd</v>
      </c>
      <c r="J761" s="106" t="s">
        <v>4407</v>
      </c>
      <c r="K761" s="116" t="s">
        <v>2443</v>
      </c>
      <c r="L761" s="118" t="str">
        <f t="shared" si="114"/>
        <v>Sorry, question (5.04)i is required!</v>
      </c>
      <c r="O761" s="110" t="s">
        <v>4856</v>
      </c>
    </row>
    <row r="762" spans="1:15" ht="14.25" customHeight="1">
      <c r="A762" t="s">
        <v>330</v>
      </c>
      <c r="B762" t="s">
        <v>2151</v>
      </c>
      <c r="E762" s="118" t="s">
        <v>315</v>
      </c>
      <c r="H762" s="206" t="str">
        <f t="shared" si="113"/>
        <v>(5.04) j. Syphilis testing (RPR or VDRL Test)</v>
      </c>
      <c r="I762" s="213" t="str">
        <f t="shared" si="105"/>
        <v>select_one recd</v>
      </c>
      <c r="J762" s="106" t="s">
        <v>4407</v>
      </c>
      <c r="K762" s="116" t="s">
        <v>2443</v>
      </c>
      <c r="L762" s="118" t="str">
        <f t="shared" si="114"/>
        <v>Sorry, question (5.04)j is required!</v>
      </c>
      <c r="O762" s="110" t="s">
        <v>4857</v>
      </c>
    </row>
    <row r="763" spans="1:15" ht="14.25" customHeight="1">
      <c r="A763" t="s">
        <v>330</v>
      </c>
      <c r="B763" t="s">
        <v>2153</v>
      </c>
      <c r="E763" s="118" t="s">
        <v>317</v>
      </c>
      <c r="H763" s="206" t="str">
        <f t="shared" si="113"/>
        <v>(5.04) k. Urine protein &amp; glucose test (dipstick tests)</v>
      </c>
      <c r="I763" s="213" t="str">
        <f t="shared" si="105"/>
        <v>select_one recd</v>
      </c>
      <c r="J763" s="106" t="s">
        <v>4407</v>
      </c>
      <c r="K763" s="116" t="s">
        <v>2443</v>
      </c>
      <c r="L763" s="118" t="str">
        <f t="shared" si="114"/>
        <v>Sorry, question (5.04)k is required!</v>
      </c>
      <c r="O763" s="110" t="s">
        <v>4858</v>
      </c>
    </row>
    <row r="764" spans="1:15" ht="14.25" customHeight="1">
      <c r="A764" t="s">
        <v>330</v>
      </c>
      <c r="B764" t="s">
        <v>2155</v>
      </c>
      <c r="E764" s="118" t="s">
        <v>319</v>
      </c>
      <c r="H764" s="206" t="str">
        <f t="shared" si="113"/>
        <v>(5.04) l. Pregnancy testing</v>
      </c>
      <c r="I764" s="213" t="str">
        <f t="shared" si="105"/>
        <v>select_one recd</v>
      </c>
      <c r="J764" s="106" t="s">
        <v>4407</v>
      </c>
      <c r="K764" s="116" t="s">
        <v>2443</v>
      </c>
      <c r="L764" s="118" t="str">
        <f t="shared" si="114"/>
        <v>Sorry, question (5.04)l is required!</v>
      </c>
      <c r="O764" s="110" t="s">
        <v>4859</v>
      </c>
    </row>
    <row r="765" spans="1:15" ht="14.25" customHeight="1">
      <c r="A765" t="s">
        <v>330</v>
      </c>
      <c r="B765" t="s">
        <v>2157</v>
      </c>
      <c r="E765" s="118" t="s">
        <v>321</v>
      </c>
      <c r="H765" s="206" t="str">
        <f t="shared" si="113"/>
        <v>(5.04) m. Blood sugar</v>
      </c>
      <c r="I765" s="213" t="str">
        <f t="shared" si="105"/>
        <v>select_one recd</v>
      </c>
      <c r="J765" s="106" t="s">
        <v>4407</v>
      </c>
      <c r="K765" s="116" t="s">
        <v>2443</v>
      </c>
      <c r="L765" s="118" t="str">
        <f t="shared" si="114"/>
        <v>Sorry, question (5.04)m is required!</v>
      </c>
      <c r="O765" s="110" t="s">
        <v>4860</v>
      </c>
    </row>
    <row r="766" spans="1:15" ht="14.25" customHeight="1">
      <c r="A766" t="s">
        <v>330</v>
      </c>
      <c r="B766" t="s">
        <v>2159</v>
      </c>
      <c r="E766" s="118" t="s">
        <v>323</v>
      </c>
      <c r="H766" s="206" t="str">
        <f t="shared" si="113"/>
        <v>(5.04) n. Stool tests for parasites</v>
      </c>
      <c r="I766" s="213" t="str">
        <f t="shared" si="105"/>
        <v>select_one recd</v>
      </c>
      <c r="J766" s="106" t="s">
        <v>4407</v>
      </c>
      <c r="K766" s="116" t="s">
        <v>2443</v>
      </c>
      <c r="L766" s="118" t="str">
        <f t="shared" si="114"/>
        <v>Sorry, question (5.04)n is required!</v>
      </c>
      <c r="O766" s="110" t="s">
        <v>4861</v>
      </c>
    </row>
    <row r="767" spans="1:15" ht="14.25" customHeight="1">
      <c r="A767" t="s">
        <v>330</v>
      </c>
      <c r="B767" t="s">
        <v>2161</v>
      </c>
      <c r="E767" s="118" t="s">
        <v>325</v>
      </c>
      <c r="H767" s="206" t="str">
        <f t="shared" si="113"/>
        <v>(5.04) o. Stool tests for occult blood</v>
      </c>
      <c r="I767" s="213" t="str">
        <f t="shared" si="105"/>
        <v>select_one recd</v>
      </c>
      <c r="J767" s="106" t="s">
        <v>4407</v>
      </c>
      <c r="K767" s="116" t="s">
        <v>2443</v>
      </c>
      <c r="L767" s="118" t="str">
        <f t="shared" si="114"/>
        <v>Sorry, question (5.04)o is required!</v>
      </c>
      <c r="O767" s="110" t="s">
        <v>4862</v>
      </c>
    </row>
    <row r="768" spans="1:15" ht="14.25" customHeight="1">
      <c r="A768" t="s">
        <v>330</v>
      </c>
      <c r="B768" t="s">
        <v>2163</v>
      </c>
      <c r="E768" s="118" t="s">
        <v>327</v>
      </c>
      <c r="H768" s="206" t="str">
        <f t="shared" si="113"/>
        <v>(5.04) p. Liver function testing</v>
      </c>
      <c r="I768" s="213" t="str">
        <f t="shared" si="105"/>
        <v>select_one recd</v>
      </c>
      <c r="J768" s="106" t="s">
        <v>4407</v>
      </c>
      <c r="K768" s="116" t="s">
        <v>2443</v>
      </c>
      <c r="L768" s="118" t="str">
        <f t="shared" si="114"/>
        <v>Sorry, question (5.04)p is required!</v>
      </c>
      <c r="O768" s="110" t="s">
        <v>4863</v>
      </c>
    </row>
    <row r="769" spans="1:24" ht="15">
      <c r="A769" t="s">
        <v>15</v>
      </c>
      <c r="L769" s="118" t="str">
        <f t="shared" si="114"/>
        <v/>
      </c>
      <c r="X769" t="s">
        <v>3033</v>
      </c>
    </row>
    <row r="770" spans="1:24" ht="15">
      <c r="A770" t="s">
        <v>2164</v>
      </c>
      <c r="B770" t="s">
        <v>3491</v>
      </c>
      <c r="J770" s="106" t="s">
        <v>3371</v>
      </c>
      <c r="L770" s="118" t="str">
        <f t="shared" si="114"/>
        <v/>
      </c>
      <c r="O770" s="110" t="s">
        <v>293</v>
      </c>
      <c r="X770" t="s">
        <v>3033</v>
      </c>
    </row>
    <row r="771" spans="1:24" ht="15">
      <c r="A771" t="s">
        <v>331</v>
      </c>
      <c r="B771" t="s">
        <v>4865</v>
      </c>
      <c r="E771" s="130" t="s">
        <v>4242</v>
      </c>
      <c r="I771" s="213" t="str">
        <f t="shared" ref="I771:I832" si="115">A771</f>
        <v>note</v>
      </c>
      <c r="J771" s="106" t="s">
        <v>3501</v>
      </c>
      <c r="L771" s="118" t="str">
        <f t="shared" si="114"/>
        <v/>
      </c>
    </row>
    <row r="772" spans="1:24" ht="15">
      <c r="A772" t="s">
        <v>332</v>
      </c>
      <c r="B772" t="s">
        <v>333</v>
      </c>
      <c r="E772" s="118" t="s">
        <v>334</v>
      </c>
      <c r="H772" s="206" t="str">
        <f>E772</f>
        <v>(5.05) Where is the lab equipment located?</v>
      </c>
      <c r="I772" s="213" t="str">
        <f t="shared" si="115"/>
        <v>select_one equip</v>
      </c>
      <c r="J772" s="165" t="s">
        <v>5356</v>
      </c>
      <c r="K772" s="116" t="s">
        <v>2443</v>
      </c>
      <c r="L772" s="118" t="str">
        <f t="shared" ref="L772" si="116">"Sorry, question "&amp;LEFT(E772, 6)&amp;" is required!"</f>
        <v>Sorry, question (5.05) is required!</v>
      </c>
    </row>
    <row r="773" spans="1:24" ht="15">
      <c r="A773" t="s">
        <v>16</v>
      </c>
      <c r="B773" t="s">
        <v>2910</v>
      </c>
      <c r="E773" s="132" t="s">
        <v>6764</v>
      </c>
      <c r="F773" s="118" t="s">
        <v>2589</v>
      </c>
      <c r="H773" s="206" t="str">
        <f>E773</f>
        <v>(5.05) Other, specify</v>
      </c>
      <c r="I773" s="213" t="str">
        <f t="shared" si="115"/>
        <v>text</v>
      </c>
      <c r="J773" s="106" t="s">
        <v>3494</v>
      </c>
      <c r="K773" s="116" t="s">
        <v>2443</v>
      </c>
      <c r="L773" s="118" t="str">
        <f>"Sorry, question "&amp;LEFT(E773, 12)&amp;" is required!"</f>
        <v>Sorry, question (5.05) Other is required!</v>
      </c>
      <c r="O773" s="110" t="s">
        <v>2590</v>
      </c>
    </row>
    <row r="774" spans="1:24" ht="15">
      <c r="A774" t="s">
        <v>335</v>
      </c>
      <c r="B774" t="s">
        <v>4866</v>
      </c>
      <c r="E774" s="132" t="s">
        <v>336</v>
      </c>
      <c r="J774" s="106" t="s">
        <v>3495</v>
      </c>
      <c r="L774" s="118" t="str">
        <f t="shared" si="114"/>
        <v/>
      </c>
    </row>
    <row r="775" spans="1:24" ht="15">
      <c r="A775" t="s">
        <v>337</v>
      </c>
      <c r="B775" t="s">
        <v>4872</v>
      </c>
      <c r="E775" s="118" t="s">
        <v>338</v>
      </c>
      <c r="H775" s="206" t="str">
        <f>"(5.06) QUANTITY OF EACH EQUIPMENT FUNCTIONING - "&amp;E775</f>
        <v>(5.06) QUANTITY OF EACH EQUIPMENT FUNCTIONING - a. Microscope</v>
      </c>
      <c r="I775" s="213" t="str">
        <f t="shared" si="115"/>
        <v>integer</v>
      </c>
      <c r="J775" s="106" t="s">
        <v>3380</v>
      </c>
      <c r="K775" s="116" t="s">
        <v>2443</v>
      </c>
      <c r="L775" s="118" t="str">
        <f>IF(K775="yes",("Sorry, question (5.06)"&amp;LEFT(E775, 1)&amp;" is required!"),"")</f>
        <v>Sorry, question (5.06)a is required!</v>
      </c>
      <c r="M775" s="113" t="s">
        <v>2504</v>
      </c>
      <c r="N775" t="str">
        <f xml:space="preserve"> "(5.06) " &amp; LEFT(E775,2) &amp; " MINIMUM 0"</f>
        <v>(5.06) a. MINIMUM 0</v>
      </c>
    </row>
    <row r="776" spans="1:24" ht="15">
      <c r="A776" t="s">
        <v>339</v>
      </c>
      <c r="B776" t="s">
        <v>4873</v>
      </c>
      <c r="E776" s="118" t="s">
        <v>340</v>
      </c>
      <c r="H776" s="206" t="str">
        <f t="shared" ref="H776:H778" si="117">"(5.06) QUANTITY OF EACH EQUIPMENT FUNCTIONING - "&amp;E776</f>
        <v>(5.06) QUANTITY OF EACH EQUIPMENT FUNCTIONING - b. Centrifuge</v>
      </c>
      <c r="I776" s="213" t="str">
        <f t="shared" si="115"/>
        <v>integer</v>
      </c>
      <c r="J776" s="106" t="s">
        <v>3481</v>
      </c>
      <c r="K776" s="116" t="s">
        <v>2443</v>
      </c>
      <c r="L776" s="118" t="str">
        <f t="shared" ref="L776:L778" si="118">IF(K776="yes",("Sorry, question (5.06)"&amp;LEFT(E776, 1)&amp;" is required!"),"")</f>
        <v>Sorry, question (5.06)b is required!</v>
      </c>
      <c r="M776" s="113" t="s">
        <v>2504</v>
      </c>
      <c r="N776" t="str">
        <f t="shared" ref="N776:N778" si="119" xml:space="preserve"> "(5.06) " &amp; LEFT(E776,2) &amp; " MINIMUM 0"</f>
        <v>(5.06) b. MINIMUM 0</v>
      </c>
    </row>
    <row r="777" spans="1:24" ht="15">
      <c r="A777" t="s">
        <v>341</v>
      </c>
      <c r="B777" t="s">
        <v>4874</v>
      </c>
      <c r="E777" s="118" t="s">
        <v>342</v>
      </c>
      <c r="H777" s="206" t="str">
        <f t="shared" si="117"/>
        <v>(5.06) QUANTITY OF EACH EQUIPMENT FUNCTIONING - c. Hemoglobinometer</v>
      </c>
      <c r="I777" s="213" t="str">
        <f t="shared" si="115"/>
        <v>integer</v>
      </c>
      <c r="J777" s="106" t="s">
        <v>3381</v>
      </c>
      <c r="K777" s="116" t="s">
        <v>2443</v>
      </c>
      <c r="L777" s="118" t="str">
        <f t="shared" si="118"/>
        <v>Sorry, question (5.06)c is required!</v>
      </c>
      <c r="M777" s="113" t="s">
        <v>2504</v>
      </c>
      <c r="N777" t="str">
        <f t="shared" si="119"/>
        <v>(5.06) c. MINIMUM 0</v>
      </c>
    </row>
    <row r="778" spans="1:24" ht="15">
      <c r="A778" t="s">
        <v>343</v>
      </c>
      <c r="B778" t="s">
        <v>4875</v>
      </c>
      <c r="E778" s="118" t="s">
        <v>344</v>
      </c>
      <c r="H778" s="206" t="str">
        <f t="shared" si="117"/>
        <v>(5.06) QUANTITY OF EACH EQUIPMENT FUNCTIONING - d. Refrigerator for storing reagents</v>
      </c>
      <c r="I778" s="213" t="str">
        <f t="shared" si="115"/>
        <v>integer</v>
      </c>
      <c r="J778" s="106" t="s">
        <v>3482</v>
      </c>
      <c r="K778" s="116" t="s">
        <v>2443</v>
      </c>
      <c r="L778" s="118" t="str">
        <f t="shared" si="118"/>
        <v>Sorry, question (5.06)d is required!</v>
      </c>
      <c r="M778" s="113" t="s">
        <v>2504</v>
      </c>
      <c r="N778" t="str">
        <f t="shared" si="119"/>
        <v>(5.06) d. MINIMUM 0</v>
      </c>
    </row>
    <row r="779" spans="1:24" ht="15">
      <c r="A779" t="s">
        <v>345</v>
      </c>
      <c r="B779" t="s">
        <v>346</v>
      </c>
      <c r="E779" s="118" t="s">
        <v>2485</v>
      </c>
      <c r="F779" s="118" t="s">
        <v>2486</v>
      </c>
      <c r="H779" s="206" t="str">
        <f>E779</f>
        <v xml:space="preserve">(5.07) Is there a Tuberculosis Laboratory Register? </v>
      </c>
      <c r="I779" s="213" t="str">
        <f t="shared" si="115"/>
        <v>select_one yesno3</v>
      </c>
      <c r="J779" s="106" t="s">
        <v>4463</v>
      </c>
      <c r="K779" s="116" t="s">
        <v>2443</v>
      </c>
      <c r="L779" s="118" t="str">
        <f>IF(K779="yes",("Sorry, question "&amp;LEFT(E779, 6)&amp;" is required!"),"")</f>
        <v>Sorry, question (5.07) is required!</v>
      </c>
    </row>
    <row r="780" spans="1:24" ht="15">
      <c r="A780" t="s">
        <v>2473</v>
      </c>
      <c r="B780" t="s">
        <v>6590</v>
      </c>
      <c r="I780" s="213" t="s">
        <v>17</v>
      </c>
      <c r="J780" s="106" t="s">
        <v>3496</v>
      </c>
      <c r="L780" s="118" t="str">
        <f t="shared" ref="L780:L849" si="120">IF(K780="yes",("Sorry, question "&amp;LEFT(E780, 6)&amp;" is required!"),"")</f>
        <v/>
      </c>
      <c r="P780" s="101" t="s">
        <v>3615</v>
      </c>
    </row>
    <row r="781" spans="1:24" ht="15">
      <c r="A781" t="s">
        <v>17</v>
      </c>
      <c r="B781" t="s">
        <v>4249</v>
      </c>
      <c r="E781" s="130" t="s">
        <v>6594</v>
      </c>
      <c r="I781" s="213" t="str">
        <f t="shared" si="115"/>
        <v>note</v>
      </c>
      <c r="J781" s="106" t="s">
        <v>3497</v>
      </c>
      <c r="L781" s="118" t="str">
        <f t="shared" si="120"/>
        <v/>
      </c>
      <c r="O781" s="110" t="s">
        <v>6591</v>
      </c>
    </row>
    <row r="782" spans="1:24" ht="15">
      <c r="A782" t="s">
        <v>17</v>
      </c>
      <c r="B782" t="s">
        <v>4251</v>
      </c>
      <c r="E782" s="130" t="s">
        <v>4250</v>
      </c>
      <c r="J782" s="106" t="s">
        <v>3497</v>
      </c>
      <c r="O782" s="110" t="s">
        <v>6592</v>
      </c>
      <c r="S782" t="s">
        <v>2443</v>
      </c>
    </row>
    <row r="783" spans="1:24" ht="15">
      <c r="A783" t="s">
        <v>347</v>
      </c>
      <c r="B783" t="s">
        <v>348</v>
      </c>
      <c r="E783" s="118" t="s">
        <v>6593</v>
      </c>
      <c r="F783" s="118" t="s">
        <v>2484</v>
      </c>
      <c r="H783" s="206" t="str">
        <f>E783</f>
        <v xml:space="preserve">(5.08) How many &lt;b&gt;laboratory technicians&lt;/b&gt; are trained in Acid-Fast Bacilli (AFB) microscopy? </v>
      </c>
      <c r="I783" s="213" t="str">
        <f t="shared" si="115"/>
        <v>integer</v>
      </c>
      <c r="J783" s="106" t="s">
        <v>3498</v>
      </c>
      <c r="K783" s="116" t="s">
        <v>2443</v>
      </c>
      <c r="L783" s="118" t="str">
        <f t="shared" si="120"/>
        <v>Sorry, question (5.08) is required!</v>
      </c>
      <c r="M783" s="113" t="s">
        <v>6674</v>
      </c>
      <c r="N783" t="s">
        <v>6695</v>
      </c>
    </row>
    <row r="784" spans="1:24" ht="15">
      <c r="A784" t="s">
        <v>349</v>
      </c>
      <c r="L784" s="118" t="str">
        <f t="shared" si="120"/>
        <v/>
      </c>
      <c r="X784" t="s">
        <v>3033</v>
      </c>
    </row>
    <row r="785" spans="1:24" ht="15">
      <c r="A785" t="s">
        <v>350</v>
      </c>
      <c r="L785" s="118" t="str">
        <f t="shared" si="120"/>
        <v/>
      </c>
      <c r="X785" t="s">
        <v>3032</v>
      </c>
    </row>
    <row r="786" spans="1:24" ht="14.25" customHeight="1">
      <c r="L786" s="118" t="str">
        <f t="shared" si="120"/>
        <v/>
      </c>
    </row>
    <row r="787" spans="1:24" ht="15">
      <c r="A787" t="s">
        <v>351</v>
      </c>
      <c r="B787" t="s">
        <v>2107</v>
      </c>
      <c r="E787" s="118" t="s">
        <v>2776</v>
      </c>
      <c r="J787" s="106" t="s">
        <v>2778</v>
      </c>
      <c r="L787" s="118" t="str">
        <f t="shared" si="120"/>
        <v/>
      </c>
      <c r="O787" s="110" t="s">
        <v>3582</v>
      </c>
      <c r="X787" t="s">
        <v>2778</v>
      </c>
    </row>
    <row r="788" spans="1:24" ht="15">
      <c r="A788" t="s">
        <v>352</v>
      </c>
      <c r="B788" t="s">
        <v>3134</v>
      </c>
      <c r="J788" s="106" t="s">
        <v>3526</v>
      </c>
      <c r="L788" s="118" t="str">
        <f t="shared" si="120"/>
        <v/>
      </c>
      <c r="X788" t="s">
        <v>3032</v>
      </c>
    </row>
    <row r="789" spans="1:24" ht="15">
      <c r="A789" t="s">
        <v>353</v>
      </c>
      <c r="B789" t="s">
        <v>4867</v>
      </c>
      <c r="E789" s="118" t="s">
        <v>4202</v>
      </c>
      <c r="I789" s="213" t="str">
        <f t="shared" si="115"/>
        <v>note</v>
      </c>
      <c r="J789" s="106" t="s">
        <v>3528</v>
      </c>
      <c r="L789" s="118" t="str">
        <f t="shared" si="120"/>
        <v/>
      </c>
    </row>
    <row r="790" spans="1:24" ht="15">
      <c r="A790" t="s">
        <v>354</v>
      </c>
      <c r="B790" t="s">
        <v>355</v>
      </c>
      <c r="E790" s="118" t="s">
        <v>4203</v>
      </c>
      <c r="J790" s="106" t="s">
        <v>3529</v>
      </c>
      <c r="L790" s="118" t="str">
        <f t="shared" si="120"/>
        <v/>
      </c>
      <c r="S790" t="s">
        <v>2443</v>
      </c>
    </row>
    <row r="791" spans="1:24" ht="15">
      <c r="A791" t="s">
        <v>17</v>
      </c>
      <c r="B791" t="s">
        <v>4868</v>
      </c>
      <c r="E791" s="118" t="s">
        <v>4287</v>
      </c>
      <c r="I791" s="213" t="str">
        <f t="shared" si="115"/>
        <v>note</v>
      </c>
      <c r="J791" s="106" t="s">
        <v>3530</v>
      </c>
      <c r="L791" s="118" t="str">
        <f t="shared" si="120"/>
        <v/>
      </c>
    </row>
    <row r="792" spans="1:24" ht="14.25" customHeight="1">
      <c r="A792" t="s">
        <v>15</v>
      </c>
      <c r="L792" s="118" t="str">
        <f t="shared" si="120"/>
        <v/>
      </c>
      <c r="X792" t="s">
        <v>3032</v>
      </c>
    </row>
    <row r="793" spans="1:24" ht="14.25" customHeight="1">
      <c r="A793" t="s">
        <v>12</v>
      </c>
      <c r="B793" t="s">
        <v>3541</v>
      </c>
      <c r="J793" s="106" t="s">
        <v>13</v>
      </c>
      <c r="L793" s="118" t="str">
        <f t="shared" si="120"/>
        <v/>
      </c>
      <c r="X793" t="s">
        <v>3032</v>
      </c>
    </row>
    <row r="794" spans="1:24" ht="14.25" customHeight="1">
      <c r="A794" t="s">
        <v>23</v>
      </c>
      <c r="B794" s="107" t="s">
        <v>357</v>
      </c>
      <c r="E794" s="118" t="s">
        <v>358</v>
      </c>
      <c r="H794" s="206" t="str">
        <f>E794</f>
        <v>(6.01) Does this facility provide immunization services?</v>
      </c>
      <c r="I794" s="213" t="str">
        <f t="shared" si="115"/>
        <v>select_one yesno</v>
      </c>
      <c r="J794" s="106" t="s">
        <v>4457</v>
      </c>
      <c r="K794" s="116" t="s">
        <v>2443</v>
      </c>
      <c r="L794" s="118" t="str">
        <f t="shared" si="120"/>
        <v>Sorry, question (6.01) is required!</v>
      </c>
    </row>
    <row r="795" spans="1:24" ht="14.25" customHeight="1">
      <c r="A795" t="s">
        <v>359</v>
      </c>
      <c r="B795" t="s">
        <v>360</v>
      </c>
      <c r="E795" s="118" t="s">
        <v>361</v>
      </c>
      <c r="H795" s="206" t="str">
        <f t="shared" ref="H795:H798" si="121">E795</f>
        <v>(6.02) Is there a separate room or area for immunizations?</v>
      </c>
      <c r="I795" s="213" t="str">
        <f t="shared" si="115"/>
        <v>select_one yesno</v>
      </c>
      <c r="J795" s="106" t="s">
        <v>4457</v>
      </c>
      <c r="K795" s="116" t="s">
        <v>2443</v>
      </c>
      <c r="L795" s="118" t="str">
        <f t="shared" si="120"/>
        <v>Sorry, question (6.02) is required!</v>
      </c>
      <c r="O795" s="110" t="s">
        <v>3378</v>
      </c>
    </row>
    <row r="796" spans="1:24" ht="14.25" customHeight="1">
      <c r="A796" t="s">
        <v>362</v>
      </c>
      <c r="B796" t="s">
        <v>363</v>
      </c>
      <c r="E796" s="118" t="s">
        <v>364</v>
      </c>
      <c r="H796" s="206" t="str">
        <f t="shared" si="121"/>
        <v>(6.03) Are immunizations regularly given to children at the facility or in outreach activities?</v>
      </c>
      <c r="I796" s="213" t="str">
        <f t="shared" si="115"/>
        <v>select_one act</v>
      </c>
      <c r="J796" s="106" t="s">
        <v>4457</v>
      </c>
      <c r="K796" s="116" t="s">
        <v>2443</v>
      </c>
      <c r="L796" s="118" t="str">
        <f t="shared" si="120"/>
        <v>Sorry, question (6.03) is required!</v>
      </c>
      <c r="O796" s="110" t="s">
        <v>3378</v>
      </c>
    </row>
    <row r="797" spans="1:24" ht="14.25" customHeight="1">
      <c r="A797" t="s">
        <v>365</v>
      </c>
      <c r="B797" t="s">
        <v>366</v>
      </c>
      <c r="E797" s="118" t="s">
        <v>367</v>
      </c>
      <c r="H797" s="206" t="str">
        <f t="shared" si="121"/>
        <v>(6.04) Is there a vaccination outreach work plan for the current year?</v>
      </c>
      <c r="I797" s="213" t="str">
        <f t="shared" si="115"/>
        <v>select_one yesno</v>
      </c>
      <c r="J797" s="106" t="s">
        <v>4457</v>
      </c>
      <c r="K797" s="116" t="s">
        <v>2443</v>
      </c>
      <c r="L797" s="118" t="str">
        <f t="shared" si="120"/>
        <v>Sorry, question (6.04) is required!</v>
      </c>
      <c r="O797" s="110" t="s">
        <v>3378</v>
      </c>
    </row>
    <row r="798" spans="1:24" ht="14.25" customHeight="1">
      <c r="A798" t="s">
        <v>368</v>
      </c>
      <c r="B798" t="s">
        <v>369</v>
      </c>
      <c r="E798" s="118" t="s">
        <v>370</v>
      </c>
      <c r="F798" s="118" t="s">
        <v>3383</v>
      </c>
      <c r="H798" s="206" t="str">
        <f t="shared" si="121"/>
        <v>(6.05) In the last 30 days, on how many days did the facility staff do vaccination outreach in the community?</v>
      </c>
      <c r="I798" s="213" t="str">
        <f t="shared" si="115"/>
        <v>integer</v>
      </c>
      <c r="J798" s="106" t="s">
        <v>3379</v>
      </c>
      <c r="K798" s="116" t="s">
        <v>2443</v>
      </c>
      <c r="L798" s="118" t="str">
        <f t="shared" si="120"/>
        <v>Sorry, question (6.05) is required!</v>
      </c>
      <c r="M798" s="113" t="s">
        <v>3598</v>
      </c>
      <c r="N798" t="s">
        <v>3807</v>
      </c>
      <c r="O798" s="110" t="s">
        <v>3378</v>
      </c>
    </row>
    <row r="799" spans="1:24" ht="14.25" customHeight="1">
      <c r="A799" t="s">
        <v>356</v>
      </c>
      <c r="L799" s="118" t="str">
        <f t="shared" si="120"/>
        <v/>
      </c>
      <c r="X799" t="s">
        <v>3032</v>
      </c>
    </row>
    <row r="800" spans="1:24" ht="14.25" customHeight="1">
      <c r="A800" t="s">
        <v>12</v>
      </c>
      <c r="B800" t="s">
        <v>3135</v>
      </c>
      <c r="J800" s="106" t="s">
        <v>13</v>
      </c>
      <c r="L800" s="118" t="str">
        <f t="shared" si="120"/>
        <v/>
      </c>
      <c r="O800" s="110" t="s">
        <v>3378</v>
      </c>
      <c r="X800" t="s">
        <v>3032</v>
      </c>
    </row>
    <row r="801" spans="1:24" ht="14.25" customHeight="1">
      <c r="A801" t="s">
        <v>17</v>
      </c>
      <c r="B801" t="s">
        <v>4869</v>
      </c>
      <c r="E801" s="118" t="s">
        <v>4870</v>
      </c>
      <c r="I801" s="213" t="str">
        <f t="shared" si="115"/>
        <v>note</v>
      </c>
      <c r="L801" s="118" t="str">
        <f t="shared" si="120"/>
        <v/>
      </c>
    </row>
    <row r="802" spans="1:24" ht="14.25" customHeight="1">
      <c r="A802" t="s">
        <v>2582</v>
      </c>
      <c r="B802" t="s">
        <v>4871</v>
      </c>
      <c r="E802" s="118" t="s">
        <v>371</v>
      </c>
      <c r="H802" s="206" t="str">
        <f>E802</f>
        <v>(6.06) Does this facility have a [STORAGE METHOD] for storing vaccines?</v>
      </c>
      <c r="I802" s="213" t="s">
        <v>17</v>
      </c>
      <c r="J802" s="106" t="s">
        <v>1</v>
      </c>
      <c r="L802" s="118" t="str">
        <f t="shared" si="120"/>
        <v/>
      </c>
    </row>
    <row r="803" spans="1:24" ht="14.25" customHeight="1">
      <c r="A803" t="s">
        <v>2582</v>
      </c>
      <c r="B803" t="s">
        <v>2577</v>
      </c>
      <c r="E803" s="118" t="s">
        <v>872</v>
      </c>
      <c r="H803" s="206" t="str">
        <f>E802&amp;"-"&amp;E803</f>
        <v>(6.06) Does this facility have a [STORAGE METHOD] for storing vaccines?-b. Cold Box</v>
      </c>
      <c r="I803" s="213" t="str">
        <f t="shared" si="115"/>
        <v>select_one has</v>
      </c>
      <c r="J803" s="106" t="s">
        <v>2442</v>
      </c>
      <c r="K803" s="116" t="s">
        <v>2443</v>
      </c>
      <c r="L803" s="118" t="str">
        <f>IF(K803="yes",("Sorry, question (6.06)"&amp;LEFT(E803, 1)&amp;" is required!"),"")</f>
        <v>Sorry, question (6.06)b is required!</v>
      </c>
    </row>
    <row r="804" spans="1:24" ht="14.25" customHeight="1">
      <c r="A804" t="s">
        <v>2582</v>
      </c>
      <c r="B804" t="s">
        <v>2578</v>
      </c>
      <c r="E804" s="118" t="s">
        <v>874</v>
      </c>
      <c r="H804" s="206" t="str">
        <f>E802&amp;"-"&amp;E804</f>
        <v>(6.06) Does this facility have a [STORAGE METHOD] for storing vaccines?-c. Refrigerator</v>
      </c>
      <c r="I804" s="213" t="str">
        <f t="shared" si="115"/>
        <v>select_one has</v>
      </c>
      <c r="J804" s="106" t="s">
        <v>2442</v>
      </c>
      <c r="K804" s="116" t="s">
        <v>2443</v>
      </c>
      <c r="L804" s="118" t="str">
        <f t="shared" ref="L804:L805" si="122">IF(K804="yes",("Sorry, question (6.06)"&amp;LEFT(E804, 1)&amp;" is required!"),"")</f>
        <v>Sorry, question (6.06)c is required!</v>
      </c>
    </row>
    <row r="805" spans="1:24" ht="14.25" customHeight="1">
      <c r="A805" t="s">
        <v>2582</v>
      </c>
      <c r="B805" t="s">
        <v>2579</v>
      </c>
      <c r="E805" s="118" t="s">
        <v>876</v>
      </c>
      <c r="H805" s="206" t="str">
        <f>E802&amp;"-"&amp;E805</f>
        <v>(6.06) Does this facility have a [STORAGE METHOD] for storing vaccines?-d. Vaccine Carriers</v>
      </c>
      <c r="I805" s="213" t="str">
        <f t="shared" si="115"/>
        <v>select_one has</v>
      </c>
      <c r="J805" s="106" t="s">
        <v>2442</v>
      </c>
      <c r="K805" s="116" t="s">
        <v>2443</v>
      </c>
      <c r="L805" s="118" t="str">
        <f t="shared" si="122"/>
        <v>Sorry, question (6.06)d is required!</v>
      </c>
    </row>
    <row r="806" spans="1:24" ht="14.25" customHeight="1">
      <c r="A806" t="s">
        <v>372</v>
      </c>
      <c r="B806" t="s">
        <v>373</v>
      </c>
      <c r="E806" s="118" t="s">
        <v>5357</v>
      </c>
      <c r="F806" s="118" t="s">
        <v>5358</v>
      </c>
      <c r="H806" s="206" t="str">
        <f>E806</f>
        <v xml:space="preserve">(6.07) Is a temperature log kept? </v>
      </c>
      <c r="I806" s="213" t="str">
        <f t="shared" si="115"/>
        <v>select_one yesno3</v>
      </c>
      <c r="J806" s="106" t="s">
        <v>4457</v>
      </c>
      <c r="K806" s="116" t="s">
        <v>2443</v>
      </c>
      <c r="L806" s="118" t="str">
        <f t="shared" si="120"/>
        <v>Sorry, question (6.07) is required!</v>
      </c>
    </row>
    <row r="807" spans="1:24" ht="14.25" customHeight="1">
      <c r="A807" t="s">
        <v>375</v>
      </c>
      <c r="B807" t="s">
        <v>376</v>
      </c>
      <c r="E807" s="118" t="s">
        <v>5359</v>
      </c>
      <c r="F807" s="118" t="s">
        <v>3383</v>
      </c>
      <c r="H807" s="206" t="str">
        <f t="shared" ref="H807:H810" si="123">E807</f>
        <v>(6.08) In the &lt;u&gt;past 7 days&lt;/u&gt;, on how many days was the temperature logged?</v>
      </c>
      <c r="I807" s="213" t="str">
        <f t="shared" si="115"/>
        <v>integer</v>
      </c>
      <c r="J807" s="106" t="s">
        <v>3379</v>
      </c>
      <c r="K807" s="116" t="s">
        <v>2443</v>
      </c>
      <c r="L807" s="118" t="str">
        <f t="shared" si="120"/>
        <v>Sorry, question (6.08) is required!</v>
      </c>
      <c r="M807" s="113" t="s">
        <v>3594</v>
      </c>
      <c r="N807" t="s">
        <v>3808</v>
      </c>
      <c r="O807" s="110" t="s">
        <v>3590</v>
      </c>
    </row>
    <row r="808" spans="1:24" ht="14.25" customHeight="1">
      <c r="A808" t="s">
        <v>377</v>
      </c>
      <c r="B808" t="s">
        <v>2911</v>
      </c>
      <c r="E808" s="118" t="s">
        <v>5360</v>
      </c>
      <c r="F808" s="118" t="s">
        <v>3383</v>
      </c>
      <c r="H808" s="206" t="str">
        <f t="shared" si="123"/>
        <v>(6.09) In the &lt;u&gt;past 7 days&lt;/u&gt;, how many days had a measurement of over 8&lt;sup&gt;o&lt;/sup&gt;C or under 2&lt;sup&gt;o&lt;/sup&gt;C?</v>
      </c>
      <c r="I808" s="213" t="str">
        <f t="shared" si="115"/>
        <v>integer</v>
      </c>
      <c r="J808" s="106" t="s">
        <v>3379</v>
      </c>
      <c r="K808" s="116" t="s">
        <v>2443</v>
      </c>
      <c r="L808" s="118" t="str">
        <f>IF(K808="yes",("Sorry, question (6.09) is required!"),"")</f>
        <v>Sorry, question (6.09) is required!</v>
      </c>
      <c r="M808" s="113" t="s">
        <v>3594</v>
      </c>
      <c r="N808" t="s">
        <v>3809</v>
      </c>
      <c r="O808" s="110" t="s">
        <v>3590</v>
      </c>
    </row>
    <row r="809" spans="1:24" ht="14.25" customHeight="1">
      <c r="A809" t="s">
        <v>14</v>
      </c>
      <c r="B809" t="s">
        <v>3092</v>
      </c>
      <c r="E809" s="118" t="s">
        <v>5361</v>
      </c>
      <c r="F809" s="118" t="s">
        <v>3388</v>
      </c>
      <c r="H809" s="206" t="str">
        <f t="shared" si="123"/>
        <v>(6.09_N1) In the &lt;u&gt;past 7 days&lt;/u&gt;, how many times has there been an alarm due to vaccine temperature?</v>
      </c>
      <c r="I809" s="213" t="str">
        <f t="shared" si="115"/>
        <v>integer</v>
      </c>
      <c r="J809" s="106" t="s">
        <v>3379</v>
      </c>
      <c r="K809" s="116" t="s">
        <v>2443</v>
      </c>
      <c r="L809" s="118" t="str">
        <f t="shared" si="120"/>
        <v>Sorry, question (6.09_ is required!</v>
      </c>
      <c r="M809" s="113" t="s">
        <v>2504</v>
      </c>
      <c r="N809" t="s">
        <v>3810</v>
      </c>
      <c r="O809" s="110" t="s">
        <v>3590</v>
      </c>
    </row>
    <row r="810" spans="1:24" ht="14.25" customHeight="1">
      <c r="A810" t="s">
        <v>378</v>
      </c>
      <c r="B810" t="s">
        <v>2912</v>
      </c>
      <c r="E810" s="118" t="s">
        <v>3093</v>
      </c>
      <c r="H810" s="206" t="str">
        <f t="shared" si="123"/>
        <v>(6.10) Are infant welfare card issued to every child starting his/her immunization schedule?</v>
      </c>
      <c r="I810" s="213" t="str">
        <f t="shared" si="115"/>
        <v>select_one yesno</v>
      </c>
      <c r="J810" s="106" t="s">
        <v>4457</v>
      </c>
      <c r="K810" s="116" t="s">
        <v>2443</v>
      </c>
      <c r="L810" s="118" t="str">
        <f t="shared" si="120"/>
        <v>Sorry, question (6.10) is required!</v>
      </c>
    </row>
    <row r="811" spans="1:24" ht="14.25" customHeight="1">
      <c r="A811" t="s">
        <v>374</v>
      </c>
      <c r="L811" s="118" t="str">
        <f t="shared" si="120"/>
        <v/>
      </c>
      <c r="X811" t="s">
        <v>3032</v>
      </c>
    </row>
    <row r="812" spans="1:24" ht="14.25" customHeight="1">
      <c r="A812" t="s">
        <v>12</v>
      </c>
      <c r="B812" t="s">
        <v>3136</v>
      </c>
      <c r="J812" s="106" t="s">
        <v>3526</v>
      </c>
      <c r="L812" s="118" t="str">
        <f t="shared" si="120"/>
        <v/>
      </c>
      <c r="X812" t="s">
        <v>3032</v>
      </c>
    </row>
    <row r="813" spans="1:24" ht="14.25" customHeight="1">
      <c r="A813" t="s">
        <v>379</v>
      </c>
      <c r="B813" t="s">
        <v>4876</v>
      </c>
      <c r="E813" s="117" t="s">
        <v>4282</v>
      </c>
      <c r="I813" s="213" t="str">
        <f t="shared" si="115"/>
        <v>note</v>
      </c>
      <c r="J813" s="106" t="s">
        <v>3528</v>
      </c>
      <c r="L813" s="118" t="str">
        <f t="shared" si="120"/>
        <v/>
      </c>
    </row>
    <row r="814" spans="1:24" ht="14.25" customHeight="1">
      <c r="A814" t="s">
        <v>380</v>
      </c>
      <c r="B814" t="s">
        <v>2913</v>
      </c>
      <c r="E814" s="118" t="s">
        <v>2914</v>
      </c>
      <c r="H814" s="206" t="str">
        <f>E814</f>
        <v>(6.13) Are antenatal services provided at this facility?</v>
      </c>
      <c r="I814" s="213" t="str">
        <f t="shared" si="115"/>
        <v>select_one yesno</v>
      </c>
      <c r="J814" s="106" t="s">
        <v>5351</v>
      </c>
      <c r="K814" s="116" t="s">
        <v>2443</v>
      </c>
      <c r="L814" s="118" t="str">
        <f t="shared" si="120"/>
        <v>Sorry, question (6.13) is required!</v>
      </c>
    </row>
    <row r="815" spans="1:24" ht="14.25" customHeight="1">
      <c r="A815" t="s">
        <v>381</v>
      </c>
      <c r="B815" t="s">
        <v>2915</v>
      </c>
      <c r="E815" s="118" t="s">
        <v>2916</v>
      </c>
      <c r="H815" s="206" t="str">
        <f t="shared" ref="H815:H818" si="124">E815</f>
        <v>(6.14) Are pregnant women seen at specific times that are separate from times allocated to other patients consultations?</v>
      </c>
      <c r="I815" s="213" t="str">
        <f t="shared" si="115"/>
        <v>select_one yesno</v>
      </c>
      <c r="J815" s="106" t="s">
        <v>4458</v>
      </c>
      <c r="K815" s="116" t="s">
        <v>2443</v>
      </c>
      <c r="L815" s="118" t="str">
        <f t="shared" si="120"/>
        <v>Sorry, question (6.14) is required!</v>
      </c>
      <c r="O815" s="110" t="s">
        <v>2748</v>
      </c>
    </row>
    <row r="816" spans="1:24" ht="14.25" customHeight="1">
      <c r="A816" t="s">
        <v>382</v>
      </c>
      <c r="B816" t="s">
        <v>2917</v>
      </c>
      <c r="E816" s="118" t="s">
        <v>2918</v>
      </c>
      <c r="F816" s="118" t="s">
        <v>3383</v>
      </c>
      <c r="H816" s="206" t="str">
        <f t="shared" si="124"/>
        <v>(6.15) In the last 30 days, how many days has antenatal care been available to women?</v>
      </c>
      <c r="I816" s="213" t="str">
        <f t="shared" si="115"/>
        <v>integer</v>
      </c>
      <c r="J816" s="106" t="s">
        <v>3542</v>
      </c>
      <c r="K816" s="116" t="s">
        <v>2443</v>
      </c>
      <c r="L816" s="118" t="str">
        <f t="shared" si="120"/>
        <v>Sorry, question (6.15) is required!</v>
      </c>
      <c r="M816" s="113" t="s">
        <v>2591</v>
      </c>
      <c r="N816" t="s">
        <v>3811</v>
      </c>
      <c r="O816" s="110" t="s">
        <v>2748</v>
      </c>
    </row>
    <row r="817" spans="1:24" ht="14.25" customHeight="1">
      <c r="A817" t="s">
        <v>14</v>
      </c>
      <c r="B817" t="s">
        <v>4877</v>
      </c>
      <c r="E817" s="118" t="s">
        <v>4878</v>
      </c>
      <c r="F817" s="118" t="s">
        <v>3388</v>
      </c>
      <c r="H817" s="206" t="str">
        <f t="shared" si="124"/>
        <v>(6.16) In the last 6 months, how many times did the facility hold meetings with Traditional Birth Attendants?</v>
      </c>
      <c r="I817" s="213" t="str">
        <f t="shared" si="115"/>
        <v>integer</v>
      </c>
      <c r="J817" s="106" t="s">
        <v>3485</v>
      </c>
      <c r="K817" s="116" t="s">
        <v>2443</v>
      </c>
      <c r="L817" s="118" t="str">
        <f t="shared" si="120"/>
        <v>Sorry, question (6.16) is required!</v>
      </c>
      <c r="M817" s="113" t="s">
        <v>2734</v>
      </c>
      <c r="N817" t="s">
        <v>4879</v>
      </c>
      <c r="O817" s="110" t="s">
        <v>2748</v>
      </c>
    </row>
    <row r="818" spans="1:24" ht="14.25" customHeight="1">
      <c r="A818" t="s">
        <v>383</v>
      </c>
      <c r="B818" t="s">
        <v>2919</v>
      </c>
      <c r="E818" s="118" t="s">
        <v>2920</v>
      </c>
      <c r="F818" s="118" t="s">
        <v>3383</v>
      </c>
      <c r="H818" s="206" t="str">
        <f t="shared" si="124"/>
        <v>(6.17) In the last 6 months, on how many days did the facility staff do outreach in the community for antenatal care?</v>
      </c>
      <c r="I818" s="213" t="str">
        <f t="shared" si="115"/>
        <v>integer</v>
      </c>
      <c r="J818" s="106" t="s">
        <v>3534</v>
      </c>
      <c r="K818" s="116" t="s">
        <v>2443</v>
      </c>
      <c r="L818" s="118" t="str">
        <f t="shared" si="120"/>
        <v>Sorry, question (6.17) is required!</v>
      </c>
      <c r="M818" s="113" t="s">
        <v>2733</v>
      </c>
      <c r="N818" t="s">
        <v>3812</v>
      </c>
    </row>
    <row r="819" spans="1:24" ht="14.25" customHeight="1">
      <c r="A819" t="s">
        <v>15</v>
      </c>
      <c r="L819" s="118" t="str">
        <f t="shared" ref="L819" si="125">IF(K819="yes",("Sorry, question "&amp;LEFT(E819, 6)&amp;" is required!"),"")</f>
        <v/>
      </c>
      <c r="X819" t="s">
        <v>3032</v>
      </c>
    </row>
    <row r="820" spans="1:24" ht="14.25" customHeight="1">
      <c r="A820" t="s">
        <v>12</v>
      </c>
      <c r="B820" t="s">
        <v>5362</v>
      </c>
      <c r="J820" s="106" t="s">
        <v>3526</v>
      </c>
      <c r="L820" s="118" t="str">
        <f t="shared" ref="L820" si="126">IF(K820="yes",("Sorry, question "&amp;LEFT(E820, 6)&amp;" is required!"),"")</f>
        <v/>
      </c>
      <c r="X820" t="s">
        <v>3032</v>
      </c>
    </row>
    <row r="821" spans="1:24" ht="14.25" customHeight="1">
      <c r="A821" t="s">
        <v>384</v>
      </c>
      <c r="B821" t="s">
        <v>2921</v>
      </c>
      <c r="E821" s="118" t="s">
        <v>2922</v>
      </c>
      <c r="F821" s="118" t="s">
        <v>2318</v>
      </c>
      <c r="H821" s="206" t="str">
        <f>E821</f>
        <v>(6.18) In the last 6 months, were iron folate routinely prescribed?</v>
      </c>
      <c r="I821" s="213" t="str">
        <f t="shared" si="115"/>
        <v>select_one inte</v>
      </c>
      <c r="J821" s="106" t="s">
        <v>3380</v>
      </c>
      <c r="K821" s="116" t="s">
        <v>2443</v>
      </c>
      <c r="L821" s="118" t="str">
        <f t="shared" si="120"/>
        <v>Sorry, question (6.18) is required!</v>
      </c>
      <c r="M821" s="113" t="s">
        <v>2734</v>
      </c>
      <c r="N821" t="s">
        <v>3813</v>
      </c>
    </row>
    <row r="822" spans="1:24" ht="14.25" customHeight="1">
      <c r="A822" t="s">
        <v>385</v>
      </c>
      <c r="B822" t="s">
        <v>2923</v>
      </c>
      <c r="E822" s="118" t="s">
        <v>2924</v>
      </c>
      <c r="H822" s="206" t="str">
        <f>E822</f>
        <v>(6.19) Do women who come to the facility for antenatal care get an antenatal or maternal health card?</v>
      </c>
      <c r="I822" s="213" t="str">
        <f t="shared" si="115"/>
        <v>select_one yesno</v>
      </c>
      <c r="J822" s="106" t="s">
        <v>5352</v>
      </c>
      <c r="K822" s="116" t="s">
        <v>2443</v>
      </c>
      <c r="L822" s="118" t="str">
        <f t="shared" si="120"/>
        <v>Sorry, question (6.19) is required!</v>
      </c>
    </row>
    <row r="823" spans="1:24" ht="14.25" customHeight="1">
      <c r="A823" t="s">
        <v>386</v>
      </c>
      <c r="L823" s="118" t="str">
        <f t="shared" si="120"/>
        <v/>
      </c>
      <c r="X823" t="s">
        <v>3032</v>
      </c>
    </row>
    <row r="824" spans="1:24" ht="14.25" customHeight="1">
      <c r="A824" t="s">
        <v>12</v>
      </c>
      <c r="B824" t="s">
        <v>3137</v>
      </c>
      <c r="J824" s="106" t="s">
        <v>3526</v>
      </c>
      <c r="L824" s="118" t="str">
        <f t="shared" si="120"/>
        <v/>
      </c>
      <c r="X824" t="s">
        <v>3032</v>
      </c>
    </row>
    <row r="825" spans="1:24" ht="14.25" customHeight="1">
      <c r="A825" t="s">
        <v>387</v>
      </c>
      <c r="B825" t="s">
        <v>4880</v>
      </c>
      <c r="E825" s="117" t="s">
        <v>4283</v>
      </c>
      <c r="I825" s="213" t="str">
        <f t="shared" si="115"/>
        <v>note</v>
      </c>
      <c r="J825" s="106" t="s">
        <v>3528</v>
      </c>
      <c r="L825" s="118" t="str">
        <f t="shared" si="120"/>
        <v/>
      </c>
    </row>
    <row r="826" spans="1:24" ht="14.25" customHeight="1">
      <c r="A826" t="s">
        <v>388</v>
      </c>
      <c r="B826" t="s">
        <v>2925</v>
      </c>
      <c r="E826" s="118" t="s">
        <v>3094</v>
      </c>
      <c r="H826" s="206" t="str">
        <f>E826</f>
        <v>(6.22) Are delivery services offered by the facility?</v>
      </c>
      <c r="I826" s="213" t="str">
        <f t="shared" si="115"/>
        <v>select_one yesno</v>
      </c>
      <c r="J826" s="106" t="s">
        <v>5351</v>
      </c>
      <c r="K826" s="116" t="s">
        <v>2443</v>
      </c>
      <c r="L826" s="118" t="str">
        <f t="shared" si="120"/>
        <v>Sorry, question (6.22) is required!</v>
      </c>
    </row>
    <row r="827" spans="1:24" ht="14.25" customHeight="1">
      <c r="A827" t="s">
        <v>3101</v>
      </c>
      <c r="B827" t="s">
        <v>3095</v>
      </c>
      <c r="E827" s="118" t="s">
        <v>3096</v>
      </c>
      <c r="H827" s="206" t="str">
        <f>E827</f>
        <v>(6.23_1N) Who conducts deliveries in this facility?</v>
      </c>
      <c r="I827" s="213" t="str">
        <f t="shared" si="115"/>
        <v>select_one deli</v>
      </c>
      <c r="J827" s="106" t="s">
        <v>3373</v>
      </c>
      <c r="K827" s="116" t="s">
        <v>2443</v>
      </c>
      <c r="L827" s="118" t="str">
        <f>IF(K827="yes",("Sorry, question "&amp;LEFT(E827, 9)&amp;" is required!"),"")</f>
        <v>Sorry, question (6.23_1N) is required!</v>
      </c>
      <c r="O827" s="110" t="s">
        <v>2749</v>
      </c>
    </row>
    <row r="828" spans="1:24" ht="14.25" customHeight="1">
      <c r="A828" t="s">
        <v>16</v>
      </c>
      <c r="B828" t="s">
        <v>3102</v>
      </c>
      <c r="E828" s="132" t="s">
        <v>6765</v>
      </c>
      <c r="H828" s="206" t="str">
        <f>E828</f>
        <v>(6.23_1N) Other, specify:</v>
      </c>
      <c r="I828" s="213" t="str">
        <f t="shared" si="115"/>
        <v>text</v>
      </c>
      <c r="J828" s="106" t="s">
        <v>3543</v>
      </c>
      <c r="K828" s="116" t="s">
        <v>2443</v>
      </c>
      <c r="L828" s="118" t="str">
        <f t="shared" si="120"/>
        <v>Sorry, question (6.23_ is required!</v>
      </c>
      <c r="O828" s="110" t="s">
        <v>6595</v>
      </c>
    </row>
    <row r="829" spans="1:24" ht="14.25" customHeight="1">
      <c r="A829" t="s">
        <v>14</v>
      </c>
      <c r="B829" t="s">
        <v>3105</v>
      </c>
      <c r="E829" s="118" t="s">
        <v>3103</v>
      </c>
      <c r="F829" s="118" t="s">
        <v>3104</v>
      </c>
      <c r="H829" s="206" t="str">
        <f>E829</f>
        <v xml:space="preserve">(6.23_2N) What is the minimum length of time that you keep women in the health facility after they deliver? </v>
      </c>
      <c r="I829" s="213" t="str">
        <f t="shared" si="115"/>
        <v>integer</v>
      </c>
      <c r="J829" s="106" t="s">
        <v>3485</v>
      </c>
      <c r="K829" s="116" t="s">
        <v>2443</v>
      </c>
      <c r="L829" s="118" t="str">
        <f>IF(K829="yes",("Sorry, question "&amp;LEFT(E829, 9)&amp;" is required!"),"")</f>
        <v>Sorry, question (6.23_2N) is required!</v>
      </c>
      <c r="M829" s="113" t="s">
        <v>2504</v>
      </c>
      <c r="N829" t="s">
        <v>3814</v>
      </c>
      <c r="O829" s="110" t="s">
        <v>2749</v>
      </c>
    </row>
    <row r="830" spans="1:24" ht="14.25" customHeight="1">
      <c r="A830" t="s">
        <v>15</v>
      </c>
      <c r="L830" s="118" t="str">
        <f t="shared" ref="L830:L831" si="127">IF(K830="yes",("Sorry, question "&amp;LEFT(E830, 6)&amp;" is required!"),"")</f>
        <v/>
      </c>
      <c r="X830" t="s">
        <v>3032</v>
      </c>
    </row>
    <row r="831" spans="1:24" ht="14.25" customHeight="1">
      <c r="A831" t="s">
        <v>12</v>
      </c>
      <c r="B831" t="s">
        <v>5363</v>
      </c>
      <c r="J831" s="106" t="s">
        <v>13</v>
      </c>
      <c r="L831" s="118" t="str">
        <f t="shared" si="127"/>
        <v/>
      </c>
      <c r="X831" t="s">
        <v>3032</v>
      </c>
    </row>
    <row r="832" spans="1:24" ht="14.25" customHeight="1">
      <c r="A832" t="s">
        <v>389</v>
      </c>
      <c r="B832" t="s">
        <v>2926</v>
      </c>
      <c r="E832" s="118" t="s">
        <v>2927</v>
      </c>
      <c r="H832" s="206" t="str">
        <f>E832</f>
        <v>(6.24) Does this health facility have the capacity to manage emergency caesarian sections?</v>
      </c>
      <c r="I832" s="213" t="str">
        <f t="shared" si="115"/>
        <v>select_one mng</v>
      </c>
      <c r="J832" s="106" t="s">
        <v>4461</v>
      </c>
      <c r="K832" s="116" t="s">
        <v>2443</v>
      </c>
      <c r="L832" s="118" t="str">
        <f t="shared" si="120"/>
        <v>Sorry, question (6.24) is required!</v>
      </c>
      <c r="O832" s="110" t="s">
        <v>2749</v>
      </c>
    </row>
    <row r="833" spans="1:24" ht="14.25" customHeight="1">
      <c r="A833" t="s">
        <v>390</v>
      </c>
      <c r="B833" t="s">
        <v>2928</v>
      </c>
      <c r="E833" s="118" t="s">
        <v>2929</v>
      </c>
      <c r="H833" s="206" t="str">
        <f t="shared" ref="H833:H834" si="128">E833</f>
        <v>(6.25) Are postpartum care services offered at the facility?</v>
      </c>
      <c r="I833" s="213" t="str">
        <f t="shared" ref="I833:I896" si="129">A833</f>
        <v>select_one yesno</v>
      </c>
      <c r="J833" s="106" t="s">
        <v>5352</v>
      </c>
      <c r="K833" s="116" t="s">
        <v>2443</v>
      </c>
      <c r="L833" s="118" t="str">
        <f t="shared" si="120"/>
        <v>Sorry, question (6.25) is required!</v>
      </c>
    </row>
    <row r="834" spans="1:24" ht="14.25" customHeight="1">
      <c r="A834" t="s">
        <v>391</v>
      </c>
      <c r="B834" t="s">
        <v>2930</v>
      </c>
      <c r="E834" s="118" t="s">
        <v>2931</v>
      </c>
      <c r="H834" s="206" t="str">
        <f t="shared" si="128"/>
        <v>(6.26) Are postpartum services offered at specific hours only, during general outpatient hours, or both at specific hours and during general outpatient hours?</v>
      </c>
      <c r="I834" s="213" t="str">
        <f t="shared" si="129"/>
        <v>select_one offd</v>
      </c>
      <c r="J834" s="106" t="s">
        <v>3533</v>
      </c>
      <c r="K834" s="116" t="s">
        <v>2443</v>
      </c>
      <c r="L834" s="118" t="str">
        <f t="shared" si="120"/>
        <v>Sorry, question (6.26) is required!</v>
      </c>
      <c r="O834" s="110" t="s">
        <v>2750</v>
      </c>
    </row>
    <row r="835" spans="1:24" ht="14.25" customHeight="1">
      <c r="A835" t="s">
        <v>15</v>
      </c>
      <c r="L835" s="118" t="str">
        <f t="shared" si="120"/>
        <v/>
      </c>
      <c r="X835" t="s">
        <v>3032</v>
      </c>
    </row>
    <row r="836" spans="1:24" ht="14.25" customHeight="1">
      <c r="A836" t="s">
        <v>12</v>
      </c>
      <c r="B836" t="s">
        <v>3138</v>
      </c>
      <c r="J836" s="106" t="s">
        <v>13</v>
      </c>
      <c r="L836" s="118" t="str">
        <f t="shared" si="120"/>
        <v/>
      </c>
      <c r="X836" t="s">
        <v>3032</v>
      </c>
    </row>
    <row r="837" spans="1:24" ht="14.25" customHeight="1">
      <c r="A837" t="s">
        <v>392</v>
      </c>
      <c r="B837" t="s">
        <v>2932</v>
      </c>
      <c r="E837" s="118" t="s">
        <v>4881</v>
      </c>
      <c r="F837" s="118" t="s">
        <v>3383</v>
      </c>
      <c r="H837" s="206" t="str">
        <f>E837</f>
        <v>(6.27) In the &lt;u&gt;last 30 days&lt;/u&gt;, on how many days was postpartum care available to women?</v>
      </c>
      <c r="I837" s="213" t="str">
        <f t="shared" si="129"/>
        <v>integer</v>
      </c>
      <c r="J837" s="106" t="s">
        <v>3379</v>
      </c>
      <c r="K837" s="116" t="s">
        <v>2443</v>
      </c>
      <c r="L837" s="118" t="str">
        <f t="shared" si="120"/>
        <v>Sorry, question (6.27) is required!</v>
      </c>
      <c r="M837" s="113" t="s">
        <v>3593</v>
      </c>
      <c r="N837" t="s">
        <v>3815</v>
      </c>
      <c r="O837" s="110" t="s">
        <v>2750</v>
      </c>
    </row>
    <row r="838" spans="1:24" ht="14.25" customHeight="1">
      <c r="A838" t="s">
        <v>393</v>
      </c>
      <c r="B838" t="s">
        <v>2933</v>
      </c>
      <c r="E838" s="118" t="s">
        <v>4882</v>
      </c>
      <c r="F838" s="118" t="s">
        <v>3389</v>
      </c>
      <c r="H838" s="206" t="str">
        <f t="shared" ref="H838:H841" si="130">E838</f>
        <v>(6.28) In the &lt;u&gt;last 6 months&lt;/u&gt;, how many outreach clinics were held by this facility that included postpartum services?</v>
      </c>
      <c r="I838" s="213" t="str">
        <f t="shared" si="129"/>
        <v>integer</v>
      </c>
      <c r="J838" s="106" t="s">
        <v>3379</v>
      </c>
      <c r="K838" s="116" t="s">
        <v>2443</v>
      </c>
      <c r="L838" s="118" t="str">
        <f t="shared" si="120"/>
        <v>Sorry, question (6.28) is required!</v>
      </c>
      <c r="M838" s="113" t="s">
        <v>2504</v>
      </c>
      <c r="N838" t="str">
        <f xml:space="preserve"> LEFT(E838,6) &amp; " MINIMUM 0"</f>
        <v>(6.28) MINIMUM 0</v>
      </c>
      <c r="O838" s="110" t="s">
        <v>2750</v>
      </c>
    </row>
    <row r="839" spans="1:24" ht="14.25" customHeight="1">
      <c r="A839" t="s">
        <v>394</v>
      </c>
      <c r="B839" t="s">
        <v>2934</v>
      </c>
      <c r="E839" s="118" t="s">
        <v>4883</v>
      </c>
      <c r="F839" s="118" t="s">
        <v>3390</v>
      </c>
      <c r="H839" s="206" t="str">
        <f t="shared" si="130"/>
        <v>(6.29) In the &lt;u&gt;last 6 months&lt;/u&gt;, how many women were referred to another facility due to complications during delivery?</v>
      </c>
      <c r="I839" s="213" t="str">
        <f t="shared" si="129"/>
        <v>integer</v>
      </c>
      <c r="J839" s="106" t="s">
        <v>3379</v>
      </c>
      <c r="K839" s="116" t="s">
        <v>2443</v>
      </c>
      <c r="L839" s="118" t="str">
        <f t="shared" si="120"/>
        <v>Sorry, question (6.29) is required!</v>
      </c>
      <c r="M839" s="113" t="s">
        <v>2504</v>
      </c>
      <c r="N839" t="str">
        <f t="shared" ref="N839:N841" si="131" xml:space="preserve"> LEFT(E839,6) &amp; " MINIMUM 0"</f>
        <v>(6.29) MINIMUM 0</v>
      </c>
    </row>
    <row r="840" spans="1:24" ht="14.25" customHeight="1">
      <c r="A840" t="s">
        <v>395</v>
      </c>
      <c r="B840" t="s">
        <v>2935</v>
      </c>
      <c r="E840" s="118" t="s">
        <v>4884</v>
      </c>
      <c r="F840" s="118" t="s">
        <v>3390</v>
      </c>
      <c r="H840" s="206" t="str">
        <f t="shared" si="130"/>
        <v>(6.30) In the &lt;u&gt;last 6 months&lt;/u&gt;, how many women/infants were referred to another facility due to neo-natal complications?</v>
      </c>
      <c r="I840" s="213" t="str">
        <f t="shared" si="129"/>
        <v>integer</v>
      </c>
      <c r="J840" s="106" t="s">
        <v>3379</v>
      </c>
      <c r="K840" s="116" t="s">
        <v>2443</v>
      </c>
      <c r="L840" s="118" t="str">
        <f t="shared" si="120"/>
        <v>Sorry, question (6.30) is required!</v>
      </c>
      <c r="M840" s="113" t="s">
        <v>2504</v>
      </c>
      <c r="N840" t="str">
        <f t="shared" si="131"/>
        <v>(6.30) MINIMUM 0</v>
      </c>
    </row>
    <row r="841" spans="1:24" ht="14.25" customHeight="1">
      <c r="A841" t="s">
        <v>396</v>
      </c>
      <c r="B841" t="s">
        <v>2936</v>
      </c>
      <c r="E841" s="118" t="s">
        <v>4885</v>
      </c>
      <c r="F841" s="118" t="s">
        <v>2319</v>
      </c>
      <c r="H841" s="206" t="str">
        <f t="shared" si="130"/>
        <v xml:space="preserve">(6.31) In the &lt;u&gt;last 12 months&lt;/u&gt;, how many maternal deaths were recorded at the facility? </v>
      </c>
      <c r="I841" s="213" t="str">
        <f t="shared" si="129"/>
        <v>integer</v>
      </c>
      <c r="J841" s="106" t="s">
        <v>3379</v>
      </c>
      <c r="K841" s="116" t="s">
        <v>2443</v>
      </c>
      <c r="L841" s="118" t="str">
        <f t="shared" si="120"/>
        <v>Sorry, question (6.31) is required!</v>
      </c>
      <c r="M841" s="113" t="s">
        <v>2504</v>
      </c>
      <c r="N841" t="str">
        <f t="shared" si="131"/>
        <v>(6.31) MINIMUM 0</v>
      </c>
    </row>
    <row r="842" spans="1:24" ht="14.25" customHeight="1">
      <c r="A842" t="s">
        <v>15</v>
      </c>
      <c r="L842" s="118" t="str">
        <f t="shared" si="120"/>
        <v/>
      </c>
      <c r="X842" t="s">
        <v>3032</v>
      </c>
    </row>
    <row r="843" spans="1:24" ht="14.25" customHeight="1">
      <c r="A843" t="s">
        <v>12</v>
      </c>
      <c r="B843" t="s">
        <v>3142</v>
      </c>
      <c r="J843" s="106" t="s">
        <v>13</v>
      </c>
      <c r="L843" s="118" t="str">
        <f t="shared" si="120"/>
        <v/>
      </c>
      <c r="X843" t="s">
        <v>3032</v>
      </c>
    </row>
    <row r="844" spans="1:24" ht="14.25" customHeight="1">
      <c r="A844" t="s">
        <v>397</v>
      </c>
      <c r="B844" t="s">
        <v>2937</v>
      </c>
      <c r="E844" s="118" t="s">
        <v>6786</v>
      </c>
      <c r="F844" s="118" t="s">
        <v>2319</v>
      </c>
      <c r="H844" s="206" t="str">
        <f>E844</f>
        <v xml:space="preserve">(6.32) In the &lt;u&gt;last 12 months&lt;/u&gt;, how many maternal deaths were recorded in the &lt;u&gt;community&lt;/u&gt; (excluding those at the facility)? </v>
      </c>
      <c r="I844" s="213" t="str">
        <f t="shared" si="129"/>
        <v>integer</v>
      </c>
      <c r="J844" s="106" t="s">
        <v>3379</v>
      </c>
      <c r="K844" s="116" t="s">
        <v>2443</v>
      </c>
      <c r="L844" s="118" t="str">
        <f t="shared" si="120"/>
        <v>Sorry, question (6.32) is required!</v>
      </c>
      <c r="M844" s="113" t="s">
        <v>2504</v>
      </c>
      <c r="N844" t="str">
        <f t="shared" ref="N844:N848" si="132" xml:space="preserve"> LEFT(E844,6) &amp; " MINIMUM 0"</f>
        <v>(6.32) MINIMUM 0</v>
      </c>
    </row>
    <row r="845" spans="1:24" ht="14.25" customHeight="1">
      <c r="A845" t="s">
        <v>14</v>
      </c>
      <c r="B845" t="s">
        <v>2938</v>
      </c>
      <c r="E845" s="118" t="s">
        <v>5364</v>
      </c>
      <c r="F845" s="118" t="s">
        <v>2319</v>
      </c>
      <c r="H845" s="206" t="str">
        <f t="shared" ref="H845:H848" si="133">E845</f>
        <v>(6.33) In the &lt;u&gt;last 12 months&lt;/u&gt;, how many stillbirths were recorded at the &lt;u&gt;facility&lt;/u&gt;? A still birth is a baby that is born dead.</v>
      </c>
      <c r="I845" s="213" t="str">
        <f t="shared" si="129"/>
        <v>integer</v>
      </c>
      <c r="J845" s="106" t="s">
        <v>3379</v>
      </c>
      <c r="K845" s="116" t="s">
        <v>2443</v>
      </c>
      <c r="L845" s="118" t="str">
        <f t="shared" si="120"/>
        <v>Sorry, question (6.33) is required!</v>
      </c>
      <c r="M845" s="113" t="s">
        <v>2504</v>
      </c>
      <c r="N845" t="str">
        <f t="shared" si="132"/>
        <v>(6.33) MINIMUM 0</v>
      </c>
    </row>
    <row r="846" spans="1:24" ht="14.25" customHeight="1">
      <c r="A846" t="s">
        <v>14</v>
      </c>
      <c r="B846" t="s">
        <v>2939</v>
      </c>
      <c r="E846" s="118" t="s">
        <v>5365</v>
      </c>
      <c r="F846" s="118" t="s">
        <v>2319</v>
      </c>
      <c r="H846" s="206" t="str">
        <f t="shared" si="133"/>
        <v xml:space="preserve">(6.34) In the &lt;u&gt;last 12 months&lt;/u&gt;, how many stillbirths were recorded in the &lt;u&gt;community&lt;/u&gt; (excluding those at the facility)? </v>
      </c>
      <c r="I846" s="213" t="str">
        <f t="shared" si="129"/>
        <v>integer</v>
      </c>
      <c r="J846" s="106" t="s">
        <v>3379</v>
      </c>
      <c r="K846" s="116" t="s">
        <v>2443</v>
      </c>
      <c r="L846" s="118" t="str">
        <f t="shared" si="120"/>
        <v>Sorry, question (6.34) is required!</v>
      </c>
      <c r="M846" s="113" t="s">
        <v>2504</v>
      </c>
      <c r="N846" t="str">
        <f t="shared" si="132"/>
        <v>(6.34) MINIMUM 0</v>
      </c>
    </row>
    <row r="847" spans="1:24" ht="14.25" customHeight="1">
      <c r="A847" t="s">
        <v>14</v>
      </c>
      <c r="B847" t="s">
        <v>2940</v>
      </c>
      <c r="E847" s="118" t="s">
        <v>5366</v>
      </c>
      <c r="F847" s="118" t="s">
        <v>2319</v>
      </c>
      <c r="H847" s="206" t="str">
        <f t="shared" si="133"/>
        <v xml:space="preserve">(6.35) In the &lt;u&gt;last 12 months&lt;/u&gt;, how many neonatal deaths were recorded at the &lt;u&gt;facility&lt;/u&gt;? A neonatal death is when a baby is born alive but dies within 28 days. </v>
      </c>
      <c r="I847" s="213" t="str">
        <f t="shared" si="129"/>
        <v>integer</v>
      </c>
      <c r="J847" s="106" t="s">
        <v>3379</v>
      </c>
      <c r="K847" s="116" t="s">
        <v>2443</v>
      </c>
      <c r="L847" s="118" t="str">
        <f t="shared" si="120"/>
        <v>Sorry, question (6.35) is required!</v>
      </c>
      <c r="M847" s="113" t="s">
        <v>2504</v>
      </c>
      <c r="N847" t="str">
        <f t="shared" si="132"/>
        <v>(6.35) MINIMUM 0</v>
      </c>
    </row>
    <row r="848" spans="1:24" ht="14.25" customHeight="1">
      <c r="A848" t="s">
        <v>14</v>
      </c>
      <c r="B848" t="s">
        <v>2941</v>
      </c>
      <c r="E848" s="118" t="s">
        <v>5367</v>
      </c>
      <c r="F848" s="118" t="s">
        <v>2319</v>
      </c>
      <c r="H848" s="206" t="str">
        <f t="shared" si="133"/>
        <v xml:space="preserve">(6.36) In the &lt;u&gt;last 12 months&lt;/u&gt;, how many neonatal deaths were recorded in the &lt;u&gt;community&lt;/u&gt; (excluding those at the facility)? </v>
      </c>
      <c r="I848" s="213" t="str">
        <f t="shared" si="129"/>
        <v>integer</v>
      </c>
      <c r="J848" s="106" t="s">
        <v>3379</v>
      </c>
      <c r="K848" s="116" t="s">
        <v>2443</v>
      </c>
      <c r="L848" s="118" t="str">
        <f t="shared" si="120"/>
        <v>Sorry, question (6.36) is required!</v>
      </c>
      <c r="M848" s="113" t="s">
        <v>2504</v>
      </c>
      <c r="N848" t="str">
        <f t="shared" si="132"/>
        <v>(6.36) MINIMUM 0</v>
      </c>
    </row>
    <row r="849" spans="1:24" ht="14.25" customHeight="1">
      <c r="A849" t="s">
        <v>15</v>
      </c>
      <c r="L849" s="118" t="str">
        <f t="shared" si="120"/>
        <v/>
      </c>
      <c r="X849" t="s">
        <v>3032</v>
      </c>
    </row>
    <row r="850" spans="1:24" ht="14.25" customHeight="1">
      <c r="A850" t="s">
        <v>12</v>
      </c>
      <c r="B850" t="s">
        <v>3143</v>
      </c>
      <c r="J850" s="106" t="s">
        <v>3526</v>
      </c>
      <c r="L850" s="118" t="str">
        <f t="shared" ref="L850:L894" si="134">IF(K850="yes",("Sorry, question "&amp;LEFT(E850, 6)&amp;" is required!"),"")</f>
        <v/>
      </c>
      <c r="X850" t="s">
        <v>3032</v>
      </c>
    </row>
    <row r="851" spans="1:24" ht="14.25" customHeight="1">
      <c r="A851" t="s">
        <v>398</v>
      </c>
      <c r="B851" t="s">
        <v>4886</v>
      </c>
      <c r="E851" s="117" t="s">
        <v>4284</v>
      </c>
      <c r="I851" s="213" t="str">
        <f t="shared" si="129"/>
        <v>note</v>
      </c>
      <c r="J851" s="106" t="s">
        <v>3528</v>
      </c>
      <c r="L851" s="118" t="str">
        <f t="shared" si="134"/>
        <v/>
      </c>
    </row>
    <row r="852" spans="1:24" ht="14.25" customHeight="1">
      <c r="A852" t="s">
        <v>2321</v>
      </c>
      <c r="B852" t="s">
        <v>2942</v>
      </c>
      <c r="E852" s="118" t="s">
        <v>2487</v>
      </c>
      <c r="H852" s="206" t="str">
        <f>E852</f>
        <v>(6.37) Are family planning services offered by the facility, either in the facility or in the community?</v>
      </c>
      <c r="I852" s="213" t="str">
        <f t="shared" si="129"/>
        <v>select_one yesno</v>
      </c>
      <c r="J852" s="106" t="s">
        <v>5351</v>
      </c>
      <c r="K852" s="116" t="s">
        <v>2443</v>
      </c>
      <c r="L852" s="118" t="str">
        <f t="shared" si="134"/>
        <v>Sorry, question (6.37) is required!</v>
      </c>
    </row>
    <row r="853" spans="1:24" ht="14.25" customHeight="1">
      <c r="A853" t="s">
        <v>2320</v>
      </c>
      <c r="B853" t="s">
        <v>2943</v>
      </c>
      <c r="E853" s="118" t="s">
        <v>2488</v>
      </c>
      <c r="H853" s="206" t="str">
        <f t="shared" ref="H853:H856" si="135">E853</f>
        <v>(6.38) Do facility staff assist with family planning  only in the facility, only in the community, or in both the facility and the community?</v>
      </c>
      <c r="I853" s="213" t="str">
        <f t="shared" si="129"/>
        <v>select_one plan</v>
      </c>
      <c r="J853" s="106" t="s">
        <v>4458</v>
      </c>
      <c r="K853" s="116" t="s">
        <v>2443</v>
      </c>
      <c r="L853" s="118" t="str">
        <f t="shared" si="134"/>
        <v>Sorry, question (6.38) is required!</v>
      </c>
      <c r="O853" s="110" t="s">
        <v>2592</v>
      </c>
    </row>
    <row r="854" spans="1:24" ht="14.25" customHeight="1">
      <c r="A854" t="s">
        <v>1287</v>
      </c>
      <c r="B854" t="s">
        <v>2944</v>
      </c>
      <c r="E854" s="118" t="s">
        <v>2489</v>
      </c>
      <c r="H854" s="206" t="str">
        <f t="shared" si="135"/>
        <v>(6.39) Is there a separate room for family planning services?</v>
      </c>
      <c r="I854" s="213" t="str">
        <f t="shared" si="129"/>
        <v>select_one yesno</v>
      </c>
      <c r="J854" s="106" t="s">
        <v>4459</v>
      </c>
      <c r="K854" s="116" t="s">
        <v>2443</v>
      </c>
      <c r="L854" s="118" t="str">
        <f t="shared" si="134"/>
        <v>Sorry, question (6.39) is required!</v>
      </c>
      <c r="O854" s="110" t="s">
        <v>2592</v>
      </c>
    </row>
    <row r="855" spans="1:24" ht="14.25" customHeight="1">
      <c r="A855" t="s">
        <v>14</v>
      </c>
      <c r="B855" t="s">
        <v>2945</v>
      </c>
      <c r="E855" s="130" t="s">
        <v>5368</v>
      </c>
      <c r="F855" s="118" t="s">
        <v>3383</v>
      </c>
      <c r="H855" s="206" t="str">
        <f t="shared" si="135"/>
        <v>(6.40) In the &lt;u&gt;last 30 days&lt;/u&gt;, on how many days were family planning services available to women?</v>
      </c>
      <c r="I855" s="213" t="str">
        <f t="shared" si="129"/>
        <v>integer</v>
      </c>
      <c r="J855" s="106" t="s">
        <v>3485</v>
      </c>
      <c r="K855" s="116" t="s">
        <v>2443</v>
      </c>
      <c r="L855" s="118" t="str">
        <f t="shared" si="134"/>
        <v>Sorry, question (6.40) is required!</v>
      </c>
      <c r="M855" s="113" t="s">
        <v>3593</v>
      </c>
      <c r="N855" t="s">
        <v>3816</v>
      </c>
      <c r="O855" s="110" t="s">
        <v>2592</v>
      </c>
    </row>
    <row r="856" spans="1:24" ht="14.25" customHeight="1">
      <c r="A856" t="s">
        <v>14</v>
      </c>
      <c r="B856" t="s">
        <v>2946</v>
      </c>
      <c r="E856" s="118" t="s">
        <v>5369</v>
      </c>
      <c r="H856" s="206" t="str">
        <f t="shared" si="135"/>
        <v>(6.41) In the &lt;u&gt;last 6 months&lt;/u&gt;, how many RCH outreach clinics (that included family planning) were held by this facility?</v>
      </c>
      <c r="I856" s="213" t="str">
        <f t="shared" si="129"/>
        <v>integer</v>
      </c>
      <c r="J856" s="106" t="s">
        <v>3380</v>
      </c>
      <c r="K856" s="116" t="s">
        <v>2443</v>
      </c>
      <c r="L856" s="118" t="str">
        <f t="shared" si="134"/>
        <v>Sorry, question (6.41) is required!</v>
      </c>
      <c r="M856" s="113" t="s">
        <v>2504</v>
      </c>
      <c r="N856" t="str">
        <f t="shared" ref="N856" si="136" xml:space="preserve"> LEFT(E856,6) &amp; " MINIMUM 0"</f>
        <v>(6.41) MINIMUM 0</v>
      </c>
      <c r="O856" s="110" t="s">
        <v>2592</v>
      </c>
    </row>
    <row r="857" spans="1:24" ht="14.25" customHeight="1">
      <c r="A857" t="s">
        <v>15</v>
      </c>
      <c r="L857" s="118" t="str">
        <f t="shared" si="134"/>
        <v/>
      </c>
      <c r="X857" t="s">
        <v>3032</v>
      </c>
    </row>
    <row r="858" spans="1:24" ht="14.25" customHeight="1">
      <c r="A858" t="s">
        <v>12</v>
      </c>
      <c r="B858" t="s">
        <v>3144</v>
      </c>
      <c r="J858" s="106" t="s">
        <v>3526</v>
      </c>
      <c r="L858" s="118" t="str">
        <f t="shared" si="134"/>
        <v/>
      </c>
      <c r="X858" t="s">
        <v>3032</v>
      </c>
    </row>
    <row r="859" spans="1:24" ht="14.25" customHeight="1">
      <c r="A859" t="s">
        <v>407</v>
      </c>
      <c r="B859" t="s">
        <v>4887</v>
      </c>
      <c r="E859" s="117" t="s">
        <v>4286</v>
      </c>
      <c r="I859" s="213" t="str">
        <f t="shared" si="129"/>
        <v>note</v>
      </c>
      <c r="J859" s="106" t="s">
        <v>3528</v>
      </c>
    </row>
    <row r="860" spans="1:24" ht="14.25" customHeight="1">
      <c r="A860" t="s">
        <v>2947</v>
      </c>
      <c r="B860" t="s">
        <v>2948</v>
      </c>
      <c r="E860" s="118" t="s">
        <v>2490</v>
      </c>
      <c r="H860" s="206" t="str">
        <f>E860</f>
        <v>(6.42) What tuberculosis services does this health facility provide?</v>
      </c>
      <c r="I860" s="213" t="str">
        <f t="shared" si="129"/>
        <v>select_one tube</v>
      </c>
      <c r="J860" s="106" t="s">
        <v>3372</v>
      </c>
      <c r="K860" s="116" t="s">
        <v>2443</v>
      </c>
      <c r="L860" s="118" t="str">
        <f t="shared" si="134"/>
        <v>Sorry, question (6.42) is required!</v>
      </c>
    </row>
    <row r="861" spans="1:24" ht="14.25" customHeight="1">
      <c r="A861" t="s">
        <v>399</v>
      </c>
      <c r="B861" t="s">
        <v>2949</v>
      </c>
      <c r="E861" s="132" t="s">
        <v>4294</v>
      </c>
      <c r="F861" s="118" t="s">
        <v>2323</v>
      </c>
      <c r="H861" s="206" t="str">
        <f t="shared" ref="H861:H865" si="137">E861</f>
        <v>(6.43) Is there a Tuberculosis Corner/DOTS Centre in the health facility?</v>
      </c>
      <c r="I861" s="213" t="str">
        <f t="shared" si="129"/>
        <v>select_one yesno</v>
      </c>
      <c r="J861" s="106" t="s">
        <v>4458</v>
      </c>
      <c r="K861" s="116" t="s">
        <v>2443</v>
      </c>
      <c r="L861" s="118" t="str">
        <f t="shared" si="134"/>
        <v>Sorry, question (6.43) is required!</v>
      </c>
      <c r="O861" s="110" t="s">
        <v>2751</v>
      </c>
    </row>
    <row r="862" spans="1:24" ht="14.25" customHeight="1">
      <c r="A862" t="s">
        <v>400</v>
      </c>
      <c r="B862" t="s">
        <v>411</v>
      </c>
      <c r="E862" s="118" t="s">
        <v>4305</v>
      </c>
      <c r="H862" s="206" t="str">
        <f t="shared" si="137"/>
        <v>(6.44) Who manages the Tuberculosis Corner/ DOTS Centre in this health facility?</v>
      </c>
      <c r="I862" s="213" t="str">
        <f t="shared" si="129"/>
        <v>select_one manage</v>
      </c>
      <c r="J862" s="106" t="s">
        <v>3374</v>
      </c>
      <c r="K862" s="116" t="s">
        <v>2443</v>
      </c>
      <c r="L862" s="118" t="str">
        <f t="shared" si="134"/>
        <v>Sorry, question (6.44) is required!</v>
      </c>
      <c r="O862" s="110" t="s">
        <v>2777</v>
      </c>
    </row>
    <row r="863" spans="1:24" ht="14.25" customHeight="1">
      <c r="A863" t="s">
        <v>2117</v>
      </c>
      <c r="B863" t="s">
        <v>2491</v>
      </c>
      <c r="E863" s="132" t="s">
        <v>6766</v>
      </c>
      <c r="F863" s="118" t="s">
        <v>2589</v>
      </c>
      <c r="H863" s="206" t="str">
        <f t="shared" si="137"/>
        <v>(6.44) Other, specify:</v>
      </c>
      <c r="I863" s="213" t="str">
        <f t="shared" si="129"/>
        <v>text</v>
      </c>
      <c r="J863" s="106" t="s">
        <v>3566</v>
      </c>
      <c r="K863" s="116" t="s">
        <v>2443</v>
      </c>
      <c r="L863" s="118" t="str">
        <f>IF(K863="yes",("Sorry, question "&amp;LEFT(E863, 12)&amp;" is required!"),"")</f>
        <v>Sorry, question (6.44) Other is required!</v>
      </c>
      <c r="O863" s="110" t="s">
        <v>3367</v>
      </c>
    </row>
    <row r="864" spans="1:24" ht="14.25" customHeight="1">
      <c r="A864" t="s">
        <v>401</v>
      </c>
      <c r="B864" t="s">
        <v>2492</v>
      </c>
      <c r="E864" s="118" t="s">
        <v>2494</v>
      </c>
      <c r="H864" s="206" t="str">
        <f t="shared" si="137"/>
        <v>(6.45) Is there a Tuberculosis Register? IF YES, ASK TO SEE IT.</v>
      </c>
      <c r="I864" s="213" t="str">
        <f t="shared" si="129"/>
        <v>select_one yesno3</v>
      </c>
      <c r="J864" s="106" t="s">
        <v>4461</v>
      </c>
      <c r="K864" s="116" t="s">
        <v>2443</v>
      </c>
      <c r="L864" s="118" t="str">
        <f t="shared" si="134"/>
        <v>Sorry, question (6.45) is required!</v>
      </c>
      <c r="O864" s="110" t="s">
        <v>2751</v>
      </c>
    </row>
    <row r="865" spans="1:24" ht="14.25" customHeight="1">
      <c r="A865" t="s">
        <v>402</v>
      </c>
      <c r="B865" t="s">
        <v>2493</v>
      </c>
      <c r="E865" s="118" t="s">
        <v>2495</v>
      </c>
      <c r="H865" s="206" t="str">
        <f t="shared" si="137"/>
        <v>(6.46) Is there a Suspect Tuberculosis Cases Register? IF YES, ASK TO SEE IT.</v>
      </c>
      <c r="I865" s="213" t="str">
        <f t="shared" si="129"/>
        <v>select_one yesno3</v>
      </c>
      <c r="J865" s="106" t="s">
        <v>5352</v>
      </c>
      <c r="K865" s="116" t="s">
        <v>2443</v>
      </c>
      <c r="L865" s="118" t="str">
        <f t="shared" si="134"/>
        <v>Sorry, question (6.46) is required!</v>
      </c>
      <c r="O865" s="110" t="s">
        <v>2751</v>
      </c>
    </row>
    <row r="866" spans="1:24" ht="14.25" customHeight="1">
      <c r="A866" t="s">
        <v>15</v>
      </c>
      <c r="L866" s="118" t="str">
        <f t="shared" ref="L866:L867" si="138">IF(K866="yes",("Sorry, question "&amp;LEFT(E866, 6)&amp;" is required!"),"")</f>
        <v/>
      </c>
      <c r="X866" t="s">
        <v>3032</v>
      </c>
    </row>
    <row r="867" spans="1:24" ht="14.25" customHeight="1">
      <c r="A867" t="s">
        <v>12</v>
      </c>
      <c r="B867" t="s">
        <v>6596</v>
      </c>
      <c r="J867" s="106" t="s">
        <v>3526</v>
      </c>
      <c r="L867" s="118" t="str">
        <f t="shared" si="138"/>
        <v/>
      </c>
      <c r="X867" t="s">
        <v>3032</v>
      </c>
    </row>
    <row r="868" spans="1:24" ht="14.25" customHeight="1">
      <c r="A868" t="s">
        <v>403</v>
      </c>
      <c r="B868" t="s">
        <v>2324</v>
      </c>
      <c r="E868" s="118" t="s">
        <v>2496</v>
      </c>
      <c r="H868" s="206" t="str">
        <f>E868</f>
        <v>(6.47) Do patients who come for tuberculosis treatment get a tuberculosis treatment card?</v>
      </c>
      <c r="I868" s="213" t="str">
        <f t="shared" si="129"/>
        <v>select_one yesno</v>
      </c>
      <c r="J868" s="106" t="s">
        <v>5353</v>
      </c>
      <c r="K868" s="116" t="s">
        <v>2443</v>
      </c>
      <c r="L868" s="118" t="str">
        <f t="shared" si="134"/>
        <v>Sorry, question (6.47) is required!</v>
      </c>
      <c r="O868" s="110" t="s">
        <v>2751</v>
      </c>
    </row>
    <row r="869" spans="1:24" ht="14.25" customHeight="1">
      <c r="A869" t="s">
        <v>404</v>
      </c>
      <c r="B869" t="s">
        <v>2325</v>
      </c>
      <c r="E869" s="118" t="s">
        <v>2499</v>
      </c>
      <c r="H869" s="206" t="str">
        <f t="shared" ref="H869:H871" si="139">E869</f>
        <v>(6.48) Where are the tuberculosis treatment cards kept once issued to a patient?</v>
      </c>
      <c r="I869" s="213" t="str">
        <f t="shared" si="129"/>
        <v>select_one card</v>
      </c>
      <c r="J869" s="106" t="s">
        <v>6597</v>
      </c>
      <c r="K869" s="116" t="s">
        <v>2443</v>
      </c>
      <c r="L869" s="118" t="str">
        <f t="shared" si="134"/>
        <v>Sorry, question (6.48) is required!</v>
      </c>
      <c r="O869" s="110" t="s">
        <v>2752</v>
      </c>
    </row>
    <row r="870" spans="1:24" ht="14.25" customHeight="1">
      <c r="A870" t="s">
        <v>405</v>
      </c>
      <c r="B870" t="s">
        <v>2497</v>
      </c>
      <c r="E870" s="132" t="s">
        <v>6767</v>
      </c>
      <c r="F870" s="118" t="s">
        <v>2589</v>
      </c>
      <c r="H870" s="206" t="str">
        <f t="shared" si="139"/>
        <v>(6.48) Other, specify:</v>
      </c>
      <c r="I870" s="213" t="str">
        <f t="shared" si="129"/>
        <v>text</v>
      </c>
      <c r="J870" s="106" t="s">
        <v>3553</v>
      </c>
      <c r="K870" s="116" t="s">
        <v>2443</v>
      </c>
      <c r="L870" s="118" t="str">
        <f>IF(K870="yes",("Sorry, question "&amp;LEFT(E870, 12)&amp;" is required!"),"")</f>
        <v>Sorry, question (6.48) Other is required!</v>
      </c>
      <c r="O870" s="110" t="s">
        <v>3140</v>
      </c>
    </row>
    <row r="871" spans="1:24" ht="14.25" customHeight="1">
      <c r="A871" t="s">
        <v>406</v>
      </c>
      <c r="B871" t="s">
        <v>2326</v>
      </c>
      <c r="E871" s="118" t="s">
        <v>2498</v>
      </c>
      <c r="H871" s="206" t="str">
        <f t="shared" si="139"/>
        <v>(6.49) Could you show me some cards that belong to specific patients?</v>
      </c>
      <c r="I871" s="213" t="str">
        <f t="shared" si="129"/>
        <v>select_one see</v>
      </c>
      <c r="J871" s="106" t="s">
        <v>5354</v>
      </c>
      <c r="K871" s="116" t="s">
        <v>2443</v>
      </c>
      <c r="L871" s="118" t="str">
        <f t="shared" si="134"/>
        <v>Sorry, question (6.49) is required!</v>
      </c>
      <c r="O871" s="110" t="s">
        <v>3139</v>
      </c>
    </row>
    <row r="872" spans="1:24" ht="14.25" customHeight="1">
      <c r="A872" t="s">
        <v>15</v>
      </c>
      <c r="L872" s="118" t="str">
        <f t="shared" si="134"/>
        <v/>
      </c>
      <c r="X872" t="s">
        <v>3032</v>
      </c>
    </row>
    <row r="873" spans="1:24" ht="14.25" customHeight="1">
      <c r="A873" t="s">
        <v>408</v>
      </c>
      <c r="B873" t="s">
        <v>3145</v>
      </c>
      <c r="J873" s="106" t="s">
        <v>3526</v>
      </c>
      <c r="L873" s="118" t="str">
        <f t="shared" si="134"/>
        <v/>
      </c>
      <c r="X873" t="s">
        <v>3032</v>
      </c>
    </row>
    <row r="874" spans="1:24" ht="14.25" customHeight="1">
      <c r="A874" t="s">
        <v>17</v>
      </c>
      <c r="B874" t="s">
        <v>4888</v>
      </c>
      <c r="E874" s="117" t="s">
        <v>4285</v>
      </c>
      <c r="I874" s="213" t="str">
        <f t="shared" si="129"/>
        <v>note</v>
      </c>
      <c r="J874" s="106" t="s">
        <v>3528</v>
      </c>
      <c r="L874" s="118" t="str">
        <f t="shared" si="134"/>
        <v/>
      </c>
    </row>
    <row r="875" spans="1:24" ht="14.25" customHeight="1">
      <c r="A875" t="s">
        <v>409</v>
      </c>
      <c r="B875" t="s">
        <v>2327</v>
      </c>
      <c r="E875" s="118" t="s">
        <v>6815</v>
      </c>
      <c r="F875" s="118" t="s">
        <v>2319</v>
      </c>
      <c r="H875" s="206" t="str">
        <f>E875</f>
        <v xml:space="preserve">(6.50) In the &lt;u&gt;last 6 months&lt;/u&gt;, how many &lt;u&gt;presumptive&lt;/u&gt; cases of suspected malaria were seen in the facility? </v>
      </c>
      <c r="I875" s="213" t="str">
        <f t="shared" si="129"/>
        <v>integer</v>
      </c>
      <c r="J875" s="106" t="s">
        <v>3531</v>
      </c>
      <c r="K875" s="116" t="s">
        <v>2443</v>
      </c>
      <c r="L875" s="118" t="str">
        <f t="shared" si="134"/>
        <v>Sorry, question (6.50) is required!</v>
      </c>
      <c r="M875" s="113" t="s">
        <v>2504</v>
      </c>
      <c r="N875" t="str">
        <f t="shared" ref="N875:N877" si="140" xml:space="preserve"> LEFT(E875,6) &amp; " MINIMUM 0"</f>
        <v>(6.50) MINIMUM 0</v>
      </c>
    </row>
    <row r="876" spans="1:24" ht="14.25" customHeight="1">
      <c r="A876" t="s">
        <v>410</v>
      </c>
      <c r="B876" t="s">
        <v>2328</v>
      </c>
      <c r="E876" s="118" t="s">
        <v>5370</v>
      </c>
      <c r="F876" s="118" t="s">
        <v>2319</v>
      </c>
      <c r="H876" s="206" t="str">
        <f t="shared" ref="H876:H877" si="141">E876</f>
        <v xml:space="preserve">(6.51) In the &lt;u&gt;last 6 months&lt;/u&gt;, how many laboratory confirmed cases of Plasmodium Falciparum (PF) malaria were seen in the facility? </v>
      </c>
      <c r="I876" s="213" t="str">
        <f t="shared" si="129"/>
        <v>integer</v>
      </c>
      <c r="J876" s="106" t="s">
        <v>3484</v>
      </c>
      <c r="K876" s="116" t="s">
        <v>2443</v>
      </c>
      <c r="L876" s="118" t="str">
        <f t="shared" si="134"/>
        <v>Sorry, question (6.51) is required!</v>
      </c>
      <c r="M876" s="113" t="s">
        <v>2504</v>
      </c>
      <c r="N876" t="str">
        <f t="shared" si="140"/>
        <v>(6.51) MINIMUM 0</v>
      </c>
    </row>
    <row r="877" spans="1:24" ht="14.25" customHeight="1">
      <c r="A877" t="s">
        <v>413</v>
      </c>
      <c r="B877" t="s">
        <v>2329</v>
      </c>
      <c r="E877" s="118" t="s">
        <v>5371</v>
      </c>
      <c r="F877" s="118" t="s">
        <v>2319</v>
      </c>
      <c r="H877" s="206" t="str">
        <f t="shared" si="141"/>
        <v xml:space="preserve">(6.52) In the &lt;u&gt;last 6 months&lt;/u&gt;,how many malaria cases (any kind of malaria) were treated with Artemisinin-based Combination Therapies (ACT)? </v>
      </c>
      <c r="I877" s="213" t="str">
        <f t="shared" si="129"/>
        <v>integer</v>
      </c>
      <c r="J877" s="106" t="s">
        <v>3542</v>
      </c>
      <c r="K877" s="116" t="s">
        <v>2443</v>
      </c>
      <c r="L877" s="118" t="str">
        <f t="shared" si="134"/>
        <v>Sorry, question (6.52) is required!</v>
      </c>
      <c r="M877" s="113" t="s">
        <v>2504</v>
      </c>
      <c r="N877" t="str">
        <f t="shared" si="140"/>
        <v>(6.52) MINIMUM 0</v>
      </c>
    </row>
    <row r="878" spans="1:24" ht="14.25" customHeight="1">
      <c r="A878" t="s">
        <v>412</v>
      </c>
      <c r="L878" s="118" t="str">
        <f t="shared" si="134"/>
        <v/>
      </c>
      <c r="X878" t="s">
        <v>3032</v>
      </c>
    </row>
    <row r="879" spans="1:24" ht="14.25" customHeight="1">
      <c r="A879" t="s">
        <v>12</v>
      </c>
      <c r="B879" t="s">
        <v>3146</v>
      </c>
      <c r="J879" s="106" t="s">
        <v>3526</v>
      </c>
      <c r="L879" s="118" t="str">
        <f t="shared" si="134"/>
        <v/>
      </c>
      <c r="X879" t="s">
        <v>3032</v>
      </c>
    </row>
    <row r="880" spans="1:24" ht="14.25" customHeight="1">
      <c r="A880" t="s">
        <v>17</v>
      </c>
      <c r="B880" t="s">
        <v>4889</v>
      </c>
      <c r="E880" s="118" t="s">
        <v>4204</v>
      </c>
      <c r="I880" s="213" t="str">
        <f t="shared" si="129"/>
        <v>note</v>
      </c>
      <c r="J880" s="106" t="s">
        <v>3528</v>
      </c>
      <c r="L880" s="118" t="str">
        <f t="shared" si="134"/>
        <v/>
      </c>
    </row>
    <row r="881" spans="1:24" ht="14.25" customHeight="1">
      <c r="A881" t="s">
        <v>14</v>
      </c>
      <c r="B881" t="s">
        <v>3106</v>
      </c>
      <c r="E881" s="118" t="s">
        <v>3107</v>
      </c>
      <c r="H881" s="206" t="str">
        <f>E881</f>
        <v>(6.54) In the last month, how many health education sessions were held in the facility?</v>
      </c>
      <c r="I881" s="213" t="str">
        <f t="shared" si="129"/>
        <v>integer</v>
      </c>
      <c r="J881" s="106" t="s">
        <v>3372</v>
      </c>
      <c r="K881" s="116" t="s">
        <v>2443</v>
      </c>
      <c r="L881" s="118" t="str">
        <f t="shared" si="134"/>
        <v>Sorry, question (6.54) is required!</v>
      </c>
      <c r="M881" s="113" t="s">
        <v>2504</v>
      </c>
      <c r="N881" t="str">
        <f t="shared" ref="N881" si="142" xml:space="preserve"> LEFT(E881,6) &amp; " MINIMUM 0"</f>
        <v>(6.54) MINIMUM 0</v>
      </c>
    </row>
    <row r="882" spans="1:24" ht="14.25" customHeight="1">
      <c r="A882" s="107" t="s">
        <v>3583</v>
      </c>
      <c r="B882" t="s">
        <v>3108</v>
      </c>
      <c r="E882" s="118" t="s">
        <v>3109</v>
      </c>
      <c r="H882" s="206" t="str">
        <f t="shared" ref="H882:H883" si="143">E882</f>
        <v>(6.55) In this period, which health topics were covered in the health education sessions?</v>
      </c>
      <c r="I882" s="213" t="str">
        <f t="shared" si="129"/>
        <v>select_multiple topic</v>
      </c>
      <c r="J882" s="106" t="s">
        <v>3373</v>
      </c>
      <c r="K882" s="116" t="s">
        <v>2443</v>
      </c>
      <c r="L882" s="118" t="str">
        <f t="shared" si="134"/>
        <v>Sorry, question (6.55) is required!</v>
      </c>
    </row>
    <row r="883" spans="1:24" ht="14.25" customHeight="1">
      <c r="A883" t="s">
        <v>16</v>
      </c>
      <c r="B883" t="s">
        <v>3115</v>
      </c>
      <c r="E883" s="118" t="s">
        <v>35</v>
      </c>
      <c r="F883" s="118" t="s">
        <v>35</v>
      </c>
      <c r="H883" s="206" t="str">
        <f t="shared" si="143"/>
        <v>Other, specify:</v>
      </c>
      <c r="I883" s="213" t="str">
        <f t="shared" si="129"/>
        <v>text</v>
      </c>
      <c r="J883" s="106" t="s">
        <v>3543</v>
      </c>
      <c r="K883" s="116" t="s">
        <v>2443</v>
      </c>
      <c r="L883" s="118" t="str">
        <f>IF(K883="yes",("Sorry, question (6.55) "&amp;LEFT(E883, 6)&amp;" is required!"),"")</f>
        <v>Sorry, question (6.55) Other, is required!</v>
      </c>
      <c r="O883" s="110" t="s">
        <v>5372</v>
      </c>
    </row>
    <row r="884" spans="1:24" ht="14.25" customHeight="1">
      <c r="A884" t="s">
        <v>15</v>
      </c>
      <c r="L884" s="118" t="str">
        <f t="shared" si="134"/>
        <v/>
      </c>
      <c r="X884" t="s">
        <v>3032</v>
      </c>
    </row>
    <row r="885" spans="1:24" ht="14.25" customHeight="1">
      <c r="A885" t="s">
        <v>15</v>
      </c>
      <c r="L885" s="118" t="str">
        <f t="shared" si="134"/>
        <v/>
      </c>
      <c r="X885" t="s">
        <v>2778</v>
      </c>
    </row>
    <row r="886" spans="1:24" ht="14.25" customHeight="1">
      <c r="L886" s="118" t="str">
        <f t="shared" si="134"/>
        <v/>
      </c>
    </row>
    <row r="887" spans="1:24" ht="14.25" customHeight="1">
      <c r="A887" t="s">
        <v>414</v>
      </c>
      <c r="B887" t="s">
        <v>2108</v>
      </c>
      <c r="E887" s="118" t="s">
        <v>2790</v>
      </c>
      <c r="J887" s="106" t="s">
        <v>2778</v>
      </c>
      <c r="L887" s="118" t="str">
        <f t="shared" si="134"/>
        <v/>
      </c>
      <c r="O887" s="110" t="s">
        <v>3582</v>
      </c>
      <c r="X887" t="s">
        <v>2778</v>
      </c>
    </row>
    <row r="888" spans="1:24" ht="14.25" customHeight="1">
      <c r="A888" t="s">
        <v>415</v>
      </c>
      <c r="B888" t="s">
        <v>3147</v>
      </c>
      <c r="J888" s="106" t="s">
        <v>3526</v>
      </c>
      <c r="L888" s="118" t="str">
        <f t="shared" si="134"/>
        <v/>
      </c>
      <c r="X888" t="s">
        <v>3032</v>
      </c>
    </row>
    <row r="889" spans="1:24" ht="14.25" customHeight="1">
      <c r="A889" t="s">
        <v>416</v>
      </c>
      <c r="B889" t="s">
        <v>4891</v>
      </c>
      <c r="E889" s="118" t="s">
        <v>4205</v>
      </c>
      <c r="I889" s="213" t="str">
        <f t="shared" si="129"/>
        <v>note</v>
      </c>
      <c r="J889" s="106" t="s">
        <v>3528</v>
      </c>
      <c r="L889" s="118" t="str">
        <f t="shared" si="134"/>
        <v/>
      </c>
    </row>
    <row r="890" spans="1:24" ht="14.25" customHeight="1">
      <c r="A890" t="s">
        <v>417</v>
      </c>
      <c r="B890" t="s">
        <v>4892</v>
      </c>
      <c r="E890" s="118" t="s">
        <v>4206</v>
      </c>
      <c r="I890" s="213" t="str">
        <f t="shared" si="129"/>
        <v>note</v>
      </c>
      <c r="J890" s="106" t="s">
        <v>3372</v>
      </c>
      <c r="L890" s="118" t="str">
        <f t="shared" si="134"/>
        <v/>
      </c>
    </row>
    <row r="891" spans="1:24" ht="14.25" customHeight="1">
      <c r="A891" t="s">
        <v>15</v>
      </c>
      <c r="L891" s="118" t="str">
        <f t="shared" si="134"/>
        <v/>
      </c>
      <c r="X891" t="s">
        <v>3032</v>
      </c>
    </row>
    <row r="892" spans="1:24" ht="14.25" customHeight="1">
      <c r="A892" t="s">
        <v>12</v>
      </c>
      <c r="B892" t="s">
        <v>3148</v>
      </c>
      <c r="J892" s="106" t="s">
        <v>4419</v>
      </c>
      <c r="L892" s="118" t="str">
        <f t="shared" si="134"/>
        <v/>
      </c>
      <c r="X892" t="s">
        <v>3032</v>
      </c>
    </row>
    <row r="893" spans="1:24" ht="14.25" customHeight="1">
      <c r="A893" t="s">
        <v>23</v>
      </c>
      <c r="B893" t="s">
        <v>418</v>
      </c>
      <c r="E893" s="118" t="s">
        <v>419</v>
      </c>
      <c r="H893" s="206" t="str">
        <f>E893</f>
        <v>(7.01) Do you have an estimate of the size of the catchment population that this facility serves, that is, the target, or total population living in the area served by this facility?</v>
      </c>
      <c r="I893" s="213" t="str">
        <f t="shared" si="129"/>
        <v>select_one yesno</v>
      </c>
      <c r="J893" s="106" t="s">
        <v>4900</v>
      </c>
      <c r="K893" s="116" t="s">
        <v>2443</v>
      </c>
      <c r="L893" s="118" t="str">
        <f t="shared" si="134"/>
        <v>Sorry, question (7.01) is required!</v>
      </c>
    </row>
    <row r="894" spans="1:24" ht="14.25" customHeight="1">
      <c r="A894" t="s">
        <v>421</v>
      </c>
      <c r="B894" t="s">
        <v>4893</v>
      </c>
      <c r="E894" s="132" t="s">
        <v>422</v>
      </c>
      <c r="I894" s="213" t="str">
        <f t="shared" si="129"/>
        <v>note</v>
      </c>
      <c r="L894" s="118" t="str">
        <f t="shared" si="134"/>
        <v/>
      </c>
      <c r="O894" s="110" t="s">
        <v>420</v>
      </c>
    </row>
    <row r="895" spans="1:24" ht="14.25" customHeight="1">
      <c r="A895" t="s">
        <v>423</v>
      </c>
      <c r="B895" t="s">
        <v>4894</v>
      </c>
      <c r="E895" s="118" t="s">
        <v>424</v>
      </c>
      <c r="H895" s="206" t="str">
        <f>"(7.02) How many people is "&amp;E895</f>
        <v>(7.02) How many people is a. Total population</v>
      </c>
      <c r="I895" s="213" t="str">
        <f t="shared" si="129"/>
        <v>integer</v>
      </c>
      <c r="J895" s="106" t="s">
        <v>4901</v>
      </c>
      <c r="K895" s="116" t="s">
        <v>2443</v>
      </c>
      <c r="L895" s="118" t="str">
        <f>IF(K895="yes",("Sorry, question (7.02)"&amp;LEFT(E895, 1)&amp;" is required!"),"")</f>
        <v>Sorry, question (7.02)a is required!</v>
      </c>
      <c r="O895" s="110" t="s">
        <v>420</v>
      </c>
    </row>
    <row r="896" spans="1:24" ht="14.25" customHeight="1">
      <c r="A896" t="s">
        <v>425</v>
      </c>
      <c r="B896" t="s">
        <v>4895</v>
      </c>
      <c r="E896" s="118" t="s">
        <v>426</v>
      </c>
      <c r="H896" s="206" t="str">
        <f t="shared" ref="H896:H900" si="144">"(7.02) How many people is "&amp;E896</f>
        <v>(7.02) How many people is b. Total male population</v>
      </c>
      <c r="I896" s="213" t="str">
        <f t="shared" si="129"/>
        <v>integer</v>
      </c>
      <c r="J896" s="106" t="s">
        <v>4901</v>
      </c>
      <c r="K896" s="116" t="s">
        <v>2443</v>
      </c>
      <c r="L896" s="118" t="str">
        <f t="shared" ref="L896:L901" si="145">IF(K896="yes",("Sorry, question (7.02)"&amp;LEFT(E896, 1)&amp;" is required!"),"")</f>
        <v>Sorry, question (7.02)b is required!</v>
      </c>
      <c r="O896" s="110" t="s">
        <v>420</v>
      </c>
    </row>
    <row r="897" spans="1:24" ht="14.25" customHeight="1">
      <c r="A897" t="s">
        <v>427</v>
      </c>
      <c r="B897" t="s">
        <v>4896</v>
      </c>
      <c r="E897" s="118" t="s">
        <v>428</v>
      </c>
      <c r="H897" s="206" t="str">
        <f t="shared" si="144"/>
        <v>(7.02) How many people is c. Total female population</v>
      </c>
      <c r="I897" s="213" t="str">
        <f t="shared" ref="I897:I960" si="146">A897</f>
        <v>integer</v>
      </c>
      <c r="J897" s="106" t="s">
        <v>4901</v>
      </c>
      <c r="K897" s="116" t="s">
        <v>2443</v>
      </c>
      <c r="L897" s="118" t="str">
        <f t="shared" si="145"/>
        <v>Sorry, question (7.02)c is required!</v>
      </c>
      <c r="O897" s="110" t="s">
        <v>420</v>
      </c>
    </row>
    <row r="898" spans="1:24" ht="14.25" customHeight="1">
      <c r="A898" t="s">
        <v>429</v>
      </c>
      <c r="B898" t="s">
        <v>4897</v>
      </c>
      <c r="E898" s="118" t="s">
        <v>3499</v>
      </c>
      <c r="F898" s="118" t="s">
        <v>3500</v>
      </c>
      <c r="H898" s="206" t="str">
        <f t="shared" si="144"/>
        <v>(7.02) How many people is d. Total female 15-49 years population</v>
      </c>
      <c r="I898" s="213" t="str">
        <f t="shared" si="146"/>
        <v>integer</v>
      </c>
      <c r="J898" s="106" t="s">
        <v>4583</v>
      </c>
      <c r="K898" s="116" t="s">
        <v>2443</v>
      </c>
      <c r="L898" s="118" t="str">
        <f t="shared" si="145"/>
        <v>Sorry, question (7.02)d is required!</v>
      </c>
      <c r="M898" s="113" t="s">
        <v>5301</v>
      </c>
      <c r="N898" t="s">
        <v>3817</v>
      </c>
      <c r="O898" s="110" t="s">
        <v>420</v>
      </c>
    </row>
    <row r="899" spans="1:24" ht="14.25" customHeight="1">
      <c r="A899" t="s">
        <v>430</v>
      </c>
      <c r="B899" t="s">
        <v>4898</v>
      </c>
      <c r="E899" s="118" t="s">
        <v>431</v>
      </c>
      <c r="H899" s="206" t="str">
        <f t="shared" si="144"/>
        <v>(7.02) How many people is e. Total &lt;5 years population</v>
      </c>
      <c r="I899" s="213" t="str">
        <f t="shared" si="146"/>
        <v>integer</v>
      </c>
      <c r="J899" s="106" t="s">
        <v>4901</v>
      </c>
      <c r="K899" s="116" t="s">
        <v>2443</v>
      </c>
      <c r="L899" s="118" t="str">
        <f t="shared" si="145"/>
        <v>Sorry, question (7.02)e is required!</v>
      </c>
      <c r="M899" s="113" t="s">
        <v>5302</v>
      </c>
      <c r="N899" t="s">
        <v>3818</v>
      </c>
      <c r="O899" s="110" t="s">
        <v>420</v>
      </c>
    </row>
    <row r="900" spans="1:24" ht="14.25" customHeight="1">
      <c r="A900" t="s">
        <v>432</v>
      </c>
      <c r="B900" t="s">
        <v>4899</v>
      </c>
      <c r="E900" s="118" t="s">
        <v>433</v>
      </c>
      <c r="H900" s="206" t="str">
        <f t="shared" si="144"/>
        <v>(7.02) How many people is f. Total &lt;1 year population</v>
      </c>
      <c r="I900" s="213" t="str">
        <f t="shared" si="146"/>
        <v>integer</v>
      </c>
      <c r="J900" s="106" t="s">
        <v>4901</v>
      </c>
      <c r="K900" s="116" t="s">
        <v>2443</v>
      </c>
      <c r="L900" s="118" t="str">
        <f t="shared" si="145"/>
        <v>Sorry, question (7.02)f is required!</v>
      </c>
      <c r="M900" s="113" t="s">
        <v>5303</v>
      </c>
      <c r="N900" t="s">
        <v>3819</v>
      </c>
      <c r="O900" s="110" t="s">
        <v>420</v>
      </c>
    </row>
    <row r="901" spans="1:24" ht="14.25" customHeight="1">
      <c r="A901" t="s">
        <v>434</v>
      </c>
      <c r="L901" s="118" t="str">
        <f t="shared" si="145"/>
        <v/>
      </c>
      <c r="X901" t="s">
        <v>3032</v>
      </c>
    </row>
    <row r="902" spans="1:24" ht="14.25" customHeight="1">
      <c r="A902" s="107" t="s">
        <v>2473</v>
      </c>
      <c r="B902" s="107" t="s">
        <v>4904</v>
      </c>
      <c r="I902" s="213" t="s">
        <v>17</v>
      </c>
      <c r="N902" s="107"/>
      <c r="P902" s="101" t="s">
        <v>4902</v>
      </c>
    </row>
    <row r="903" spans="1:24" ht="14.25" customHeight="1">
      <c r="A903" s="107" t="s">
        <v>17</v>
      </c>
      <c r="B903" s="107" t="s">
        <v>4143</v>
      </c>
      <c r="E903" s="130" t="s">
        <v>6598</v>
      </c>
      <c r="I903" s="213" t="str">
        <f t="shared" si="146"/>
        <v>note</v>
      </c>
      <c r="K903" s="116" t="s">
        <v>2443</v>
      </c>
      <c r="N903" s="107"/>
      <c r="O903" s="110" t="s">
        <v>4903</v>
      </c>
    </row>
    <row r="904" spans="1:24" ht="14.25" customHeight="1">
      <c r="A904" t="s">
        <v>436</v>
      </c>
      <c r="B904" t="s">
        <v>3546</v>
      </c>
      <c r="J904" s="106" t="s">
        <v>3371</v>
      </c>
      <c r="L904" s="118" t="str">
        <f t="shared" ref="L904:L906" si="147">IF(K904="yes",("Sorry, question "&amp;LEFT(E904, 6)&amp;" is required!"),"")</f>
        <v/>
      </c>
      <c r="X904" t="s">
        <v>3032</v>
      </c>
    </row>
    <row r="905" spans="1:24" ht="14.25" customHeight="1">
      <c r="A905" t="s">
        <v>435</v>
      </c>
      <c r="B905" t="s">
        <v>4905</v>
      </c>
      <c r="E905" s="118" t="s">
        <v>3502</v>
      </c>
      <c r="F905" s="130"/>
      <c r="I905" s="213" t="str">
        <f t="shared" si="146"/>
        <v>note</v>
      </c>
      <c r="J905" s="106" t="s">
        <v>3370</v>
      </c>
      <c r="L905" s="118" t="str">
        <f t="shared" si="147"/>
        <v/>
      </c>
    </row>
    <row r="906" spans="1:24" ht="14.25" customHeight="1">
      <c r="A906" t="s">
        <v>17</v>
      </c>
      <c r="B906" t="s">
        <v>4906</v>
      </c>
      <c r="E906" s="118" t="s">
        <v>5397</v>
      </c>
      <c r="I906" s="213" t="str">
        <f t="shared" si="146"/>
        <v>note</v>
      </c>
      <c r="J906" s="106" t="s">
        <v>3477</v>
      </c>
      <c r="L906" s="118" t="str">
        <f t="shared" si="147"/>
        <v/>
      </c>
    </row>
    <row r="907" spans="1:24" ht="14.25" customHeight="1">
      <c r="A907" t="s">
        <v>437</v>
      </c>
      <c r="B907" t="s">
        <v>2500</v>
      </c>
      <c r="E907" s="118" t="s">
        <v>4925</v>
      </c>
      <c r="H907" s="206" t="str">
        <f>E907</f>
        <v>(7.03o) Male outpatients</v>
      </c>
      <c r="I907" s="213" t="str">
        <f t="shared" si="146"/>
        <v>integer</v>
      </c>
      <c r="J907" s="106" t="s">
        <v>4907</v>
      </c>
      <c r="K907" s="116" t="s">
        <v>2443</v>
      </c>
      <c r="L907" s="118" t="str">
        <f>IF(K907="yes",("Sorry, question "&amp;LEFT(E907, 8)&amp;" is required!"),"")</f>
        <v>Sorry, question (7.03o)  is required!</v>
      </c>
      <c r="M907" s="113" t="s">
        <v>5398</v>
      </c>
      <c r="N907" t="str">
        <f xml:space="preserve"> LEFT(E907,7) &amp; " MINIMUM 0"</f>
        <v>(7.03o) MINIMUM 0</v>
      </c>
    </row>
    <row r="908" spans="1:24" ht="14.25" customHeight="1">
      <c r="A908" t="s">
        <v>14</v>
      </c>
      <c r="B908" t="s">
        <v>2503</v>
      </c>
      <c r="E908" s="118" t="s">
        <v>4926</v>
      </c>
      <c r="H908" s="206" t="str">
        <f t="shared" ref="H908:H910" si="148">E908</f>
        <v>(7.03i) Male inpatients</v>
      </c>
      <c r="I908" s="213" t="str">
        <f t="shared" si="146"/>
        <v>integer</v>
      </c>
      <c r="J908" s="106" t="s">
        <v>4908</v>
      </c>
      <c r="K908" s="116" t="s">
        <v>2443</v>
      </c>
      <c r="L908" s="118" t="str">
        <f t="shared" ref="L908:L945" si="149">IF(K908="yes",("Sorry, question "&amp;LEFT(E908, 8)&amp;" is required!"),"")</f>
        <v>Sorry, question (7.03i)  is required!</v>
      </c>
      <c r="M908" s="113" t="s">
        <v>5398</v>
      </c>
      <c r="N908" t="str">
        <f t="shared" ref="N908:N917" si="150" xml:space="preserve"> LEFT(E908,7) &amp; " MINIMUM 0"</f>
        <v>(7.03i) MINIMUM 0</v>
      </c>
    </row>
    <row r="909" spans="1:24" ht="14.25" customHeight="1">
      <c r="A909" t="s">
        <v>438</v>
      </c>
      <c r="B909" t="s">
        <v>2950</v>
      </c>
      <c r="E909" s="118" t="s">
        <v>4927</v>
      </c>
      <c r="H909" s="206" t="str">
        <f t="shared" si="148"/>
        <v>(7.04o) Female outpatients</v>
      </c>
      <c r="I909" s="213" t="str">
        <f t="shared" si="146"/>
        <v>integer</v>
      </c>
      <c r="J909" s="106" t="s">
        <v>4909</v>
      </c>
      <c r="K909" s="116" t="s">
        <v>2443</v>
      </c>
      <c r="L909" s="118" t="str">
        <f t="shared" si="149"/>
        <v>Sorry, question (7.04o)  is required!</v>
      </c>
      <c r="M909" s="113" t="s">
        <v>5398</v>
      </c>
      <c r="N909" t="str">
        <f t="shared" si="150"/>
        <v>(7.04o) MINIMUM 0</v>
      </c>
    </row>
    <row r="910" spans="1:24" ht="14.25" customHeight="1">
      <c r="A910" t="s">
        <v>14</v>
      </c>
      <c r="B910" t="s">
        <v>2501</v>
      </c>
      <c r="E910" s="118" t="s">
        <v>4928</v>
      </c>
      <c r="H910" s="206" t="str">
        <f t="shared" si="148"/>
        <v>(7.04i) Female inpatients</v>
      </c>
      <c r="I910" s="213" t="str">
        <f t="shared" si="146"/>
        <v>integer</v>
      </c>
      <c r="J910" s="106" t="s">
        <v>4910</v>
      </c>
      <c r="K910" s="116" t="s">
        <v>2443</v>
      </c>
      <c r="L910" s="118" t="str">
        <f t="shared" si="149"/>
        <v>Sorry, question (7.04i)  is required!</v>
      </c>
      <c r="M910" s="113" t="s">
        <v>5398</v>
      </c>
      <c r="N910" t="str">
        <f t="shared" si="150"/>
        <v>(7.04i) MINIMUM 0</v>
      </c>
    </row>
    <row r="911" spans="1:24" ht="14.25" customHeight="1">
      <c r="A911" t="s">
        <v>15</v>
      </c>
      <c r="L911" s="118" t="str">
        <f t="shared" ref="L911" si="151">IF(K911="yes",("Sorry, question "&amp;LEFT(E911, 8)&amp;" is required!"),"")</f>
        <v/>
      </c>
      <c r="X911" t="s">
        <v>3032</v>
      </c>
    </row>
    <row r="912" spans="1:24" ht="14.25" customHeight="1">
      <c r="A912" t="s">
        <v>2473</v>
      </c>
      <c r="B912" s="1" t="s">
        <v>6600</v>
      </c>
      <c r="H912" s="206" t="s">
        <v>6768</v>
      </c>
      <c r="I912" s="213" t="s">
        <v>14</v>
      </c>
      <c r="P912" s="101" t="s">
        <v>6602</v>
      </c>
    </row>
    <row r="913" spans="1:24" ht="14.25" customHeight="1">
      <c r="A913" t="s">
        <v>2473</v>
      </c>
      <c r="B913" t="s">
        <v>6601</v>
      </c>
      <c r="H913" s="206" t="s">
        <v>6769</v>
      </c>
      <c r="I913" s="213" t="s">
        <v>14</v>
      </c>
      <c r="P913" s="101" t="s">
        <v>6603</v>
      </c>
    </row>
    <row r="914" spans="1:24" ht="14.25" customHeight="1">
      <c r="A914" t="s">
        <v>12</v>
      </c>
      <c r="B914" t="s">
        <v>6599</v>
      </c>
      <c r="J914" s="106" t="s">
        <v>3371</v>
      </c>
      <c r="L914" s="118" t="str">
        <f t="shared" ref="L914" si="152">IF(K914="yes",("Sorry, question "&amp;LEFT(E914, 6)&amp;" is required!"),"")</f>
        <v/>
      </c>
      <c r="X914" t="s">
        <v>3032</v>
      </c>
    </row>
    <row r="915" spans="1:24" ht="14.25" customHeight="1">
      <c r="A915" t="s">
        <v>23</v>
      </c>
      <c r="B915" t="s">
        <v>6611</v>
      </c>
      <c r="E915" s="118" t="s">
        <v>6604</v>
      </c>
      <c r="I915" s="213" t="s">
        <v>17</v>
      </c>
      <c r="J915" s="106" t="s">
        <v>6675</v>
      </c>
      <c r="K915" s="116" t="s">
        <v>2443</v>
      </c>
      <c r="L915" s="118" t="str">
        <f t="shared" si="149"/>
        <v>Sorry, question (7.04_N) is required!</v>
      </c>
      <c r="M915" s="113" t="s">
        <v>2506</v>
      </c>
      <c r="N915" t="s">
        <v>3691</v>
      </c>
      <c r="O915" s="110" t="s">
        <v>6612</v>
      </c>
    </row>
    <row r="916" spans="1:24" ht="14.25" customHeight="1">
      <c r="A916" t="s">
        <v>439</v>
      </c>
      <c r="B916" t="s">
        <v>2951</v>
      </c>
      <c r="E916" s="118" t="s">
        <v>4929</v>
      </c>
      <c r="F916" s="118" t="s">
        <v>4265</v>
      </c>
      <c r="H916" s="206" t="str">
        <f>E916</f>
        <v>(7.05o) Pregnant women outpatients</v>
      </c>
      <c r="I916" s="213" t="str">
        <f t="shared" si="146"/>
        <v>integer</v>
      </c>
      <c r="J916" s="106" t="s">
        <v>4916</v>
      </c>
      <c r="K916" s="116" t="s">
        <v>2443</v>
      </c>
      <c r="L916" s="118" t="str">
        <f t="shared" si="149"/>
        <v>Sorry, question (7.05o)  is required!</v>
      </c>
      <c r="M916" s="113" t="s">
        <v>5398</v>
      </c>
      <c r="N916" t="str">
        <f t="shared" si="150"/>
        <v>(7.05o) MINIMUM 0</v>
      </c>
    </row>
    <row r="917" spans="1:24" ht="14.25" customHeight="1">
      <c r="A917" t="s">
        <v>14</v>
      </c>
      <c r="B917" t="s">
        <v>2502</v>
      </c>
      <c r="E917" s="118" t="s">
        <v>4930</v>
      </c>
      <c r="F917" s="118" t="s">
        <v>4265</v>
      </c>
      <c r="H917" s="206" t="str">
        <f>E917</f>
        <v>(7.05i) Pregnant women inpatients</v>
      </c>
      <c r="I917" s="213" t="str">
        <f t="shared" si="146"/>
        <v>integer</v>
      </c>
      <c r="J917" s="106" t="s">
        <v>4917</v>
      </c>
      <c r="K917" s="116" t="s">
        <v>2443</v>
      </c>
      <c r="L917" s="118" t="str">
        <f t="shared" si="149"/>
        <v>Sorry, question (7.05i)  is required!</v>
      </c>
      <c r="M917" s="113" t="s">
        <v>5398</v>
      </c>
      <c r="N917" t="str">
        <f t="shared" si="150"/>
        <v>(7.05i) MINIMUM 0</v>
      </c>
    </row>
    <row r="918" spans="1:24" ht="14.25" customHeight="1">
      <c r="A918" t="s">
        <v>15</v>
      </c>
      <c r="L918" s="118" t="str">
        <f t="shared" si="149"/>
        <v/>
      </c>
      <c r="X918" t="s">
        <v>3032</v>
      </c>
    </row>
    <row r="920" spans="1:24" ht="14.25" customHeight="1">
      <c r="A920" t="s">
        <v>440</v>
      </c>
      <c r="B920" t="s">
        <v>3149</v>
      </c>
      <c r="J920" s="106" t="s">
        <v>3371</v>
      </c>
      <c r="L920" s="118" t="str">
        <f t="shared" si="149"/>
        <v/>
      </c>
      <c r="X920" t="s">
        <v>3032</v>
      </c>
    </row>
    <row r="921" spans="1:24" ht="14.25" customHeight="1">
      <c r="A921" t="s">
        <v>441</v>
      </c>
      <c r="B921" t="s">
        <v>4914</v>
      </c>
      <c r="E921" s="130" t="s">
        <v>4280</v>
      </c>
      <c r="F921" s="118" t="s">
        <v>2505</v>
      </c>
      <c r="J921" s="106" t="s">
        <v>3370</v>
      </c>
      <c r="L921" s="118" t="str">
        <f t="shared" si="149"/>
        <v/>
      </c>
      <c r="S921" t="s">
        <v>2443</v>
      </c>
    </row>
    <row r="922" spans="1:24" ht="14.25" customHeight="1">
      <c r="A922" t="s">
        <v>17</v>
      </c>
      <c r="B922" t="s">
        <v>4915</v>
      </c>
      <c r="E922" s="118" t="s">
        <v>4932</v>
      </c>
      <c r="I922" s="213" t="str">
        <f t="shared" si="146"/>
        <v>note</v>
      </c>
      <c r="J922" s="106" t="s">
        <v>3477</v>
      </c>
      <c r="L922" s="118" t="str">
        <f t="shared" si="149"/>
        <v/>
      </c>
    </row>
    <row r="923" spans="1:24" ht="14.25" customHeight="1">
      <c r="A923" t="s">
        <v>442</v>
      </c>
      <c r="B923" t="s">
        <v>2507</v>
      </c>
      <c r="E923" s="132" t="s">
        <v>3504</v>
      </c>
      <c r="H923" s="206" t="str">
        <f>E923</f>
        <v>(7.06o) Male under 5 outpatients</v>
      </c>
      <c r="I923" s="213" t="str">
        <f t="shared" si="146"/>
        <v>integer</v>
      </c>
      <c r="J923" s="106" t="s">
        <v>4918</v>
      </c>
      <c r="K923" s="116" t="s">
        <v>2443</v>
      </c>
      <c r="L923" s="118" t="str">
        <f t="shared" si="149"/>
        <v>Sorry, question (7.06o)  is required!</v>
      </c>
      <c r="M923" s="113" t="s">
        <v>5398</v>
      </c>
      <c r="N923" t="str">
        <f xml:space="preserve"> LEFT(E923,7) &amp; " MINIMUM 0"</f>
        <v>(7.06o) MINIMUM 0</v>
      </c>
    </row>
    <row r="924" spans="1:24" ht="14.25" customHeight="1">
      <c r="A924" t="s">
        <v>14</v>
      </c>
      <c r="B924" t="s">
        <v>2508</v>
      </c>
      <c r="E924" s="118" t="s">
        <v>3505</v>
      </c>
      <c r="H924" s="206" t="str">
        <f t="shared" ref="H924:H926" si="153">E924</f>
        <v>(7.06i) Male under 5 inpatients</v>
      </c>
      <c r="I924" s="213" t="str">
        <f t="shared" si="146"/>
        <v>integer</v>
      </c>
      <c r="J924" s="106" t="s">
        <v>4919</v>
      </c>
      <c r="K924" s="116" t="s">
        <v>2443</v>
      </c>
      <c r="L924" s="118" t="str">
        <f t="shared" si="149"/>
        <v>Sorry, question (7.06i)  is required!</v>
      </c>
      <c r="M924" s="113" t="s">
        <v>5398</v>
      </c>
      <c r="N924" t="str">
        <f t="shared" ref="N924:N926" si="154" xml:space="preserve"> LEFT(E924,7) &amp; " MINIMUM 0"</f>
        <v>(7.06i) MINIMUM 0</v>
      </c>
    </row>
    <row r="925" spans="1:24" ht="14.25" customHeight="1">
      <c r="A925" t="s">
        <v>14</v>
      </c>
      <c r="B925" t="s">
        <v>2509</v>
      </c>
      <c r="E925" s="118" t="s">
        <v>3506</v>
      </c>
      <c r="H925" s="206" t="str">
        <f t="shared" si="153"/>
        <v>(7.07o) Female under 5 outpatients</v>
      </c>
      <c r="I925" s="213" t="str">
        <f t="shared" si="146"/>
        <v>integer</v>
      </c>
      <c r="J925" s="106" t="s">
        <v>4920</v>
      </c>
      <c r="K925" s="116" t="s">
        <v>2443</v>
      </c>
      <c r="L925" s="118" t="str">
        <f t="shared" si="149"/>
        <v>Sorry, question (7.07o)  is required!</v>
      </c>
      <c r="M925" s="113" t="s">
        <v>5398</v>
      </c>
      <c r="N925" t="str">
        <f t="shared" si="154"/>
        <v>(7.07o) MINIMUM 0</v>
      </c>
    </row>
    <row r="926" spans="1:24" ht="14.25" customHeight="1">
      <c r="A926" t="s">
        <v>14</v>
      </c>
      <c r="B926" t="s">
        <v>2510</v>
      </c>
      <c r="E926" s="118" t="s">
        <v>3507</v>
      </c>
      <c r="H926" s="206" t="str">
        <f t="shared" si="153"/>
        <v>(7.07i) Female under 5 inpatients</v>
      </c>
      <c r="I926" s="213" t="str">
        <f t="shared" si="146"/>
        <v>integer</v>
      </c>
      <c r="J926" s="106" t="s">
        <v>4921</v>
      </c>
      <c r="K926" s="116" t="s">
        <v>2443</v>
      </c>
      <c r="L926" s="118" t="str">
        <f t="shared" si="149"/>
        <v>Sorry, question (7.07i)  is required!</v>
      </c>
      <c r="M926" s="113" t="s">
        <v>5398</v>
      </c>
      <c r="N926" t="str">
        <f t="shared" si="154"/>
        <v>(7.07i) MINIMUM 0</v>
      </c>
    </row>
    <row r="927" spans="1:24" ht="14.25" customHeight="1">
      <c r="A927" t="s">
        <v>15</v>
      </c>
      <c r="L927" s="118" t="str">
        <f t="shared" si="149"/>
        <v/>
      </c>
      <c r="X927" t="s">
        <v>3032</v>
      </c>
    </row>
    <row r="928" spans="1:24" ht="14.25" customHeight="1">
      <c r="A928" t="s">
        <v>2473</v>
      </c>
      <c r="B928" s="1" t="s">
        <v>6605</v>
      </c>
      <c r="H928" s="206" t="s">
        <v>6770</v>
      </c>
      <c r="I928" s="213" t="s">
        <v>14</v>
      </c>
      <c r="P928" s="101" t="s">
        <v>6607</v>
      </c>
    </row>
    <row r="929" spans="1:24" ht="14.25" customHeight="1">
      <c r="A929" t="s">
        <v>2473</v>
      </c>
      <c r="B929" t="s">
        <v>6606</v>
      </c>
      <c r="H929" s="206" t="s">
        <v>6771</v>
      </c>
      <c r="I929" s="213" t="s">
        <v>14</v>
      </c>
      <c r="P929" s="101" t="s">
        <v>4922</v>
      </c>
    </row>
    <row r="930" spans="1:24" ht="14.25" customHeight="1">
      <c r="A930" t="s">
        <v>23</v>
      </c>
      <c r="B930" t="s">
        <v>6609</v>
      </c>
      <c r="E930" s="118" t="s">
        <v>6608</v>
      </c>
      <c r="I930" s="213" t="s">
        <v>17</v>
      </c>
      <c r="J930" s="106" t="s">
        <v>6845</v>
      </c>
      <c r="K930" s="116" t="s">
        <v>2443</v>
      </c>
      <c r="M930" s="113" t="s">
        <v>2506</v>
      </c>
      <c r="N930" t="s">
        <v>3691</v>
      </c>
      <c r="O930" s="110" t="s">
        <v>6610</v>
      </c>
    </row>
    <row r="931" spans="1:24" ht="14.25" customHeight="1">
      <c r="X931" t="s">
        <v>3032</v>
      </c>
    </row>
    <row r="932" spans="1:24" ht="14.25" customHeight="1">
      <c r="A932" t="s">
        <v>443</v>
      </c>
      <c r="B932" t="s">
        <v>3150</v>
      </c>
      <c r="J932" s="106" t="s">
        <v>3371</v>
      </c>
      <c r="L932" s="118" t="str">
        <f t="shared" si="149"/>
        <v/>
      </c>
      <c r="X932" t="s">
        <v>3032</v>
      </c>
    </row>
    <row r="933" spans="1:24" ht="14.25" customHeight="1">
      <c r="A933" t="s">
        <v>17</v>
      </c>
      <c r="B933" t="s">
        <v>4923</v>
      </c>
      <c r="E933" s="130" t="s">
        <v>4931</v>
      </c>
      <c r="F933" s="118" t="s">
        <v>2505</v>
      </c>
      <c r="I933" s="213" t="str">
        <f t="shared" si="146"/>
        <v>note</v>
      </c>
      <c r="J933" s="106" t="s">
        <v>3370</v>
      </c>
      <c r="L933" s="118" t="str">
        <f t="shared" si="149"/>
        <v/>
      </c>
    </row>
    <row r="934" spans="1:24" ht="14.25" customHeight="1">
      <c r="A934" t="s">
        <v>17</v>
      </c>
      <c r="B934" t="s">
        <v>4924</v>
      </c>
      <c r="E934" s="118" t="s">
        <v>3503</v>
      </c>
      <c r="I934" s="213" t="str">
        <f t="shared" si="146"/>
        <v>note</v>
      </c>
      <c r="J934" s="106" t="s">
        <v>3477</v>
      </c>
      <c r="L934" s="118" t="str">
        <f t="shared" si="149"/>
        <v/>
      </c>
    </row>
    <row r="935" spans="1:24" ht="14.25" customHeight="1">
      <c r="A935" t="s">
        <v>444</v>
      </c>
      <c r="B935" t="s">
        <v>2516</v>
      </c>
      <c r="E935" s="118" t="s">
        <v>3616</v>
      </c>
      <c r="H935" s="206" t="str">
        <f>E935</f>
        <v>(7.08o) Male under 1 outpatients</v>
      </c>
      <c r="I935" s="213" t="str">
        <f t="shared" si="146"/>
        <v>integer</v>
      </c>
      <c r="J935" s="106" t="s">
        <v>4907</v>
      </c>
      <c r="K935" s="116" t="s">
        <v>2443</v>
      </c>
      <c r="L935" s="118" t="str">
        <f t="shared" si="149"/>
        <v>Sorry, question (7.08o)  is required!</v>
      </c>
      <c r="M935" s="113" t="s">
        <v>5398</v>
      </c>
      <c r="N935" t="str">
        <f xml:space="preserve"> LEFT(E935,7) &amp; " MINIMUM 0"</f>
        <v>(7.08o) MINIMUM 0</v>
      </c>
    </row>
    <row r="936" spans="1:24" ht="14.25" customHeight="1">
      <c r="A936" t="s">
        <v>14</v>
      </c>
      <c r="B936" t="s">
        <v>2519</v>
      </c>
      <c r="E936" s="118" t="s">
        <v>3617</v>
      </c>
      <c r="H936" s="206" t="str">
        <f t="shared" ref="H936:H938" si="155">E936</f>
        <v>(7.08i) Male under 1 inpatients</v>
      </c>
      <c r="I936" s="213" t="str">
        <f t="shared" si="146"/>
        <v>integer</v>
      </c>
      <c r="J936" s="106" t="s">
        <v>4908</v>
      </c>
      <c r="K936" s="116" t="s">
        <v>2443</v>
      </c>
      <c r="L936" s="118" t="str">
        <f t="shared" si="149"/>
        <v>Sorry, question (7.08i)  is required!</v>
      </c>
      <c r="M936" s="113" t="s">
        <v>5398</v>
      </c>
      <c r="N936" t="str">
        <f t="shared" ref="N936:N938" si="156" xml:space="preserve"> LEFT(E936,7) &amp; " MINIMUM 0"</f>
        <v>(7.08i) MINIMUM 0</v>
      </c>
    </row>
    <row r="937" spans="1:24" ht="14.25" customHeight="1">
      <c r="A937" t="s">
        <v>14</v>
      </c>
      <c r="B937" t="s">
        <v>2517</v>
      </c>
      <c r="E937" s="118" t="s">
        <v>3618</v>
      </c>
      <c r="H937" s="206" t="str">
        <f t="shared" si="155"/>
        <v>(7.09o) Female under 1 outpatients</v>
      </c>
      <c r="I937" s="213" t="str">
        <f t="shared" si="146"/>
        <v>integer</v>
      </c>
      <c r="J937" s="106" t="s">
        <v>4909</v>
      </c>
      <c r="K937" s="116" t="s">
        <v>2443</v>
      </c>
      <c r="L937" s="118" t="str">
        <f t="shared" si="149"/>
        <v>Sorry, question (7.09o)  is required!</v>
      </c>
      <c r="M937" s="113" t="s">
        <v>5398</v>
      </c>
      <c r="N937" t="str">
        <f t="shared" si="156"/>
        <v>(7.09o) MINIMUM 0</v>
      </c>
    </row>
    <row r="938" spans="1:24" ht="14.25" customHeight="1">
      <c r="A938" t="s">
        <v>14</v>
      </c>
      <c r="B938" t="s">
        <v>2518</v>
      </c>
      <c r="E938" s="118" t="s">
        <v>3619</v>
      </c>
      <c r="H938" s="206" t="str">
        <f t="shared" si="155"/>
        <v>(7.09i) Female under 1 inpatients</v>
      </c>
      <c r="I938" s="213" t="str">
        <f t="shared" si="146"/>
        <v>integer</v>
      </c>
      <c r="J938" s="106" t="s">
        <v>4910</v>
      </c>
      <c r="K938" s="116" t="s">
        <v>2443</v>
      </c>
      <c r="L938" s="118" t="str">
        <f t="shared" si="149"/>
        <v>Sorry, question (7.09i)  is required!</v>
      </c>
      <c r="M938" s="113" t="s">
        <v>5398</v>
      </c>
      <c r="N938" t="str">
        <f t="shared" si="156"/>
        <v>(7.09i) MINIMUM 0</v>
      </c>
    </row>
    <row r="939" spans="1:24" ht="14.25" customHeight="1">
      <c r="A939" t="s">
        <v>15</v>
      </c>
      <c r="L939" s="118" t="str">
        <f t="shared" si="149"/>
        <v/>
      </c>
      <c r="X939" t="s">
        <v>3032</v>
      </c>
    </row>
    <row r="940" spans="1:24" ht="14.25" customHeight="1">
      <c r="A940" t="s">
        <v>12</v>
      </c>
      <c r="B940" t="s">
        <v>3554</v>
      </c>
      <c r="J940" s="106" t="s">
        <v>13</v>
      </c>
      <c r="L940" s="118" t="str">
        <f t="shared" si="149"/>
        <v/>
      </c>
      <c r="X940" t="s">
        <v>3032</v>
      </c>
    </row>
    <row r="941" spans="1:24" ht="14.25" customHeight="1">
      <c r="A941" t="s">
        <v>2330</v>
      </c>
      <c r="B941" t="s">
        <v>6614</v>
      </c>
      <c r="H941" s="206" t="s">
        <v>6772</v>
      </c>
      <c r="I941" s="213" t="s">
        <v>14</v>
      </c>
      <c r="L941" s="118" t="str">
        <f t="shared" si="149"/>
        <v/>
      </c>
      <c r="P941" s="101" t="s">
        <v>4933</v>
      </c>
    </row>
    <row r="942" spans="1:24" ht="14.25" customHeight="1">
      <c r="A942" t="s">
        <v>2330</v>
      </c>
      <c r="B942" t="s">
        <v>6615</v>
      </c>
      <c r="H942" s="206" t="s">
        <v>6773</v>
      </c>
      <c r="I942" s="213" t="s">
        <v>14</v>
      </c>
      <c r="P942" s="101" t="s">
        <v>4934</v>
      </c>
    </row>
    <row r="943" spans="1:24" ht="14.25" customHeight="1">
      <c r="A943" t="s">
        <v>23</v>
      </c>
      <c r="B943" t="s">
        <v>6616</v>
      </c>
      <c r="E943" s="130" t="s">
        <v>6613</v>
      </c>
      <c r="I943" s="213" t="s">
        <v>17</v>
      </c>
      <c r="J943" s="106" t="s">
        <v>4457</v>
      </c>
      <c r="K943" s="116" t="s">
        <v>2443</v>
      </c>
      <c r="M943" s="113" t="s">
        <v>2506</v>
      </c>
      <c r="N943" t="s">
        <v>3691</v>
      </c>
      <c r="O943" s="110" t="s">
        <v>6617</v>
      </c>
    </row>
    <row r="944" spans="1:24" ht="14.25" customHeight="1">
      <c r="A944" t="s">
        <v>15</v>
      </c>
      <c r="L944" s="118" t="str">
        <f t="shared" si="149"/>
        <v/>
      </c>
      <c r="X944" t="s">
        <v>3032</v>
      </c>
    </row>
    <row r="945" spans="1:24" ht="14.25" customHeight="1">
      <c r="A945" t="s">
        <v>446</v>
      </c>
      <c r="B945" t="s">
        <v>3151</v>
      </c>
      <c r="J945" s="106" t="s">
        <v>447</v>
      </c>
      <c r="L945" s="118" t="str">
        <f t="shared" si="149"/>
        <v/>
      </c>
      <c r="X945" t="s">
        <v>3032</v>
      </c>
    </row>
    <row r="946" spans="1:24" ht="14.25" customHeight="1">
      <c r="A946" t="s">
        <v>445</v>
      </c>
      <c r="B946" t="s">
        <v>2515</v>
      </c>
      <c r="E946" s="118" t="s">
        <v>2952</v>
      </c>
      <c r="H946" s="206" t="str">
        <f>E946</f>
        <v>(7.10) Monthly Integrated Activity Report</v>
      </c>
      <c r="I946" s="213" t="str">
        <f t="shared" si="146"/>
        <v>select_one monthly</v>
      </c>
      <c r="J946" s="106" t="s">
        <v>4457</v>
      </c>
      <c r="K946" s="116" t="s">
        <v>2443</v>
      </c>
      <c r="L946" s="118" t="str">
        <f>IF(K946="yes",("Sorry, question "&amp;LEFT(E946, 6)&amp;" is required!"),"")</f>
        <v>Sorry, question (7.10) is required!</v>
      </c>
    </row>
    <row r="947" spans="1:24" ht="14.25" customHeight="1">
      <c r="A947" t="s">
        <v>448</v>
      </c>
      <c r="B947" t="s">
        <v>2511</v>
      </c>
      <c r="E947" s="118" t="s">
        <v>2953</v>
      </c>
      <c r="H947" s="206" t="str">
        <f t="shared" ref="H947:H950" si="157">E947</f>
        <v>(7.11) Facility Status Report</v>
      </c>
      <c r="J947" s="106" t="s">
        <v>4457</v>
      </c>
      <c r="K947" s="116" t="s">
        <v>2443</v>
      </c>
      <c r="L947" s="118" t="str">
        <f t="shared" ref="L947:L969" si="158">IF(K947="yes",("Sorry, question "&amp;LEFT(E947, 6)&amp;" is required!"),"")</f>
        <v>Sorry, question (7.11) is required!</v>
      </c>
      <c r="S947" t="s">
        <v>2443</v>
      </c>
    </row>
    <row r="948" spans="1:24" ht="14.25" customHeight="1">
      <c r="A948" t="s">
        <v>449</v>
      </c>
      <c r="B948" t="s">
        <v>2512</v>
      </c>
      <c r="E948" s="118" t="s">
        <v>2954</v>
      </c>
      <c r="H948" s="206" t="str">
        <f t="shared" si="157"/>
        <v>(7.12) Notifiable Disease Report</v>
      </c>
      <c r="I948" s="213" t="str">
        <f t="shared" si="146"/>
        <v>select_one monthly</v>
      </c>
      <c r="J948" s="106" t="s">
        <v>4457</v>
      </c>
      <c r="K948" s="116" t="s">
        <v>2443</v>
      </c>
      <c r="L948" s="118" t="str">
        <f t="shared" si="158"/>
        <v>Sorry, question (7.12) is required!</v>
      </c>
    </row>
    <row r="949" spans="1:24" ht="14.25" customHeight="1">
      <c r="A949" t="s">
        <v>450</v>
      </c>
      <c r="B949" t="s">
        <v>2513</v>
      </c>
      <c r="E949" s="118" t="s">
        <v>2955</v>
      </c>
      <c r="H949" s="206" t="str">
        <f t="shared" si="157"/>
        <v>(7.13) Vaccination/immunization Coverage Report</v>
      </c>
      <c r="I949" s="213" t="str">
        <f t="shared" si="146"/>
        <v>select_one monthly</v>
      </c>
      <c r="J949" s="106" t="s">
        <v>4457</v>
      </c>
      <c r="K949" s="116" t="s">
        <v>2443</v>
      </c>
      <c r="L949" s="118" t="str">
        <f t="shared" si="158"/>
        <v>Sorry, question (7.13) is required!</v>
      </c>
    </row>
    <row r="950" spans="1:24" ht="14.25" customHeight="1">
      <c r="A950" t="s">
        <v>451</v>
      </c>
      <c r="B950" t="s">
        <v>2514</v>
      </c>
      <c r="E950" s="118" t="s">
        <v>2956</v>
      </c>
      <c r="H950" s="206" t="str">
        <f t="shared" si="157"/>
        <v>(7.14) Family Planning Register</v>
      </c>
      <c r="I950" s="213" t="str">
        <f t="shared" si="146"/>
        <v>select_one monthly</v>
      </c>
      <c r="J950" s="106" t="s">
        <v>4457</v>
      </c>
      <c r="K950" s="116" t="s">
        <v>2443</v>
      </c>
      <c r="L950" s="118" t="str">
        <f t="shared" si="158"/>
        <v>Sorry, question (7.14) is required!</v>
      </c>
    </row>
    <row r="951" spans="1:24" ht="14.25" customHeight="1">
      <c r="A951" t="s">
        <v>452</v>
      </c>
      <c r="L951" s="118" t="str">
        <f t="shared" si="158"/>
        <v/>
      </c>
      <c r="X951" t="s">
        <v>3032</v>
      </c>
    </row>
    <row r="952" spans="1:24" ht="14.25" customHeight="1">
      <c r="A952" t="s">
        <v>453</v>
      </c>
      <c r="L952" s="118" t="str">
        <f t="shared" si="158"/>
        <v/>
      </c>
      <c r="X952" t="s">
        <v>2778</v>
      </c>
    </row>
    <row r="953" spans="1:24" ht="14.25" customHeight="1">
      <c r="L953" s="118" t="str">
        <f t="shared" si="158"/>
        <v/>
      </c>
    </row>
    <row r="954" spans="1:24" ht="14.25" customHeight="1">
      <c r="A954" t="s">
        <v>12</v>
      </c>
      <c r="B954" t="s">
        <v>2957</v>
      </c>
      <c r="E954" s="118" t="s">
        <v>2791</v>
      </c>
      <c r="J954" s="106" t="s">
        <v>2778</v>
      </c>
      <c r="L954" s="118" t="str">
        <f t="shared" si="158"/>
        <v/>
      </c>
      <c r="O954" s="110" t="s">
        <v>3582</v>
      </c>
      <c r="X954" t="s">
        <v>2778</v>
      </c>
    </row>
    <row r="955" spans="1:24" ht="14.25" customHeight="1">
      <c r="A955" t="s">
        <v>12</v>
      </c>
      <c r="B955" t="s">
        <v>3152</v>
      </c>
      <c r="J955" s="106" t="s">
        <v>3526</v>
      </c>
      <c r="L955" s="118" t="str">
        <f t="shared" si="158"/>
        <v/>
      </c>
      <c r="X955" t="s">
        <v>3032</v>
      </c>
    </row>
    <row r="956" spans="1:24" ht="14.25" customHeight="1">
      <c r="A956" t="s">
        <v>17</v>
      </c>
      <c r="B956" t="s">
        <v>4937</v>
      </c>
      <c r="E956" s="118" t="s">
        <v>4207</v>
      </c>
      <c r="I956" s="213" t="str">
        <f t="shared" si="146"/>
        <v>note</v>
      </c>
      <c r="J956" s="106" t="s">
        <v>3528</v>
      </c>
      <c r="L956" s="118" t="str">
        <f t="shared" si="158"/>
        <v/>
      </c>
    </row>
    <row r="957" spans="1:24" ht="15">
      <c r="A957" t="s">
        <v>957</v>
      </c>
      <c r="B957" t="s">
        <v>4938</v>
      </c>
      <c r="E957" s="118" t="s">
        <v>4206</v>
      </c>
      <c r="F957" s="118" t="s">
        <v>4243</v>
      </c>
      <c r="I957" s="213" t="str">
        <f t="shared" si="146"/>
        <v>note</v>
      </c>
      <c r="J957" s="106" t="s">
        <v>3372</v>
      </c>
      <c r="L957" s="118" t="str">
        <f t="shared" si="158"/>
        <v/>
      </c>
    </row>
    <row r="958" spans="1:24" ht="14.25" customHeight="1">
      <c r="A958" t="s">
        <v>15</v>
      </c>
      <c r="E958" s="118" t="s">
        <v>1067</v>
      </c>
      <c r="L958" s="118" t="str">
        <f t="shared" si="158"/>
        <v/>
      </c>
      <c r="X958" t="s">
        <v>3032</v>
      </c>
    </row>
    <row r="959" spans="1:24" ht="14.25" customHeight="1">
      <c r="A959" t="s">
        <v>954</v>
      </c>
      <c r="B959" t="s">
        <v>3537</v>
      </c>
      <c r="E959" s="118" t="s">
        <v>1067</v>
      </c>
      <c r="J959" s="106" t="s">
        <v>3526</v>
      </c>
      <c r="L959" s="118" t="str">
        <f t="shared" si="158"/>
        <v/>
      </c>
      <c r="X959" t="s">
        <v>3032</v>
      </c>
    </row>
    <row r="960" spans="1:24" ht="14.25" customHeight="1">
      <c r="A960" t="s">
        <v>17</v>
      </c>
      <c r="B960" t="s">
        <v>4939</v>
      </c>
      <c r="E960" s="118" t="s">
        <v>4208</v>
      </c>
      <c r="I960" s="213" t="str">
        <f t="shared" si="146"/>
        <v>note</v>
      </c>
      <c r="J960" s="106" t="s">
        <v>3528</v>
      </c>
      <c r="L960" s="118" t="str">
        <f t="shared" si="158"/>
        <v/>
      </c>
    </row>
    <row r="961" spans="1:24" ht="14.25" customHeight="1">
      <c r="A961" t="s">
        <v>23</v>
      </c>
      <c r="B961" t="s">
        <v>1577</v>
      </c>
      <c r="E961" s="132" t="s">
        <v>5402</v>
      </c>
      <c r="F961" s="118" t="s">
        <v>3396</v>
      </c>
      <c r="I961" s="213" t="s">
        <v>17</v>
      </c>
      <c r="J961" s="106" t="s">
        <v>3540</v>
      </c>
      <c r="L961" s="118" t="str">
        <f t="shared" si="158"/>
        <v/>
      </c>
    </row>
    <row r="962" spans="1:24" ht="14.25" customHeight="1">
      <c r="A962" t="s">
        <v>23</v>
      </c>
      <c r="B962" t="s">
        <v>4935</v>
      </c>
      <c r="E962" s="118" t="s">
        <v>951</v>
      </c>
      <c r="H962" s="206" t="str">
        <f>"(8.01a) Does this facility provide &lt;b&gt;Contraceptive pill&lt;/b&gt; within "&amp;E962</f>
        <v>(8.01a) Does this facility provide &lt;b&gt;Contraceptive pill&lt;/b&gt; within In-facility</v>
      </c>
      <c r="I962" s="213" t="str">
        <f t="shared" ref="I962:I1022" si="159">A962</f>
        <v>select_one yesno</v>
      </c>
      <c r="J962" s="106" t="s">
        <v>3538</v>
      </c>
      <c r="K962" s="116" t="s">
        <v>2443</v>
      </c>
      <c r="L962" s="118" t="str">
        <f>IF(K962="yes",("Sorry, question (8.01a) is required!"),"")</f>
        <v>Sorry, question (8.01a) is required!</v>
      </c>
    </row>
    <row r="963" spans="1:24" ht="14.25" customHeight="1">
      <c r="A963" t="s">
        <v>23</v>
      </c>
      <c r="B963" t="s">
        <v>4936</v>
      </c>
      <c r="E963" s="118" t="s">
        <v>953</v>
      </c>
      <c r="H963" s="206" t="str">
        <f>"(8.01a) Does this facility provide &lt;b&gt;Contraceptive pill&lt;/b&gt; within "&amp;E963</f>
        <v>(8.01a) Does this facility provide &lt;b&gt;Contraceptive pill&lt;/b&gt; within Outreach</v>
      </c>
      <c r="I963" s="213" t="str">
        <f t="shared" si="159"/>
        <v>select_one yesno</v>
      </c>
      <c r="J963" s="106" t="s">
        <v>3539</v>
      </c>
      <c r="K963" s="116" t="s">
        <v>2443</v>
      </c>
      <c r="L963" s="118" t="str">
        <f>IF(K963="yes",("Sorry, question (8.01a) is required!"),"")</f>
        <v>Sorry, question (8.01a) is required!</v>
      </c>
    </row>
    <row r="964" spans="1:24" ht="14.25" customHeight="1">
      <c r="A964" t="s">
        <v>955</v>
      </c>
      <c r="B964" t="s">
        <v>1578</v>
      </c>
      <c r="E964" s="118" t="s">
        <v>1936</v>
      </c>
      <c r="F964" s="118" t="s">
        <v>6622</v>
      </c>
      <c r="H964" s="206" t="str">
        <f>E964</f>
        <v>(8.02a) How many days per week is this service offered?</v>
      </c>
      <c r="I964" s="213" t="str">
        <f t="shared" si="159"/>
        <v>integer</v>
      </c>
      <c r="J964" s="106" t="s">
        <v>6624</v>
      </c>
      <c r="K964" s="116" t="s">
        <v>2443</v>
      </c>
      <c r="L964" s="118" t="str">
        <f>IF(K964="yes",("Sorry, question "&amp;LEFT(E964, 7)&amp;" is required!"),"")</f>
        <v>Sorry, question (8.02a) is required!</v>
      </c>
      <c r="M964" s="113" t="s">
        <v>6618</v>
      </c>
      <c r="N964" t="s">
        <v>3820</v>
      </c>
      <c r="O964" s="110" t="s">
        <v>5304</v>
      </c>
    </row>
    <row r="965" spans="1:24" ht="14.25" customHeight="1">
      <c r="A965" t="s">
        <v>955</v>
      </c>
      <c r="B965" t="s">
        <v>1579</v>
      </c>
      <c r="E965" s="118" t="s">
        <v>5403</v>
      </c>
      <c r="F965" s="118" t="s">
        <v>1880</v>
      </c>
      <c r="H965" s="206" t="str">
        <f>E965</f>
        <v>(8.03a) What is the total price in Dalasi charged for &lt;b&gt;Contraceptive pill&lt;/b&gt;? INTERVIEWER: IF NO CHARGE, RECORD "0".</v>
      </c>
      <c r="I965" s="213" t="str">
        <f t="shared" si="159"/>
        <v>integer</v>
      </c>
      <c r="J965" s="106" t="s">
        <v>3534</v>
      </c>
      <c r="K965" s="116" t="s">
        <v>2443</v>
      </c>
      <c r="L965" s="118" t="str">
        <f>IF(K965="yes",("Sorry, question "&amp;LEFT(E965, 7)&amp;" is required!"),"")</f>
        <v>Sorry, question (8.03a) is required!</v>
      </c>
      <c r="M965" s="113" t="s">
        <v>2504</v>
      </c>
      <c r="N965" t="str">
        <f xml:space="preserve"> LEFT(E965,7) &amp; " MINIMUM 0"</f>
        <v>(8.03a) MINIMUM 0</v>
      </c>
      <c r="O965" s="110" t="s">
        <v>5304</v>
      </c>
    </row>
    <row r="966" spans="1:24" ht="14.25" customHeight="1">
      <c r="A966" t="s">
        <v>15</v>
      </c>
      <c r="E966" s="118" t="s">
        <v>1067</v>
      </c>
      <c r="L966" s="118" t="str">
        <f t="shared" si="158"/>
        <v/>
      </c>
      <c r="X966" t="s">
        <v>3032</v>
      </c>
    </row>
    <row r="967" spans="1:24" ht="14.25" customHeight="1">
      <c r="A967" t="s">
        <v>954</v>
      </c>
      <c r="B967" t="s">
        <v>3153</v>
      </c>
      <c r="E967" s="118" t="s">
        <v>1067</v>
      </c>
      <c r="J967" s="106" t="s">
        <v>3371</v>
      </c>
      <c r="L967" s="118" t="str">
        <f t="shared" si="158"/>
        <v/>
      </c>
      <c r="O967" s="110" t="s">
        <v>5304</v>
      </c>
      <c r="X967" t="s">
        <v>3032</v>
      </c>
    </row>
    <row r="968" spans="1:24" ht="14.25" customHeight="1">
      <c r="A968" t="s">
        <v>17</v>
      </c>
      <c r="B968" t="s">
        <v>4940</v>
      </c>
      <c r="E968" s="132" t="s">
        <v>5404</v>
      </c>
      <c r="F968" s="118" t="s">
        <v>6623</v>
      </c>
      <c r="I968" s="213" t="str">
        <f t="shared" si="159"/>
        <v>note</v>
      </c>
      <c r="J968" s="106" t="s">
        <v>3370</v>
      </c>
      <c r="L968" s="118" t="str">
        <f t="shared" si="158"/>
        <v/>
      </c>
    </row>
    <row r="969" spans="1:24" ht="14.25" customHeight="1">
      <c r="A969" t="s">
        <v>17</v>
      </c>
      <c r="B969" t="s">
        <v>4941</v>
      </c>
      <c r="E969" s="118" t="s">
        <v>958</v>
      </c>
      <c r="I969" s="213" t="str">
        <f t="shared" si="159"/>
        <v>note</v>
      </c>
      <c r="J969" s="106" t="s">
        <v>3477</v>
      </c>
      <c r="L969" s="118" t="str">
        <f t="shared" si="158"/>
        <v/>
      </c>
    </row>
    <row r="970" spans="1:24" ht="14.25" customHeight="1">
      <c r="A970" t="s">
        <v>955</v>
      </c>
      <c r="B970" t="s">
        <v>1580</v>
      </c>
      <c r="E970" s="118" t="s">
        <v>959</v>
      </c>
      <c r="H970" s="206" t="str">
        <f>"(8.04a) TOTAL NUMBER OF "&amp;E969&amp;" - "&amp;E970</f>
        <v>(8.04a) TOTAL NUMBER OF MONTH 1 - IN</v>
      </c>
      <c r="I970" s="213" t="str">
        <f t="shared" si="159"/>
        <v>integer</v>
      </c>
      <c r="J970" s="106" t="s">
        <v>4907</v>
      </c>
      <c r="K970" s="116" t="s">
        <v>2443</v>
      </c>
      <c r="L970" s="118" t="str">
        <f>IF(K970="yes",("Sorry, question MONTH 1 is required!"),"")</f>
        <v>Sorry, question MONTH 1 is required!</v>
      </c>
      <c r="M970" s="113" t="s">
        <v>5398</v>
      </c>
      <c r="N970" t="s">
        <v>3821</v>
      </c>
    </row>
    <row r="971" spans="1:24" ht="14.25" customHeight="1">
      <c r="A971" t="s">
        <v>955</v>
      </c>
      <c r="B971" t="s">
        <v>1581</v>
      </c>
      <c r="E971" s="118" t="s">
        <v>960</v>
      </c>
      <c r="H971" s="206" t="str">
        <f>"(8.04a) TOTAL NUMBER OF "&amp;E969&amp;" - "&amp;E970</f>
        <v>(8.04a) TOTAL NUMBER OF MONTH 1 - IN</v>
      </c>
      <c r="I971" s="213" t="str">
        <f t="shared" si="159"/>
        <v>integer</v>
      </c>
      <c r="J971" s="106" t="s">
        <v>4908</v>
      </c>
      <c r="K971" s="116" t="s">
        <v>2443</v>
      </c>
      <c r="L971" s="118" t="str">
        <f t="shared" ref="L971:L975" si="160">IF(K971="yes",("Sorry, question MONTH 1 is required!"),"")</f>
        <v>Sorry, question MONTH 1 is required!</v>
      </c>
      <c r="M971" s="113" t="s">
        <v>5398</v>
      </c>
      <c r="N971" t="s">
        <v>3822</v>
      </c>
    </row>
    <row r="972" spans="1:24" ht="14.25" customHeight="1">
      <c r="A972" t="s">
        <v>17</v>
      </c>
      <c r="B972" t="s">
        <v>4942</v>
      </c>
      <c r="E972" s="118" t="s">
        <v>961</v>
      </c>
      <c r="I972" s="213" t="str">
        <f t="shared" si="159"/>
        <v>note</v>
      </c>
      <c r="J972" s="106" t="s">
        <v>3478</v>
      </c>
      <c r="L972" s="118" t="str">
        <f t="shared" si="160"/>
        <v/>
      </c>
    </row>
    <row r="973" spans="1:24" ht="14.25" customHeight="1">
      <c r="A973" t="s">
        <v>955</v>
      </c>
      <c r="B973" t="s">
        <v>1582</v>
      </c>
      <c r="E973" s="118" t="s">
        <v>959</v>
      </c>
      <c r="H973" s="206" t="str">
        <f>"(8.04a) TOTAL NUMBER OF "&amp;E972&amp;" - "&amp;E973</f>
        <v>(8.04a) TOTAL NUMBER OF MONTH 2 - IN</v>
      </c>
      <c r="I973" s="213" t="str">
        <f t="shared" si="159"/>
        <v>integer</v>
      </c>
      <c r="J973" s="106" t="s">
        <v>6621</v>
      </c>
      <c r="K973" s="116" t="s">
        <v>2443</v>
      </c>
      <c r="L973" s="118" t="str">
        <f>IF(K973="yes",("Sorry, question MONTH 2 is required!"),"")</f>
        <v>Sorry, question MONTH 2 is required!</v>
      </c>
      <c r="M973" s="113" t="s">
        <v>5398</v>
      </c>
      <c r="N973" t="s">
        <v>3823</v>
      </c>
    </row>
    <row r="974" spans="1:24" ht="14.25" customHeight="1">
      <c r="A974" t="s">
        <v>955</v>
      </c>
      <c r="B974" t="s">
        <v>1583</v>
      </c>
      <c r="E974" s="118" t="s">
        <v>960</v>
      </c>
      <c r="H974" s="206" t="str">
        <f>"(8.04a) TOTAL NUMBER OF "&amp;E972&amp;" - "&amp;E974</f>
        <v>(8.04a) TOTAL NUMBER OF MONTH 2 - OUT</v>
      </c>
      <c r="I974" s="213" t="str">
        <f t="shared" si="159"/>
        <v>integer</v>
      </c>
      <c r="J974" s="106" t="s">
        <v>6626</v>
      </c>
      <c r="K974" s="116" t="s">
        <v>2443</v>
      </c>
      <c r="L974" s="118" t="str">
        <f>IF(K974="yes",("Sorry, question MONTH 2 is required!"),"")</f>
        <v>Sorry, question MONTH 2 is required!</v>
      </c>
      <c r="M974" s="113" t="s">
        <v>5398</v>
      </c>
      <c r="N974" t="s">
        <v>3824</v>
      </c>
    </row>
    <row r="975" spans="1:24" ht="14.25" customHeight="1">
      <c r="A975" t="s">
        <v>17</v>
      </c>
      <c r="B975" t="s">
        <v>4943</v>
      </c>
      <c r="E975" s="118" t="s">
        <v>962</v>
      </c>
      <c r="I975" s="213" t="str">
        <f t="shared" si="159"/>
        <v>note</v>
      </c>
      <c r="J975" s="106" t="s">
        <v>3480</v>
      </c>
      <c r="L975" s="118" t="str">
        <f t="shared" si="160"/>
        <v/>
      </c>
    </row>
    <row r="976" spans="1:24" ht="14.25" customHeight="1">
      <c r="A976" t="s">
        <v>955</v>
      </c>
      <c r="B976" t="s">
        <v>1584</v>
      </c>
      <c r="E976" s="118" t="s">
        <v>959</v>
      </c>
      <c r="H976" s="206" t="str">
        <f>"(8.04a) TOTAL NUMBER OF "&amp;E975&amp;" - "&amp;E976</f>
        <v>(8.04a) TOTAL NUMBER OF MONTH 3 - IN</v>
      </c>
      <c r="I976" s="213" t="str">
        <f t="shared" si="159"/>
        <v>integer</v>
      </c>
      <c r="J976" s="106" t="s">
        <v>6627</v>
      </c>
      <c r="K976" s="116" t="s">
        <v>2443</v>
      </c>
      <c r="L976" s="118" t="str">
        <f>IF(K976="yes",("Sorry, question MONTH 3 is required!"),"")</f>
        <v>Sorry, question MONTH 3 is required!</v>
      </c>
      <c r="M976" s="113" t="s">
        <v>5398</v>
      </c>
      <c r="N976" t="s">
        <v>3985</v>
      </c>
    </row>
    <row r="977" spans="1:24" ht="14.25" customHeight="1">
      <c r="A977" t="s">
        <v>955</v>
      </c>
      <c r="B977" t="s">
        <v>1585</v>
      </c>
      <c r="E977" s="118" t="s">
        <v>960</v>
      </c>
      <c r="H977" s="206" t="str">
        <f>"(8.04a) TOTAL NUMBER OF "&amp;E975&amp;" - "&amp;E977</f>
        <v>(8.04a) TOTAL NUMBER OF MONTH 3 - OUT</v>
      </c>
      <c r="I977" s="213" t="str">
        <f t="shared" si="159"/>
        <v>integer</v>
      </c>
      <c r="J977" s="106" t="s">
        <v>6628</v>
      </c>
      <c r="K977" s="116" t="s">
        <v>2443</v>
      </c>
      <c r="L977" s="118" t="str">
        <f>IF(K977="yes",("Sorry, question MONTH 3 is required!"),"")</f>
        <v>Sorry, question MONTH 3 is required!</v>
      </c>
      <c r="M977" s="113" t="s">
        <v>5398</v>
      </c>
      <c r="N977" t="s">
        <v>3986</v>
      </c>
    </row>
    <row r="978" spans="1:24" ht="14.25" customHeight="1">
      <c r="A978" t="s">
        <v>15</v>
      </c>
      <c r="E978" s="118" t="s">
        <v>1067</v>
      </c>
      <c r="L978" s="118" t="str">
        <f>IF(K978="yes",("Sorry, question "&amp;LEFT(E978, 6)&amp;" is required!"),"")</f>
        <v/>
      </c>
      <c r="X978" t="s">
        <v>3032</v>
      </c>
    </row>
    <row r="979" spans="1:24" ht="14.25" customHeight="1">
      <c r="A979" t="s">
        <v>954</v>
      </c>
      <c r="B979" t="s">
        <v>3154</v>
      </c>
      <c r="E979" s="118" t="s">
        <v>1067</v>
      </c>
      <c r="J979" s="106" t="s">
        <v>13</v>
      </c>
      <c r="L979" s="118" t="str">
        <f>IF(K979="yes",("Sorry, question "&amp;LEFT(E979, 6)&amp;" is required!"),"")</f>
        <v/>
      </c>
      <c r="X979" t="s">
        <v>3032</v>
      </c>
    </row>
    <row r="980" spans="1:24" ht="14.25" customHeight="1">
      <c r="A980" t="s">
        <v>23</v>
      </c>
      <c r="B980" s="107" t="s">
        <v>1586</v>
      </c>
      <c r="E980" s="132" t="s">
        <v>4944</v>
      </c>
      <c r="F980" s="118" t="s">
        <v>3396</v>
      </c>
      <c r="I980" s="213" t="str">
        <f t="shared" si="159"/>
        <v>select_one yesno</v>
      </c>
      <c r="J980" s="106" t="s">
        <v>1876</v>
      </c>
    </row>
    <row r="981" spans="1:24" ht="14.25" customHeight="1">
      <c r="A981" t="s">
        <v>23</v>
      </c>
      <c r="B981" t="s">
        <v>1587</v>
      </c>
      <c r="E981" s="118" t="s">
        <v>951</v>
      </c>
      <c r="H981" s="206" t="str">
        <f>"(8.01b) Does this facility provide &lt;b&gt;Injection&lt;/b&gt; within "&amp;E981</f>
        <v>(8.01b) Does this facility provide &lt;b&gt;Injection&lt;/b&gt; within In-facility</v>
      </c>
      <c r="I981" s="213" t="str">
        <f t="shared" si="159"/>
        <v>select_one yesno</v>
      </c>
      <c r="J981" s="106" t="s">
        <v>1878</v>
      </c>
      <c r="K981" s="116" t="s">
        <v>2443</v>
      </c>
      <c r="L981" s="118" t="str">
        <f>IF(K981="yes",("Sorry, question (8.01"&amp;RIGHT($B$980,1)&amp;") is required!"),"")</f>
        <v>Sorry, question (8.01b) is required!</v>
      </c>
    </row>
    <row r="982" spans="1:24" ht="14.25" customHeight="1">
      <c r="A982" t="s">
        <v>23</v>
      </c>
      <c r="B982" t="s">
        <v>1588</v>
      </c>
      <c r="E982" s="118" t="s">
        <v>953</v>
      </c>
      <c r="H982" s="206" t="str">
        <f>"(8.01b) Does this facility provide &lt;b&gt;Injection&lt;/b&gt; within "&amp;E982</f>
        <v>(8.01b) Does this facility provide &lt;b&gt;Injection&lt;/b&gt; within Outreach</v>
      </c>
      <c r="I982" s="213" t="str">
        <f t="shared" si="159"/>
        <v>select_one yesno</v>
      </c>
      <c r="J982" s="106" t="s">
        <v>1878</v>
      </c>
      <c r="K982" s="116" t="s">
        <v>2443</v>
      </c>
      <c r="L982" s="118" t="str">
        <f>IF(K982="yes",("Sorry, question (8.01"&amp;RIGHT($B$980,1)&amp;") is required!"),"")</f>
        <v>Sorry, question (8.01b) is required!</v>
      </c>
    </row>
    <row r="983" spans="1:24" ht="14.25" customHeight="1">
      <c r="A983" t="s">
        <v>955</v>
      </c>
      <c r="B983" t="s">
        <v>1589</v>
      </c>
      <c r="E983" s="118" t="s">
        <v>1937</v>
      </c>
      <c r="F983" s="118" t="s">
        <v>6622</v>
      </c>
      <c r="H983" s="206" t="str">
        <f>E983</f>
        <v>(8.02b) How many days per week is this service offered?</v>
      </c>
      <c r="I983" s="213" t="str">
        <f t="shared" si="159"/>
        <v>integer</v>
      </c>
      <c r="J983" s="106" t="s">
        <v>6625</v>
      </c>
      <c r="K983" s="116" t="s">
        <v>2443</v>
      </c>
      <c r="L983" s="118" t="str">
        <f>IF(K983="yes",("Sorry, question "&amp;LEFT(E983, 7)&amp;" is required!"),"")</f>
        <v>Sorry, question (8.02b) is required!</v>
      </c>
      <c r="M983" s="113" t="s">
        <v>6618</v>
      </c>
      <c r="N983" t="s">
        <v>3825</v>
      </c>
      <c r="O983" s="110" t="s">
        <v>1552</v>
      </c>
    </row>
    <row r="984" spans="1:24" ht="14.25" customHeight="1">
      <c r="A984" t="s">
        <v>955</v>
      </c>
      <c r="B984" t="s">
        <v>1590</v>
      </c>
      <c r="E984" s="118" t="s">
        <v>1971</v>
      </c>
      <c r="F984" s="118" t="s">
        <v>1881</v>
      </c>
      <c r="H984" s="206" t="str">
        <f>E984</f>
        <v>(8.03b) What is the total price in Dalasi charged for Injection? INTERVIEWER: IF NO CHARGE, RECORD "0".</v>
      </c>
      <c r="I984" s="213" t="str">
        <f t="shared" si="159"/>
        <v>integer</v>
      </c>
      <c r="J984" s="106" t="s">
        <v>3379</v>
      </c>
      <c r="K984" s="116" t="s">
        <v>2443</v>
      </c>
      <c r="L984" s="118" t="str">
        <f>IF(K984="yes",("Sorry, question "&amp;LEFT(E984, 7)&amp;" is required!"),"")</f>
        <v>Sorry, question (8.03b) is required!</v>
      </c>
      <c r="M984" s="113" t="s">
        <v>2504</v>
      </c>
      <c r="N984" t="s">
        <v>3826</v>
      </c>
      <c r="O984" s="110" t="s">
        <v>1552</v>
      </c>
    </row>
    <row r="985" spans="1:24" ht="14.25" customHeight="1">
      <c r="A985" t="s">
        <v>15</v>
      </c>
      <c r="E985" s="118" t="s">
        <v>1067</v>
      </c>
      <c r="I985" s="213" t="str">
        <f t="shared" si="159"/>
        <v>end group</v>
      </c>
      <c r="X985" t="s">
        <v>3032</v>
      </c>
    </row>
    <row r="986" spans="1:24" ht="14.25" customHeight="1">
      <c r="A986" t="s">
        <v>954</v>
      </c>
      <c r="B986" t="s">
        <v>3156</v>
      </c>
      <c r="E986" s="118" t="s">
        <v>1067</v>
      </c>
      <c r="I986" s="213" t="str">
        <f t="shared" si="159"/>
        <v>begin group</v>
      </c>
      <c r="J986" s="106" t="s">
        <v>3371</v>
      </c>
      <c r="L986" s="118" t="str">
        <f>IF(K986="yes",("Sorry, question "&amp;LEFT(E986, 6)&amp;" is required!"),"")</f>
        <v/>
      </c>
      <c r="O986" s="110" t="s">
        <v>1552</v>
      </c>
      <c r="X986" t="s">
        <v>3032</v>
      </c>
    </row>
    <row r="987" spans="1:24" ht="14.25" customHeight="1">
      <c r="A987" t="s">
        <v>17</v>
      </c>
      <c r="B987" t="s">
        <v>4945</v>
      </c>
      <c r="E987" s="118" t="s">
        <v>3155</v>
      </c>
      <c r="F987" s="117" t="s">
        <v>6662</v>
      </c>
      <c r="I987" s="213" t="str">
        <f t="shared" si="159"/>
        <v>note</v>
      </c>
      <c r="J987" s="106" t="s">
        <v>3370</v>
      </c>
      <c r="L987" s="118" t="str">
        <f>IF(K987="yes",("Sorry, question "&amp;LEFT(E987, 6)&amp;" is required!"),"")</f>
        <v/>
      </c>
    </row>
    <row r="988" spans="1:24" ht="14.25" customHeight="1">
      <c r="A988" t="s">
        <v>17</v>
      </c>
      <c r="B988" t="s">
        <v>4946</v>
      </c>
      <c r="E988" s="118" t="s">
        <v>958</v>
      </c>
      <c r="I988" s="213" t="str">
        <f t="shared" si="159"/>
        <v>note</v>
      </c>
      <c r="J988" s="106" t="s">
        <v>3477</v>
      </c>
      <c r="L988" s="118" t="str">
        <f>IF(K988="yes",("Sorry, question "&amp;LEFT(E988, 6)&amp;" is required!"),"")</f>
        <v/>
      </c>
    </row>
    <row r="989" spans="1:24" ht="14.25" customHeight="1">
      <c r="A989" t="s">
        <v>955</v>
      </c>
      <c r="B989" t="s">
        <v>1591</v>
      </c>
      <c r="E989" s="118" t="s">
        <v>959</v>
      </c>
      <c r="H989" s="206" t="str">
        <f>"(8.04b) TOTAL NUMBER OF "&amp;E988&amp;" - "&amp;E989</f>
        <v>(8.04b) TOTAL NUMBER OF MONTH 1 - IN</v>
      </c>
      <c r="I989" s="213" t="str">
        <f t="shared" si="159"/>
        <v>integer</v>
      </c>
      <c r="J989" s="106" t="s">
        <v>4907</v>
      </c>
      <c r="K989" s="116" t="s">
        <v>2443</v>
      </c>
      <c r="L989" s="118" t="str">
        <f>IF(K989="yes",("Sorry, question MONTH 1 is required!"),"")</f>
        <v>Sorry, question MONTH 1 is required!</v>
      </c>
      <c r="M989" s="113" t="s">
        <v>5398</v>
      </c>
      <c r="N989" t="s">
        <v>3827</v>
      </c>
    </row>
    <row r="990" spans="1:24" ht="14.25" customHeight="1">
      <c r="A990" t="s">
        <v>955</v>
      </c>
      <c r="B990" t="s">
        <v>1592</v>
      </c>
      <c r="E990" s="118" t="s">
        <v>960</v>
      </c>
      <c r="H990" s="206" t="str">
        <f>"(8.04b) TOTAL NUMBER OF "&amp;E988&amp;" - "&amp;E990</f>
        <v>(8.04b) TOTAL NUMBER OF MONTH 1 - OUT</v>
      </c>
      <c r="I990" s="213" t="str">
        <f t="shared" si="159"/>
        <v>integer</v>
      </c>
      <c r="J990" s="106" t="s">
        <v>4908</v>
      </c>
      <c r="K990" s="116" t="s">
        <v>2443</v>
      </c>
      <c r="L990" s="118" t="str">
        <f t="shared" ref="L990:L994" si="161">IF(K990="yes",("Sorry, question MONTH 1 is required!"),"")</f>
        <v>Sorry, question MONTH 1 is required!</v>
      </c>
      <c r="M990" s="113" t="s">
        <v>5398</v>
      </c>
      <c r="N990" t="s">
        <v>3828</v>
      </c>
    </row>
    <row r="991" spans="1:24" ht="14.25" customHeight="1">
      <c r="A991" t="s">
        <v>17</v>
      </c>
      <c r="B991" t="s">
        <v>4947</v>
      </c>
      <c r="E991" s="118" t="s">
        <v>961</v>
      </c>
      <c r="I991" s="213" t="str">
        <f t="shared" si="159"/>
        <v>note</v>
      </c>
      <c r="J991" s="106" t="s">
        <v>3478</v>
      </c>
      <c r="L991" s="118" t="str">
        <f t="shared" si="161"/>
        <v/>
      </c>
    </row>
    <row r="992" spans="1:24" ht="14.25" customHeight="1">
      <c r="A992" t="s">
        <v>955</v>
      </c>
      <c r="B992" t="s">
        <v>4949</v>
      </c>
      <c r="E992" s="118" t="s">
        <v>959</v>
      </c>
      <c r="H992" s="206" t="str">
        <f>"(8.04b) TOTAL NUMBER OF "&amp;E991&amp;" - "&amp;E992</f>
        <v>(8.04b) TOTAL NUMBER OF MONTH 2 - IN</v>
      </c>
      <c r="I992" s="213" t="str">
        <f t="shared" si="159"/>
        <v>integer</v>
      </c>
      <c r="J992" s="106" t="s">
        <v>6621</v>
      </c>
      <c r="K992" s="116" t="s">
        <v>2443</v>
      </c>
      <c r="L992" s="118" t="str">
        <f>IF(K992="yes",("Sorry, question MONTH 2 is required!"),"")</f>
        <v>Sorry, question MONTH 2 is required!</v>
      </c>
      <c r="M992" s="113" t="s">
        <v>5398</v>
      </c>
      <c r="N992" t="s">
        <v>3829</v>
      </c>
    </row>
    <row r="993" spans="1:24" ht="14.25" customHeight="1">
      <c r="A993" t="s">
        <v>955</v>
      </c>
      <c r="B993" t="s">
        <v>4950</v>
      </c>
      <c r="E993" s="118" t="s">
        <v>960</v>
      </c>
      <c r="H993" s="206" t="str">
        <f>"(8.04b) TOTAL NUMBER OF "&amp;E991&amp;" - "&amp;E993</f>
        <v>(8.04b) TOTAL NUMBER OF MONTH 2 - OUT</v>
      </c>
      <c r="I993" s="213" t="str">
        <f t="shared" si="159"/>
        <v>integer</v>
      </c>
      <c r="J993" s="106" t="s">
        <v>6626</v>
      </c>
      <c r="K993" s="116" t="s">
        <v>2443</v>
      </c>
      <c r="L993" s="118" t="str">
        <f>IF(K993="yes",("Sorry, question MONTH 2 is required!"),"")</f>
        <v>Sorry, question MONTH 2 is required!</v>
      </c>
      <c r="M993" s="113" t="s">
        <v>5398</v>
      </c>
      <c r="N993" t="s">
        <v>3830</v>
      </c>
    </row>
    <row r="994" spans="1:24" ht="14.25" customHeight="1">
      <c r="A994" t="s">
        <v>17</v>
      </c>
      <c r="B994" t="s">
        <v>4948</v>
      </c>
      <c r="E994" s="118" t="s">
        <v>962</v>
      </c>
      <c r="I994" s="213" t="str">
        <f t="shared" si="159"/>
        <v>note</v>
      </c>
      <c r="J994" s="106" t="s">
        <v>3480</v>
      </c>
      <c r="L994" s="118" t="str">
        <f t="shared" si="161"/>
        <v/>
      </c>
    </row>
    <row r="995" spans="1:24" ht="14.25" customHeight="1">
      <c r="A995" t="s">
        <v>955</v>
      </c>
      <c r="B995" t="s">
        <v>4951</v>
      </c>
      <c r="E995" s="118" t="s">
        <v>959</v>
      </c>
      <c r="H995" s="206" t="str">
        <f>"(8.04b) TOTAL NUMBER OF "&amp;E994&amp;" - "&amp;E995</f>
        <v>(8.04b) TOTAL NUMBER OF MONTH 3 - IN</v>
      </c>
      <c r="I995" s="213" t="str">
        <f t="shared" si="159"/>
        <v>integer</v>
      </c>
      <c r="J995" s="106" t="s">
        <v>6629</v>
      </c>
      <c r="K995" s="116" t="s">
        <v>2443</v>
      </c>
      <c r="L995" s="118" t="str">
        <f>IF(K995="yes",("Sorry, question MONTH 3 is required!"),"")</f>
        <v>Sorry, question MONTH 3 is required!</v>
      </c>
      <c r="M995" s="113" t="s">
        <v>5398</v>
      </c>
      <c r="N995" t="s">
        <v>3987</v>
      </c>
    </row>
    <row r="996" spans="1:24" ht="14.25" customHeight="1">
      <c r="A996" t="s">
        <v>955</v>
      </c>
      <c r="B996" t="s">
        <v>4952</v>
      </c>
      <c r="E996" s="118" t="s">
        <v>960</v>
      </c>
      <c r="H996" s="206" t="str">
        <f>"(8.04b) TOTAL NUMBER OF "&amp;E994&amp;" - "&amp;E996</f>
        <v>(8.04b) TOTAL NUMBER OF MONTH 3 - OUT</v>
      </c>
      <c r="I996" s="213" t="str">
        <f t="shared" si="159"/>
        <v>integer</v>
      </c>
      <c r="J996" s="106" t="s">
        <v>6630</v>
      </c>
      <c r="K996" s="116" t="s">
        <v>2443</v>
      </c>
      <c r="L996" s="118" t="str">
        <f>IF(K996="yes",("Sorry, question MONTH 3 is required!"),"")</f>
        <v>Sorry, question MONTH 3 is required!</v>
      </c>
      <c r="M996" s="113" t="s">
        <v>5398</v>
      </c>
      <c r="N996" t="s">
        <v>3988</v>
      </c>
    </row>
    <row r="997" spans="1:24" ht="14.25" customHeight="1">
      <c r="A997" t="s">
        <v>15</v>
      </c>
      <c r="E997" s="118" t="s">
        <v>1067</v>
      </c>
      <c r="L997" s="118" t="str">
        <f>IF(K997="yes",("Sorry, question "&amp;LEFT(E997, 6)&amp;" is required!"),"")</f>
        <v/>
      </c>
      <c r="X997" t="s">
        <v>3032</v>
      </c>
    </row>
    <row r="998" spans="1:24" ht="14.25" customHeight="1">
      <c r="A998" t="s">
        <v>954</v>
      </c>
      <c r="B998" t="s">
        <v>3157</v>
      </c>
      <c r="E998" s="118" t="s">
        <v>1067</v>
      </c>
      <c r="J998" s="106" t="s">
        <v>13</v>
      </c>
      <c r="L998" s="118" t="str">
        <f>IF(K998="yes",("Sorry, question "&amp;LEFT(E998, 6)&amp;" is required!"),"")</f>
        <v/>
      </c>
      <c r="X998" t="s">
        <v>3032</v>
      </c>
    </row>
    <row r="999" spans="1:24" ht="14.25" customHeight="1">
      <c r="A999" t="s">
        <v>23</v>
      </c>
      <c r="B999" s="107" t="s">
        <v>1593</v>
      </c>
      <c r="E999" s="132" t="s">
        <v>5405</v>
      </c>
      <c r="F999" s="118" t="s">
        <v>3396</v>
      </c>
      <c r="I999" s="213" t="str">
        <f t="shared" si="159"/>
        <v>select_one yesno</v>
      </c>
      <c r="J999" s="106" t="s">
        <v>1876</v>
      </c>
    </row>
    <row r="1000" spans="1:24" ht="14.25" customHeight="1">
      <c r="A1000" t="s">
        <v>23</v>
      </c>
      <c r="B1000" t="s">
        <v>1594</v>
      </c>
      <c r="E1000" s="118" t="s">
        <v>951</v>
      </c>
      <c r="H1000" s="206" t="str">
        <f>"(8.01c) Does this facility provide &lt;b&gt;Implant insertion&lt;/b&gt; within "&amp;E1000</f>
        <v>(8.01c) Does this facility provide &lt;b&gt;Implant insertion&lt;/b&gt; within In-facility</v>
      </c>
      <c r="I1000" s="213" t="str">
        <f t="shared" si="159"/>
        <v>select_one yesno</v>
      </c>
      <c r="J1000" s="106" t="s">
        <v>1878</v>
      </c>
      <c r="K1000" s="116" t="s">
        <v>2443</v>
      </c>
      <c r="L1000" s="118" t="str">
        <f>IF(K1000="yes",("Sorry, question (8.01"&amp;RIGHT(B999,1)&amp;") is required!"),"")</f>
        <v>Sorry, question (8.01c) is required!</v>
      </c>
    </row>
    <row r="1001" spans="1:24" ht="14.25" customHeight="1">
      <c r="A1001" t="s">
        <v>23</v>
      </c>
      <c r="B1001" t="s">
        <v>1595</v>
      </c>
      <c r="E1001" s="118" t="s">
        <v>953</v>
      </c>
      <c r="H1001" s="206" t="str">
        <f>"(8.01c) Does this facility provide &lt;b&gt;Implant insertion&lt;/b&gt; within "&amp;E1001</f>
        <v>(8.01c) Does this facility provide &lt;b&gt;Implant insertion&lt;/b&gt; within Outreach</v>
      </c>
      <c r="I1001" s="213" t="str">
        <f t="shared" si="159"/>
        <v>select_one yesno</v>
      </c>
      <c r="J1001" s="106" t="s">
        <v>1878</v>
      </c>
      <c r="K1001" s="116" t="s">
        <v>2443</v>
      </c>
      <c r="L1001" s="118" t="str">
        <f>IF(K1001="yes",("Sorry, question (8.01"&amp;RIGHT(B999,1)&amp;") is required!"),"")</f>
        <v>Sorry, question (8.01c) is required!</v>
      </c>
    </row>
    <row r="1002" spans="1:24" ht="14.25" customHeight="1">
      <c r="A1002" t="s">
        <v>955</v>
      </c>
      <c r="B1002" t="s">
        <v>1596</v>
      </c>
      <c r="E1002" s="118" t="s">
        <v>1938</v>
      </c>
      <c r="F1002" s="118" t="s">
        <v>6622</v>
      </c>
      <c r="H1002" s="206" t="str">
        <f>E1002</f>
        <v>(8.02c) How many days per week is this service offered?</v>
      </c>
      <c r="I1002" s="213" t="str">
        <f t="shared" si="159"/>
        <v>integer</v>
      </c>
      <c r="J1002" s="106" t="s">
        <v>6625</v>
      </c>
      <c r="K1002" s="116" t="s">
        <v>2443</v>
      </c>
      <c r="L1002" s="118" t="str">
        <f>IF(K1002="yes",("Sorry, question "&amp;LEFT(E1002, 7)&amp;" is required!"),"")</f>
        <v>Sorry, question (8.02c) is required!</v>
      </c>
      <c r="M1002" s="113" t="s">
        <v>6618</v>
      </c>
      <c r="N1002" t="s">
        <v>3831</v>
      </c>
      <c r="O1002" s="110" t="s">
        <v>1553</v>
      </c>
    </row>
    <row r="1003" spans="1:24" ht="14.25" customHeight="1">
      <c r="A1003" t="s">
        <v>955</v>
      </c>
      <c r="B1003" t="s">
        <v>1597</v>
      </c>
      <c r="E1003" s="118" t="s">
        <v>5406</v>
      </c>
      <c r="F1003" s="118" t="s">
        <v>1882</v>
      </c>
      <c r="H1003" s="206" t="str">
        <f>E1003</f>
        <v>(8.03c) What is the total price in Dalasi charged for &lt;b&gt;Implant insertion&lt;/b&gt;? INTERVIEWER: IF NO CHARGE, RECORD "0".</v>
      </c>
      <c r="I1003" s="213" t="str">
        <f t="shared" si="159"/>
        <v>integer</v>
      </c>
      <c r="J1003" s="106" t="s">
        <v>3379</v>
      </c>
      <c r="K1003" s="116" t="s">
        <v>2443</v>
      </c>
      <c r="L1003" s="118" t="str">
        <f>IF(K1003="yes",("Sorry, question "&amp;LEFT(E1003, 7)&amp;" is required!"),"")</f>
        <v>Sorry, question (8.03c) is required!</v>
      </c>
      <c r="M1003" s="113" t="s">
        <v>5398</v>
      </c>
      <c r="N1003" t="s">
        <v>3832</v>
      </c>
      <c r="O1003" s="110" t="s">
        <v>1553</v>
      </c>
    </row>
    <row r="1004" spans="1:24" ht="14.25" customHeight="1">
      <c r="A1004" t="s">
        <v>15</v>
      </c>
      <c r="E1004" s="118" t="s">
        <v>1067</v>
      </c>
      <c r="X1004" t="s">
        <v>3032</v>
      </c>
    </row>
    <row r="1005" spans="1:24" ht="14.25" customHeight="1">
      <c r="A1005" t="s">
        <v>954</v>
      </c>
      <c r="B1005" t="s">
        <v>3160</v>
      </c>
      <c r="E1005" s="118" t="s">
        <v>1067</v>
      </c>
      <c r="J1005" s="106" t="s">
        <v>3371</v>
      </c>
      <c r="L1005" s="118" t="str">
        <f>IF(K1005="yes",("Sorry, question "&amp;LEFT(E1005, 6)&amp;" is required!"),"")</f>
        <v/>
      </c>
      <c r="O1005" s="110" t="s">
        <v>1553</v>
      </c>
      <c r="X1005" t="s">
        <v>3032</v>
      </c>
    </row>
    <row r="1006" spans="1:24" ht="14.25" customHeight="1">
      <c r="A1006" t="s">
        <v>17</v>
      </c>
      <c r="B1006" t="s">
        <v>4953</v>
      </c>
      <c r="E1006" s="118" t="s">
        <v>5407</v>
      </c>
      <c r="F1006" s="117" t="s">
        <v>6662</v>
      </c>
      <c r="I1006" s="213" t="str">
        <f t="shared" si="159"/>
        <v>note</v>
      </c>
      <c r="J1006" s="106" t="s">
        <v>3370</v>
      </c>
      <c r="L1006" s="118" t="str">
        <f>IF(K1006="yes",("Sorry, question "&amp;LEFT(E1006, 6)&amp;" is required!"),"")</f>
        <v/>
      </c>
    </row>
    <row r="1007" spans="1:24" ht="14.25" customHeight="1">
      <c r="A1007" t="s">
        <v>17</v>
      </c>
      <c r="B1007" t="s">
        <v>4954</v>
      </c>
      <c r="E1007" s="118" t="s">
        <v>958</v>
      </c>
      <c r="I1007" s="213" t="str">
        <f t="shared" si="159"/>
        <v>note</v>
      </c>
      <c r="J1007" s="106" t="s">
        <v>3477</v>
      </c>
      <c r="L1007" s="118" t="str">
        <f>IF(K1007="yes",("Sorry, question "&amp;LEFT(E1007, 6)&amp;" is required!"),"")</f>
        <v/>
      </c>
    </row>
    <row r="1008" spans="1:24" ht="14.25" customHeight="1">
      <c r="A1008" t="s">
        <v>955</v>
      </c>
      <c r="B1008" t="s">
        <v>4955</v>
      </c>
      <c r="E1008" s="118" t="s">
        <v>959</v>
      </c>
      <c r="H1008" s="206" t="str">
        <f>"(8.04c) TOTAL NUMBER OF "&amp;E1007&amp;" - "&amp;E1008</f>
        <v>(8.04c) TOTAL NUMBER OF MONTH 1 - IN</v>
      </c>
      <c r="I1008" s="213" t="str">
        <f t="shared" si="159"/>
        <v>integer</v>
      </c>
      <c r="J1008" s="106" t="s">
        <v>4907</v>
      </c>
      <c r="K1008" s="116" t="s">
        <v>2443</v>
      </c>
      <c r="L1008" s="118" t="str">
        <f>IF(K1008="yes",("Sorry, question MONTH 1 is required!"),"")</f>
        <v>Sorry, question MONTH 1 is required!</v>
      </c>
      <c r="M1008" s="113" t="s">
        <v>5398</v>
      </c>
      <c r="N1008" t="s">
        <v>3834</v>
      </c>
    </row>
    <row r="1009" spans="1:24" ht="14.25" customHeight="1">
      <c r="A1009" t="s">
        <v>955</v>
      </c>
      <c r="B1009" t="s">
        <v>4956</v>
      </c>
      <c r="E1009" s="118" t="s">
        <v>960</v>
      </c>
      <c r="H1009" s="206" t="str">
        <f>"(8.04c) TOTAL NUMBER OF "&amp;E1007&amp;" - "&amp;E1009</f>
        <v>(8.04c) TOTAL NUMBER OF MONTH 1 - OUT</v>
      </c>
      <c r="I1009" s="213" t="str">
        <f t="shared" si="159"/>
        <v>integer</v>
      </c>
      <c r="J1009" s="106" t="s">
        <v>4908</v>
      </c>
      <c r="K1009" s="116" t="s">
        <v>2443</v>
      </c>
      <c r="L1009" s="118" t="str">
        <f t="shared" ref="L1009:L1013" si="162">IF(K1009="yes",("Sorry, question MONTH 1 is required!"),"")</f>
        <v>Sorry, question MONTH 1 is required!</v>
      </c>
      <c r="M1009" s="113" t="s">
        <v>5398</v>
      </c>
      <c r="N1009" t="s">
        <v>3835</v>
      </c>
    </row>
    <row r="1010" spans="1:24" ht="14.25" customHeight="1">
      <c r="A1010" t="s">
        <v>17</v>
      </c>
      <c r="B1010" t="s">
        <v>4957</v>
      </c>
      <c r="E1010" s="118" t="s">
        <v>961</v>
      </c>
      <c r="I1010" s="213" t="str">
        <f t="shared" si="159"/>
        <v>note</v>
      </c>
      <c r="J1010" s="106" t="s">
        <v>3478</v>
      </c>
      <c r="L1010" s="118" t="str">
        <f t="shared" si="162"/>
        <v/>
      </c>
    </row>
    <row r="1011" spans="1:24" ht="14.25" customHeight="1">
      <c r="A1011" t="s">
        <v>955</v>
      </c>
      <c r="B1011" t="s">
        <v>4958</v>
      </c>
      <c r="E1011" s="118" t="s">
        <v>959</v>
      </c>
      <c r="H1011" s="206" t="str">
        <f>"(8.04c) TOTAL NUMBER OF "&amp;E1010&amp;" - "&amp;E1011</f>
        <v>(8.04c) TOTAL NUMBER OF MONTH 2 - IN</v>
      </c>
      <c r="I1011" s="213" t="str">
        <f t="shared" si="159"/>
        <v>integer</v>
      </c>
      <c r="J1011" s="106" t="s">
        <v>6621</v>
      </c>
      <c r="K1011" s="116" t="s">
        <v>2443</v>
      </c>
      <c r="L1011" s="118" t="str">
        <f>IF(K1011="yes",("Sorry, question MONTH 2 is required!"),"")</f>
        <v>Sorry, question MONTH 2 is required!</v>
      </c>
      <c r="M1011" s="113" t="s">
        <v>5398</v>
      </c>
      <c r="N1011" t="s">
        <v>3833</v>
      </c>
    </row>
    <row r="1012" spans="1:24" ht="14.25" customHeight="1">
      <c r="A1012" t="s">
        <v>955</v>
      </c>
      <c r="B1012" t="s">
        <v>4959</v>
      </c>
      <c r="E1012" s="118" t="s">
        <v>960</v>
      </c>
      <c r="H1012" s="206" t="str">
        <f>"(8.04c) TOTAL NUMBER OF "&amp;E1010&amp;" - "&amp;E1012</f>
        <v>(8.04c) TOTAL NUMBER OF MONTH 2 - OUT</v>
      </c>
      <c r="I1012" s="213" t="str">
        <f t="shared" si="159"/>
        <v>integer</v>
      </c>
      <c r="J1012" s="106" t="s">
        <v>6626</v>
      </c>
      <c r="K1012" s="116" t="s">
        <v>2443</v>
      </c>
      <c r="L1012" s="118" t="str">
        <f>IF(K1012="yes",("Sorry, question MONTH 2 is required!"),"")</f>
        <v>Sorry, question MONTH 2 is required!</v>
      </c>
      <c r="M1012" s="113" t="s">
        <v>5398</v>
      </c>
      <c r="N1012" t="s">
        <v>3836</v>
      </c>
    </row>
    <row r="1013" spans="1:24" ht="14.25" customHeight="1">
      <c r="A1013" t="s">
        <v>17</v>
      </c>
      <c r="B1013" t="s">
        <v>4960</v>
      </c>
      <c r="E1013" s="118" t="s">
        <v>962</v>
      </c>
      <c r="I1013" s="213" t="str">
        <f t="shared" si="159"/>
        <v>note</v>
      </c>
      <c r="J1013" s="106" t="s">
        <v>3480</v>
      </c>
      <c r="L1013" s="118" t="str">
        <f t="shared" si="162"/>
        <v/>
      </c>
    </row>
    <row r="1014" spans="1:24" ht="14.25" customHeight="1">
      <c r="A1014" t="s">
        <v>955</v>
      </c>
      <c r="B1014" t="s">
        <v>4961</v>
      </c>
      <c r="E1014" s="118" t="s">
        <v>959</v>
      </c>
      <c r="H1014" s="206" t="str">
        <f>"(8.04c) TOTAL NUMBER OF "&amp;E1013&amp;" - "&amp;E1014</f>
        <v>(8.04c) TOTAL NUMBER OF MONTH 3 - IN</v>
      </c>
      <c r="I1014" s="213" t="str">
        <f t="shared" si="159"/>
        <v>integer</v>
      </c>
      <c r="J1014" s="106" t="s">
        <v>6629</v>
      </c>
      <c r="K1014" s="116" t="s">
        <v>2443</v>
      </c>
      <c r="L1014" s="118" t="str">
        <f>IF(K1014="yes",("Sorry, question MONTH 3 is required!"),"")</f>
        <v>Sorry, question MONTH 3 is required!</v>
      </c>
      <c r="M1014" s="113" t="s">
        <v>5398</v>
      </c>
      <c r="N1014" t="s">
        <v>3989</v>
      </c>
    </row>
    <row r="1015" spans="1:24" ht="14.25" customHeight="1">
      <c r="A1015" t="s">
        <v>955</v>
      </c>
      <c r="B1015" t="s">
        <v>4962</v>
      </c>
      <c r="E1015" s="118" t="s">
        <v>960</v>
      </c>
      <c r="H1015" s="206" t="str">
        <f>"(8.04c) TOTAL NUMBER OF "&amp;E1013&amp;" - "&amp;E1015</f>
        <v>(8.04c) TOTAL NUMBER OF MONTH 3 - OUT</v>
      </c>
      <c r="I1015" s="213" t="str">
        <f t="shared" si="159"/>
        <v>integer</v>
      </c>
      <c r="J1015" s="106" t="s">
        <v>6630</v>
      </c>
      <c r="K1015" s="116" t="s">
        <v>2443</v>
      </c>
      <c r="L1015" s="118" t="str">
        <f>IF(K1015="yes",("Sorry, question MONTH 3 is required!"),"")</f>
        <v>Sorry, question MONTH 3 is required!</v>
      </c>
      <c r="M1015" s="113" t="s">
        <v>5398</v>
      </c>
      <c r="N1015" t="s">
        <v>3990</v>
      </c>
    </row>
    <row r="1016" spans="1:24" ht="14.25" customHeight="1">
      <c r="A1016" t="s">
        <v>15</v>
      </c>
      <c r="E1016" s="118" t="s">
        <v>1067</v>
      </c>
      <c r="L1016" s="118" t="str">
        <f>IF(K1016="yes",("Sorry, question "&amp;LEFT(E1016, 6)&amp;" is required!"),"")</f>
        <v/>
      </c>
      <c r="X1016" t="s">
        <v>3032</v>
      </c>
    </row>
    <row r="1017" spans="1:24" ht="14.25" customHeight="1">
      <c r="A1017" t="s">
        <v>954</v>
      </c>
      <c r="B1017" t="s">
        <v>3158</v>
      </c>
      <c r="E1017" s="118" t="s">
        <v>1067</v>
      </c>
      <c r="J1017" s="106" t="s">
        <v>13</v>
      </c>
      <c r="L1017" s="118" t="str">
        <f>IF(K1017="yes",("Sorry, question "&amp;LEFT(E1017, 6)&amp;" is required!"),"")</f>
        <v/>
      </c>
      <c r="X1017" t="s">
        <v>3032</v>
      </c>
    </row>
    <row r="1018" spans="1:24" ht="14.25" customHeight="1">
      <c r="A1018" t="s">
        <v>23</v>
      </c>
      <c r="B1018" s="107" t="s">
        <v>1598</v>
      </c>
      <c r="E1018" s="132" t="s">
        <v>4964</v>
      </c>
      <c r="F1018" s="118" t="s">
        <v>3396</v>
      </c>
      <c r="I1018" s="213" t="str">
        <f t="shared" si="159"/>
        <v>select_one yesno</v>
      </c>
      <c r="J1018" s="106" t="s">
        <v>1876</v>
      </c>
    </row>
    <row r="1019" spans="1:24" ht="14.25" customHeight="1">
      <c r="A1019" t="s">
        <v>23</v>
      </c>
      <c r="B1019" t="s">
        <v>1599</v>
      </c>
      <c r="E1019" s="118" t="s">
        <v>1972</v>
      </c>
      <c r="H1019" s="206" t="str">
        <f>"(8.01d) Does this facility provide &lt;b&gt;Male condoms&lt;/b&gt; within "&amp;E1019</f>
        <v>(8.01d) Does this facility provide &lt;b&gt;Male condoms&lt;/b&gt; within In-facility</v>
      </c>
      <c r="I1019" s="213" t="str">
        <f t="shared" si="159"/>
        <v>select_one yesno</v>
      </c>
      <c r="J1019" s="106" t="s">
        <v>1878</v>
      </c>
      <c r="K1019" s="116" t="s">
        <v>2443</v>
      </c>
      <c r="L1019" s="118" t="str">
        <f>IF(K1019="yes",("Sorry, question (8.01"&amp;RIGHT(B1018,1)&amp;") is required!"),"")</f>
        <v>Sorry, question (8.01d) is required!</v>
      </c>
    </row>
    <row r="1020" spans="1:24" ht="14.25" customHeight="1">
      <c r="A1020" t="s">
        <v>23</v>
      </c>
      <c r="B1020" t="s">
        <v>1600</v>
      </c>
      <c r="E1020" s="118" t="s">
        <v>953</v>
      </c>
      <c r="H1020" s="206" t="str">
        <f>"(8.01d) Does this facility provide &lt;b&gt;Male condoms&lt;/b&gt; within "&amp;E1020</f>
        <v>(8.01d) Does this facility provide &lt;b&gt;Male condoms&lt;/b&gt; within Outreach</v>
      </c>
      <c r="I1020" s="213" t="str">
        <f t="shared" si="159"/>
        <v>select_one yesno</v>
      </c>
      <c r="J1020" s="106" t="s">
        <v>1878</v>
      </c>
      <c r="K1020" s="116" t="s">
        <v>2443</v>
      </c>
      <c r="L1020" s="118" t="str">
        <f>IF(K1020="yes",("Sorry, question (8.01"&amp;RIGHT(B1018,1)&amp;") is required!"),"")</f>
        <v>Sorry, question (8.01d) is required!</v>
      </c>
    </row>
    <row r="1021" spans="1:24" ht="14.25" customHeight="1">
      <c r="A1021" t="s">
        <v>955</v>
      </c>
      <c r="B1021" t="s">
        <v>1601</v>
      </c>
      <c r="E1021" s="118" t="s">
        <v>3007</v>
      </c>
      <c r="F1021" s="118" t="s">
        <v>6622</v>
      </c>
      <c r="H1021" s="206" t="str">
        <f>E1021</f>
        <v>(8.02d) How many days per week is this service offered?</v>
      </c>
      <c r="I1021" s="213" t="str">
        <f t="shared" si="159"/>
        <v>integer</v>
      </c>
      <c r="J1021" s="106" t="s">
        <v>6625</v>
      </c>
      <c r="K1021" s="116" t="s">
        <v>2443</v>
      </c>
      <c r="L1021" s="118" t="str">
        <f>IF(K1021="yes",("Sorry, question "&amp;LEFT(E1021, 7)&amp;" is required!"),"")</f>
        <v>Sorry, question (8.02d) is required!</v>
      </c>
      <c r="M1021" s="113" t="s">
        <v>6618</v>
      </c>
      <c r="N1021" t="s">
        <v>3837</v>
      </c>
      <c r="O1021" s="110" t="s">
        <v>1554</v>
      </c>
    </row>
    <row r="1022" spans="1:24" ht="14.25" customHeight="1">
      <c r="A1022" t="s">
        <v>955</v>
      </c>
      <c r="B1022" t="s">
        <v>1602</v>
      </c>
      <c r="E1022" s="118" t="s">
        <v>1973</v>
      </c>
      <c r="F1022" s="118" t="s">
        <v>1881</v>
      </c>
      <c r="H1022" s="206" t="str">
        <f>E1022</f>
        <v>(8.03d) What is the total price in Dalasi charged for Male condoms? INTERVIEWER: IF NO CHARGE, RECORD "0".</v>
      </c>
      <c r="I1022" s="213" t="str">
        <f t="shared" si="159"/>
        <v>integer</v>
      </c>
      <c r="J1022" s="106" t="s">
        <v>3379</v>
      </c>
      <c r="K1022" s="116" t="s">
        <v>2443</v>
      </c>
      <c r="L1022" s="118" t="str">
        <f>IF(K1022="yes",("Sorry, question "&amp;LEFT(E1022, 7)&amp;" is required!"),"")</f>
        <v>Sorry, question (8.03d) is required!</v>
      </c>
      <c r="M1022" s="113" t="s">
        <v>5398</v>
      </c>
      <c r="N1022" t="s">
        <v>3838</v>
      </c>
      <c r="O1022" s="110" t="s">
        <v>1554</v>
      </c>
    </row>
    <row r="1023" spans="1:24" ht="14.25" customHeight="1">
      <c r="A1023" t="s">
        <v>15</v>
      </c>
      <c r="X1023" t="s">
        <v>3032</v>
      </c>
    </row>
    <row r="1024" spans="1:24" ht="14.25" customHeight="1">
      <c r="A1024" t="s">
        <v>954</v>
      </c>
      <c r="B1024" t="s">
        <v>3159</v>
      </c>
      <c r="E1024" s="118" t="s">
        <v>1067</v>
      </c>
      <c r="J1024" s="106" t="s">
        <v>3371</v>
      </c>
      <c r="L1024" s="118" t="str">
        <f>IF(K1024="yes",("Sorry, question "&amp;LEFT(E1024, 6)&amp;" is required!"),"")</f>
        <v/>
      </c>
      <c r="O1024" s="110" t="s">
        <v>1554</v>
      </c>
      <c r="X1024" t="s">
        <v>3032</v>
      </c>
    </row>
    <row r="1025" spans="1:24" ht="14.25" customHeight="1">
      <c r="A1025" t="s">
        <v>17</v>
      </c>
      <c r="B1025" t="s">
        <v>4963</v>
      </c>
      <c r="E1025" s="118" t="s">
        <v>3175</v>
      </c>
      <c r="F1025" s="117" t="s">
        <v>6662</v>
      </c>
      <c r="I1025" s="213" t="str">
        <f t="shared" ref="I1025:I1088" si="163">A1025</f>
        <v>note</v>
      </c>
      <c r="J1025" s="106" t="s">
        <v>3370</v>
      </c>
      <c r="L1025" s="118" t="str">
        <f>IF(K1025="yes",("Sorry, question "&amp;LEFT(E1025, 6)&amp;" is required!"),"")</f>
        <v/>
      </c>
    </row>
    <row r="1026" spans="1:24" ht="14.25" customHeight="1">
      <c r="A1026" t="s">
        <v>17</v>
      </c>
      <c r="B1026" t="s">
        <v>4965</v>
      </c>
      <c r="E1026" s="118" t="s">
        <v>958</v>
      </c>
      <c r="I1026" s="213" t="str">
        <f t="shared" si="163"/>
        <v>note</v>
      </c>
      <c r="J1026" s="106" t="s">
        <v>3477</v>
      </c>
      <c r="L1026" s="118" t="str">
        <f>IF(K1026="yes",("Sorry, question "&amp;LEFT(E1026, 6)&amp;" is required!"),"")</f>
        <v/>
      </c>
    </row>
    <row r="1027" spans="1:24" ht="14.25" customHeight="1">
      <c r="A1027" t="s">
        <v>955</v>
      </c>
      <c r="B1027" t="s">
        <v>4968</v>
      </c>
      <c r="E1027" s="118" t="s">
        <v>959</v>
      </c>
      <c r="H1027" s="206" t="str">
        <f>"(8.04d) TOTAL NUMBER OF "&amp;E1026&amp;" - "&amp;E1027</f>
        <v>(8.04d) TOTAL NUMBER OF MONTH 1 - IN</v>
      </c>
      <c r="I1027" s="213" t="str">
        <f t="shared" si="163"/>
        <v>integer</v>
      </c>
      <c r="J1027" s="106" t="s">
        <v>4907</v>
      </c>
      <c r="K1027" s="116" t="s">
        <v>2443</v>
      </c>
      <c r="L1027" s="118" t="str">
        <f>IF(K1027="yes",("Sorry, question MONTH 1 is required!"),"")</f>
        <v>Sorry, question MONTH 1 is required!</v>
      </c>
      <c r="M1027" s="113" t="s">
        <v>5398</v>
      </c>
      <c r="N1027" t="s">
        <v>3839</v>
      </c>
    </row>
    <row r="1028" spans="1:24" ht="14.25" customHeight="1">
      <c r="A1028" t="s">
        <v>955</v>
      </c>
      <c r="B1028" t="s">
        <v>4969</v>
      </c>
      <c r="E1028" s="118" t="s">
        <v>960</v>
      </c>
      <c r="H1028" s="206" t="str">
        <f>"(8.04d) TOTAL NUMBER OF "&amp;E1026&amp;" - "&amp;E1028</f>
        <v>(8.04d) TOTAL NUMBER OF MONTH 1 - OUT</v>
      </c>
      <c r="I1028" s="213" t="str">
        <f t="shared" si="163"/>
        <v>integer</v>
      </c>
      <c r="J1028" s="106" t="s">
        <v>4908</v>
      </c>
      <c r="K1028" s="116" t="s">
        <v>2443</v>
      </c>
      <c r="L1028" s="118" t="str">
        <f t="shared" ref="L1028:L1032" si="164">IF(K1028="yes",("Sorry, question MONTH 1 is required!"),"")</f>
        <v>Sorry, question MONTH 1 is required!</v>
      </c>
      <c r="M1028" s="113" t="s">
        <v>5398</v>
      </c>
      <c r="N1028" t="s">
        <v>3840</v>
      </c>
    </row>
    <row r="1029" spans="1:24" ht="14.25" customHeight="1">
      <c r="A1029" t="s">
        <v>17</v>
      </c>
      <c r="B1029" t="s">
        <v>4966</v>
      </c>
      <c r="E1029" s="118" t="s">
        <v>961</v>
      </c>
      <c r="I1029" s="213" t="str">
        <f t="shared" si="163"/>
        <v>note</v>
      </c>
      <c r="J1029" s="106" t="s">
        <v>3478</v>
      </c>
      <c r="L1029" s="118" t="str">
        <f t="shared" si="164"/>
        <v/>
      </c>
    </row>
    <row r="1030" spans="1:24" ht="14.25" customHeight="1">
      <c r="A1030" t="s">
        <v>955</v>
      </c>
      <c r="B1030" t="s">
        <v>4970</v>
      </c>
      <c r="E1030" s="118" t="s">
        <v>959</v>
      </c>
      <c r="H1030" s="206" t="str">
        <f>"(8.04d) TOTAL NUMBER OF "&amp;E1029&amp;" - "&amp;E1030</f>
        <v>(8.04d) TOTAL NUMBER OF MONTH 2 - IN</v>
      </c>
      <c r="I1030" s="213" t="str">
        <f t="shared" si="163"/>
        <v>integer</v>
      </c>
      <c r="J1030" s="106" t="s">
        <v>6621</v>
      </c>
      <c r="K1030" s="116" t="s">
        <v>2443</v>
      </c>
      <c r="L1030" s="118" t="str">
        <f>IF(K1030="yes",("Sorry, question MONTH 2 is required!"),"")</f>
        <v>Sorry, question MONTH 2 is required!</v>
      </c>
      <c r="M1030" s="113" t="s">
        <v>5398</v>
      </c>
      <c r="N1030" t="s">
        <v>3841</v>
      </c>
    </row>
    <row r="1031" spans="1:24" ht="14.25" customHeight="1">
      <c r="A1031" t="s">
        <v>955</v>
      </c>
      <c r="B1031" t="s">
        <v>4971</v>
      </c>
      <c r="E1031" s="118" t="s">
        <v>960</v>
      </c>
      <c r="H1031" s="206" t="str">
        <f>"(8.04d) TOTAL NUMBER OF "&amp;E1029&amp;" - "&amp;E1031</f>
        <v>(8.04d) TOTAL NUMBER OF MONTH 2 - OUT</v>
      </c>
      <c r="I1031" s="213" t="str">
        <f t="shared" si="163"/>
        <v>integer</v>
      </c>
      <c r="J1031" s="106" t="s">
        <v>6626</v>
      </c>
      <c r="K1031" s="116" t="s">
        <v>2443</v>
      </c>
      <c r="L1031" s="118" t="str">
        <f>IF(K1031="yes",("Sorry, question MONTH 2 is required!"),"")</f>
        <v>Sorry, question MONTH 2 is required!</v>
      </c>
      <c r="M1031" s="113" t="s">
        <v>5398</v>
      </c>
      <c r="N1031" t="s">
        <v>3842</v>
      </c>
    </row>
    <row r="1032" spans="1:24" ht="14.25" customHeight="1">
      <c r="A1032" t="s">
        <v>17</v>
      </c>
      <c r="B1032" t="s">
        <v>4967</v>
      </c>
      <c r="E1032" s="118" t="s">
        <v>962</v>
      </c>
      <c r="I1032" s="213" t="str">
        <f t="shared" si="163"/>
        <v>note</v>
      </c>
      <c r="J1032" s="106" t="s">
        <v>3480</v>
      </c>
      <c r="L1032" s="118" t="str">
        <f t="shared" si="164"/>
        <v/>
      </c>
    </row>
    <row r="1033" spans="1:24" ht="14.25" customHeight="1">
      <c r="A1033" t="s">
        <v>955</v>
      </c>
      <c r="B1033" t="s">
        <v>4972</v>
      </c>
      <c r="E1033" s="118" t="s">
        <v>959</v>
      </c>
      <c r="H1033" s="206" t="str">
        <f>"(8.04d) TOTAL NUMBER OF "&amp;E1032&amp;" - "&amp;E1033</f>
        <v>(8.04d) TOTAL NUMBER OF MONTH 3 - IN</v>
      </c>
      <c r="I1033" s="213" t="str">
        <f t="shared" si="163"/>
        <v>integer</v>
      </c>
      <c r="J1033" s="106" t="s">
        <v>6629</v>
      </c>
      <c r="K1033" s="116" t="s">
        <v>2443</v>
      </c>
      <c r="L1033" s="118" t="str">
        <f>IF(K1033="yes",("Sorry, question MONTH 3 is required!"),"")</f>
        <v>Sorry, question MONTH 3 is required!</v>
      </c>
      <c r="M1033" s="113" t="s">
        <v>5398</v>
      </c>
      <c r="N1033" t="s">
        <v>3991</v>
      </c>
    </row>
    <row r="1034" spans="1:24" ht="14.25" customHeight="1">
      <c r="A1034" t="s">
        <v>955</v>
      </c>
      <c r="B1034" t="s">
        <v>4973</v>
      </c>
      <c r="E1034" s="118" t="s">
        <v>960</v>
      </c>
      <c r="H1034" s="206" t="str">
        <f>"(8.04d) TOTAL NUMBER OF "&amp;E1032&amp;" - "&amp;E1034</f>
        <v>(8.04d) TOTAL NUMBER OF MONTH 3 - OUT</v>
      </c>
      <c r="I1034" s="213" t="str">
        <f t="shared" si="163"/>
        <v>integer</v>
      </c>
      <c r="J1034" s="106" t="s">
        <v>6630</v>
      </c>
      <c r="K1034" s="116" t="s">
        <v>2443</v>
      </c>
      <c r="L1034" s="118" t="str">
        <f>IF(K1034="yes",("Sorry, question MONTH 3 is required!"),"")</f>
        <v>Sorry, question MONTH 3 is required!</v>
      </c>
      <c r="M1034" s="113" t="s">
        <v>5398</v>
      </c>
      <c r="N1034" t="s">
        <v>3992</v>
      </c>
    </row>
    <row r="1035" spans="1:24" ht="14.25" customHeight="1">
      <c r="A1035" t="s">
        <v>15</v>
      </c>
      <c r="E1035" s="118" t="s">
        <v>1067</v>
      </c>
      <c r="I1035" s="213" t="str">
        <f t="shared" si="163"/>
        <v>end group</v>
      </c>
      <c r="L1035" s="118" t="str">
        <f>IF(K1035="yes",("Sorry, question "&amp;LEFT(E1035, 6)&amp;" is required!"),"")</f>
        <v/>
      </c>
      <c r="X1035" t="s">
        <v>3032</v>
      </c>
    </row>
    <row r="1036" spans="1:24" ht="14.25" customHeight="1">
      <c r="A1036" t="s">
        <v>954</v>
      </c>
      <c r="B1036" t="s">
        <v>3161</v>
      </c>
      <c r="E1036" s="118" t="s">
        <v>1067</v>
      </c>
      <c r="I1036" s="213" t="str">
        <f t="shared" si="163"/>
        <v>begin group</v>
      </c>
      <c r="J1036" s="106" t="s">
        <v>13</v>
      </c>
      <c r="L1036" s="118" t="str">
        <f>IF(K1036="yes",("Sorry, question "&amp;LEFT(E1036, 6)&amp;" is required!"),"")</f>
        <v/>
      </c>
      <c r="X1036" t="s">
        <v>3032</v>
      </c>
    </row>
    <row r="1037" spans="1:24" ht="14.25" customHeight="1">
      <c r="A1037" t="s">
        <v>1287</v>
      </c>
      <c r="B1037" s="107" t="s">
        <v>1603</v>
      </c>
      <c r="E1037" s="132" t="s">
        <v>5408</v>
      </c>
      <c r="F1037" s="118" t="s">
        <v>3396</v>
      </c>
      <c r="I1037" s="213" t="str">
        <f t="shared" si="163"/>
        <v>select_one yesno</v>
      </c>
      <c r="J1037" s="106" t="s">
        <v>1</v>
      </c>
    </row>
    <row r="1038" spans="1:24" ht="14.25" customHeight="1">
      <c r="A1038" t="s">
        <v>23</v>
      </c>
      <c r="B1038" t="s">
        <v>3162</v>
      </c>
      <c r="E1038" s="118" t="s">
        <v>1972</v>
      </c>
      <c r="H1038" s="206" t="str">
        <f>"(8.01e) Does this facility provide &lt;b&gt;Intrauterine Contraceptive Device (IUCD) insertion&lt;/b&gt; within "&amp;E1038</f>
        <v>(8.01e) Does this facility provide &lt;b&gt;Intrauterine Contraceptive Device (IUCD) insertion&lt;/b&gt; within In-facility</v>
      </c>
      <c r="I1038" s="213" t="str">
        <f t="shared" si="163"/>
        <v>select_one yesno</v>
      </c>
      <c r="J1038" s="106" t="s">
        <v>1878</v>
      </c>
      <c r="K1038" s="116" t="s">
        <v>2443</v>
      </c>
      <c r="L1038" s="118" t="str">
        <f>IF(K1038="yes",("Sorry, question (8.01"&amp;RIGHT(B1037,1)&amp;") is required!"),"")</f>
        <v>Sorry, question (8.01e) is required!</v>
      </c>
    </row>
    <row r="1039" spans="1:24" ht="14.25" customHeight="1">
      <c r="A1039" t="s">
        <v>23</v>
      </c>
      <c r="B1039" t="s">
        <v>3163</v>
      </c>
      <c r="E1039" s="118" t="s">
        <v>953</v>
      </c>
      <c r="H1039" s="206" t="str">
        <f>"(8.01e) Does this facility provide &lt;b&gt;Intrauterine Contraceptive Device (IUCD) insertion&lt;/b&gt; within "&amp;E1039</f>
        <v>(8.01e) Does this facility provide &lt;b&gt;Intrauterine Contraceptive Device (IUCD) insertion&lt;/b&gt; within Outreach</v>
      </c>
      <c r="I1039" s="213" t="str">
        <f t="shared" si="163"/>
        <v>select_one yesno</v>
      </c>
      <c r="J1039" s="106" t="s">
        <v>1878</v>
      </c>
      <c r="K1039" s="116" t="s">
        <v>2443</v>
      </c>
      <c r="L1039" s="118" t="str">
        <f>IF(K1039="yes",("Sorry, question (8.01"&amp;RIGHT(B1037,1)&amp;") is required!"),"")</f>
        <v>Sorry, question (8.01e) is required!</v>
      </c>
    </row>
    <row r="1040" spans="1:24" ht="14.25" customHeight="1">
      <c r="A1040" t="s">
        <v>955</v>
      </c>
      <c r="B1040" t="s">
        <v>1604</v>
      </c>
      <c r="E1040" s="118" t="s">
        <v>1939</v>
      </c>
      <c r="F1040" s="118" t="s">
        <v>6622</v>
      </c>
      <c r="H1040" s="206" t="str">
        <f>E1040</f>
        <v>(8.02e) How many days per week is this service offered?</v>
      </c>
      <c r="I1040" s="213" t="str">
        <f t="shared" si="163"/>
        <v>integer</v>
      </c>
      <c r="J1040" s="106" t="s">
        <v>6625</v>
      </c>
      <c r="K1040" s="116" t="s">
        <v>2443</v>
      </c>
      <c r="L1040" s="118" t="str">
        <f>IF(K1040="yes",("Sorry, question "&amp;LEFT(E1040, 7)&amp;" is required!"),"")</f>
        <v>Sorry, question (8.02e) is required!</v>
      </c>
      <c r="M1040" s="113" t="s">
        <v>6618</v>
      </c>
      <c r="N1040" t="s">
        <v>3843</v>
      </c>
      <c r="O1040" s="110" t="s">
        <v>3164</v>
      </c>
    </row>
    <row r="1041" spans="1:24" ht="14.25" customHeight="1">
      <c r="A1041" t="s">
        <v>955</v>
      </c>
      <c r="B1041" t="s">
        <v>1605</v>
      </c>
      <c r="E1041" s="118" t="s">
        <v>5409</v>
      </c>
      <c r="F1041" s="118" t="s">
        <v>1882</v>
      </c>
      <c r="H1041" s="206" t="str">
        <f>E1041</f>
        <v>(8.03e) What is the total price in Dalasi charged for &lt;b&gt;Intrauterine Contraceptive Device (IUCD) insertion&lt;/b&gt;? INTERVIEWER: IF NO CHARGE, RECORD "0".</v>
      </c>
      <c r="I1041" s="213" t="str">
        <f t="shared" si="163"/>
        <v>integer</v>
      </c>
      <c r="J1041" s="106" t="s">
        <v>3379</v>
      </c>
      <c r="K1041" s="116" t="s">
        <v>2443</v>
      </c>
      <c r="L1041" s="118" t="str">
        <f>IF(K1041="yes",("Sorry, question "&amp;LEFT(E1041, 7)&amp;" is required!"),"")</f>
        <v>Sorry, question (8.03e) is required!</v>
      </c>
      <c r="M1041" s="113" t="s">
        <v>5398</v>
      </c>
      <c r="N1041" t="s">
        <v>3844</v>
      </c>
      <c r="O1041" s="110" t="s">
        <v>3164</v>
      </c>
    </row>
    <row r="1042" spans="1:24" ht="14.25" customHeight="1">
      <c r="A1042" t="s">
        <v>15</v>
      </c>
      <c r="E1042" s="118" t="s">
        <v>1067</v>
      </c>
      <c r="I1042" s="213" t="str">
        <f t="shared" si="163"/>
        <v>end group</v>
      </c>
      <c r="X1042" t="s">
        <v>3032</v>
      </c>
    </row>
    <row r="1043" spans="1:24" ht="14.25" customHeight="1">
      <c r="A1043" t="s">
        <v>954</v>
      </c>
      <c r="B1043" t="s">
        <v>3165</v>
      </c>
      <c r="E1043" s="118" t="s">
        <v>1067</v>
      </c>
      <c r="I1043" s="213" t="str">
        <f t="shared" si="163"/>
        <v>begin group</v>
      </c>
      <c r="J1043" s="106" t="s">
        <v>3371</v>
      </c>
      <c r="L1043" s="118" t="str">
        <f>IF(K1043="yes",("Sorry, question "&amp;LEFT(E1043, 6)&amp;" is required!"),"")</f>
        <v/>
      </c>
      <c r="O1043" s="110" t="s">
        <v>3164</v>
      </c>
      <c r="X1043" t="s">
        <v>3032</v>
      </c>
    </row>
    <row r="1044" spans="1:24" ht="14.25" customHeight="1">
      <c r="A1044" t="s">
        <v>17</v>
      </c>
      <c r="B1044" t="s">
        <v>4974</v>
      </c>
      <c r="E1044" s="118" t="s">
        <v>5410</v>
      </c>
      <c r="F1044" s="117" t="s">
        <v>6662</v>
      </c>
      <c r="I1044" s="213" t="str">
        <f t="shared" si="163"/>
        <v>note</v>
      </c>
      <c r="J1044" s="106" t="s">
        <v>3370</v>
      </c>
      <c r="L1044" s="118" t="str">
        <f>IF(K1044="yes",("Sorry, question "&amp;LEFT(E1044, 6)&amp;" is required!"),"")</f>
        <v/>
      </c>
    </row>
    <row r="1045" spans="1:24" ht="14.25" customHeight="1">
      <c r="A1045" t="s">
        <v>17</v>
      </c>
      <c r="B1045" t="s">
        <v>4975</v>
      </c>
      <c r="E1045" s="118" t="s">
        <v>958</v>
      </c>
      <c r="I1045" s="213" t="str">
        <f t="shared" si="163"/>
        <v>note</v>
      </c>
      <c r="J1045" s="106" t="s">
        <v>3477</v>
      </c>
      <c r="L1045" s="118" t="str">
        <f>IF(K1045="yes",("Sorry, question "&amp;LEFT(E1045, 6)&amp;" is required!"),"")</f>
        <v/>
      </c>
    </row>
    <row r="1046" spans="1:24" ht="14.25" customHeight="1">
      <c r="A1046" t="s">
        <v>955</v>
      </c>
      <c r="B1046" t="s">
        <v>4976</v>
      </c>
      <c r="E1046" s="118" t="s">
        <v>959</v>
      </c>
      <c r="H1046" s="206" t="str">
        <f>"(8.04e) TOTAL NUMBER OF "&amp;E1045&amp;" - "&amp;E1046</f>
        <v>(8.04e) TOTAL NUMBER OF MONTH 1 - IN</v>
      </c>
      <c r="I1046" s="213" t="str">
        <f t="shared" si="163"/>
        <v>integer</v>
      </c>
      <c r="J1046" s="106" t="s">
        <v>4907</v>
      </c>
      <c r="K1046" s="116" t="s">
        <v>2443</v>
      </c>
      <c r="L1046" s="118" t="str">
        <f>IF(K1046="yes",("Sorry, question MONTH 1 is required!"),"")</f>
        <v>Sorry, question MONTH 1 is required!</v>
      </c>
      <c r="M1046" s="113" t="s">
        <v>5398</v>
      </c>
      <c r="N1046" t="s">
        <v>3845</v>
      </c>
    </row>
    <row r="1047" spans="1:24" ht="14.25" customHeight="1">
      <c r="A1047" t="s">
        <v>955</v>
      </c>
      <c r="B1047" t="s">
        <v>4977</v>
      </c>
      <c r="E1047" s="118" t="s">
        <v>960</v>
      </c>
      <c r="H1047" s="206" t="str">
        <f>"(8.04e) TOTAL NUMBER OF "&amp;E1045&amp;" - "&amp;E1047</f>
        <v>(8.04e) TOTAL NUMBER OF MONTH 1 - OUT</v>
      </c>
      <c r="I1047" s="213" t="str">
        <f t="shared" si="163"/>
        <v>integer</v>
      </c>
      <c r="J1047" s="106" t="s">
        <v>4908</v>
      </c>
      <c r="K1047" s="116" t="s">
        <v>2443</v>
      </c>
      <c r="L1047" s="118" t="str">
        <f t="shared" ref="L1047:L1051" si="165">IF(K1047="yes",("Sorry, question MONTH 1 is required!"),"")</f>
        <v>Sorry, question MONTH 1 is required!</v>
      </c>
      <c r="M1047" s="113" t="s">
        <v>5398</v>
      </c>
      <c r="N1047" t="s">
        <v>3846</v>
      </c>
    </row>
    <row r="1048" spans="1:24" ht="14.25" customHeight="1">
      <c r="A1048" t="s">
        <v>17</v>
      </c>
      <c r="B1048" t="s">
        <v>4978</v>
      </c>
      <c r="E1048" s="118" t="s">
        <v>961</v>
      </c>
      <c r="I1048" s="213" t="str">
        <f t="shared" si="163"/>
        <v>note</v>
      </c>
      <c r="J1048" s="106" t="s">
        <v>3478</v>
      </c>
      <c r="L1048" s="118" t="str">
        <f t="shared" si="165"/>
        <v/>
      </c>
    </row>
    <row r="1049" spans="1:24" ht="14.25" customHeight="1">
      <c r="A1049" t="s">
        <v>955</v>
      </c>
      <c r="B1049" t="s">
        <v>4979</v>
      </c>
      <c r="E1049" s="118" t="s">
        <v>959</v>
      </c>
      <c r="H1049" s="206" t="str">
        <f>"(8.04e) TOTAL NUMBER OF "&amp;E1048&amp;" - "&amp;E1049</f>
        <v>(8.04e) TOTAL NUMBER OF MONTH 2 - IN</v>
      </c>
      <c r="I1049" s="213" t="str">
        <f t="shared" si="163"/>
        <v>integer</v>
      </c>
      <c r="J1049" s="106" t="s">
        <v>6621</v>
      </c>
      <c r="K1049" s="116" t="s">
        <v>2443</v>
      </c>
      <c r="L1049" s="118" t="str">
        <f>IF(K1049="yes",("Sorry, question MONTH 2 is required!"),"")</f>
        <v>Sorry, question MONTH 2 is required!</v>
      </c>
      <c r="M1049" s="113" t="s">
        <v>5398</v>
      </c>
      <c r="N1049" t="s">
        <v>3847</v>
      </c>
    </row>
    <row r="1050" spans="1:24" ht="14.25" customHeight="1">
      <c r="A1050" t="s">
        <v>955</v>
      </c>
      <c r="B1050" t="s">
        <v>4980</v>
      </c>
      <c r="E1050" s="118" t="s">
        <v>960</v>
      </c>
      <c r="H1050" s="206" t="str">
        <f>"(8.04e) TOTAL NUMBER OF "&amp;E1048&amp;" - "&amp;E1050</f>
        <v>(8.04e) TOTAL NUMBER OF MONTH 2 - OUT</v>
      </c>
      <c r="I1050" s="213" t="str">
        <f t="shared" si="163"/>
        <v>integer</v>
      </c>
      <c r="J1050" s="106" t="s">
        <v>6626</v>
      </c>
      <c r="K1050" s="116" t="s">
        <v>2443</v>
      </c>
      <c r="L1050" s="118" t="str">
        <f>IF(K1050="yes",("Sorry, question MONTH 2 is required!"),"")</f>
        <v>Sorry, question MONTH 2 is required!</v>
      </c>
      <c r="M1050" s="113" t="s">
        <v>5398</v>
      </c>
      <c r="N1050" t="s">
        <v>3848</v>
      </c>
    </row>
    <row r="1051" spans="1:24" ht="14.25" customHeight="1">
      <c r="A1051" t="s">
        <v>17</v>
      </c>
      <c r="B1051" t="s">
        <v>4981</v>
      </c>
      <c r="E1051" s="118" t="s">
        <v>962</v>
      </c>
      <c r="I1051" s="213" t="str">
        <f t="shared" si="163"/>
        <v>note</v>
      </c>
      <c r="J1051" s="106" t="s">
        <v>3480</v>
      </c>
      <c r="L1051" s="118" t="str">
        <f t="shared" si="165"/>
        <v/>
      </c>
    </row>
    <row r="1052" spans="1:24" ht="14.25" customHeight="1">
      <c r="A1052" t="s">
        <v>955</v>
      </c>
      <c r="B1052" t="s">
        <v>4982</v>
      </c>
      <c r="E1052" s="118" t="s">
        <v>959</v>
      </c>
      <c r="H1052" s="206" t="str">
        <f>"(8.04e) TOTAL NUMBER OF "&amp;E1051&amp;" - "&amp;E1052</f>
        <v>(8.04e) TOTAL NUMBER OF MONTH 3 - IN</v>
      </c>
      <c r="I1052" s="213" t="str">
        <f t="shared" si="163"/>
        <v>integer</v>
      </c>
      <c r="J1052" s="106" t="s">
        <v>6629</v>
      </c>
      <c r="K1052" s="116" t="s">
        <v>2443</v>
      </c>
      <c r="L1052" s="118" t="str">
        <f>IF(K1052="yes",("Sorry, question MONTH 3 is required!"),"")</f>
        <v>Sorry, question MONTH 3 is required!</v>
      </c>
      <c r="M1052" s="113" t="s">
        <v>5398</v>
      </c>
      <c r="N1052" t="s">
        <v>3993</v>
      </c>
    </row>
    <row r="1053" spans="1:24" ht="14.25" customHeight="1">
      <c r="A1053" t="s">
        <v>955</v>
      </c>
      <c r="B1053" t="s">
        <v>4983</v>
      </c>
      <c r="E1053" s="118" t="s">
        <v>960</v>
      </c>
      <c r="H1053" s="206" t="str">
        <f>"(8.04e) TOTAL NUMBER OF "&amp;E1051&amp;" - "&amp;E1053</f>
        <v>(8.04e) TOTAL NUMBER OF MONTH 3 - OUT</v>
      </c>
      <c r="I1053" s="213" t="str">
        <f t="shared" si="163"/>
        <v>integer</v>
      </c>
      <c r="J1053" s="106" t="s">
        <v>6630</v>
      </c>
      <c r="K1053" s="116" t="s">
        <v>2443</v>
      </c>
      <c r="L1053" s="118" t="str">
        <f>IF(K1053="yes",("Sorry, question MONTH 3 is required!"),"")</f>
        <v>Sorry, question MONTH 3 is required!</v>
      </c>
      <c r="M1053" s="113" t="s">
        <v>5398</v>
      </c>
      <c r="N1053" t="s">
        <v>3994</v>
      </c>
    </row>
    <row r="1054" spans="1:24" ht="14.25" customHeight="1">
      <c r="A1054" t="s">
        <v>15</v>
      </c>
      <c r="E1054" s="118" t="s">
        <v>1067</v>
      </c>
      <c r="L1054" s="118" t="str">
        <f>IF(K1054="yes",("Sorry, question "&amp;LEFT(E1054, 6)&amp;" is required!"),"")</f>
        <v/>
      </c>
      <c r="X1054" t="s">
        <v>3032</v>
      </c>
    </row>
    <row r="1055" spans="1:24" ht="14.25" customHeight="1">
      <c r="A1055" t="s">
        <v>954</v>
      </c>
      <c r="B1055" t="s">
        <v>3166</v>
      </c>
      <c r="E1055" s="118" t="s">
        <v>1067</v>
      </c>
      <c r="J1055" s="106" t="s">
        <v>13</v>
      </c>
      <c r="L1055" s="118" t="str">
        <f>IF(K1055="yes",("Sorry, question "&amp;LEFT(E1055, 6)&amp;" is required!"),"")</f>
        <v/>
      </c>
      <c r="X1055" t="s">
        <v>3032</v>
      </c>
    </row>
    <row r="1056" spans="1:24" ht="14.25" customHeight="1">
      <c r="A1056" t="s">
        <v>1287</v>
      </c>
      <c r="B1056" s="107" t="s">
        <v>1606</v>
      </c>
      <c r="E1056" s="132" t="s">
        <v>5411</v>
      </c>
      <c r="F1056" s="118" t="s">
        <v>3396</v>
      </c>
      <c r="I1056" s="213" t="str">
        <f t="shared" si="163"/>
        <v>select_one yesno</v>
      </c>
      <c r="J1056" s="106" t="s">
        <v>1</v>
      </c>
    </row>
    <row r="1057" spans="1:24" ht="14.25" customHeight="1">
      <c r="A1057" t="s">
        <v>23</v>
      </c>
      <c r="B1057" t="s">
        <v>3167</v>
      </c>
      <c r="E1057" s="118" t="s">
        <v>1972</v>
      </c>
      <c r="H1057" s="206" t="str">
        <f>"(8.01f) Does this facility provide &lt;b&gt;Female sterilization&lt;/b&gt; within "&amp;E1057</f>
        <v>(8.01f) Does this facility provide &lt;b&gt;Female sterilization&lt;/b&gt; within In-facility</v>
      </c>
      <c r="I1057" s="213" t="str">
        <f t="shared" si="163"/>
        <v>select_one yesno</v>
      </c>
      <c r="J1057" s="106" t="s">
        <v>1878</v>
      </c>
      <c r="K1057" s="116" t="s">
        <v>2443</v>
      </c>
      <c r="L1057" s="118" t="str">
        <f>IF(K1057="yes",("Sorry, question (8.01"&amp;RIGHT(B1056,1)&amp;") is required!"),"")</f>
        <v>Sorry, question (8.01f) is required!</v>
      </c>
    </row>
    <row r="1058" spans="1:24" ht="14.25" customHeight="1">
      <c r="A1058" t="s">
        <v>23</v>
      </c>
      <c r="B1058" t="s">
        <v>3168</v>
      </c>
      <c r="E1058" s="118" t="s">
        <v>953</v>
      </c>
      <c r="H1058" s="206" t="str">
        <f>"(8.01f) Does this facility provide &lt;b&gt;Female sterilization&lt;/b&gt; within "&amp;E1058</f>
        <v>(8.01f) Does this facility provide &lt;b&gt;Female sterilization&lt;/b&gt; within Outreach</v>
      </c>
      <c r="I1058" s="213" t="str">
        <f t="shared" si="163"/>
        <v>select_one yesno</v>
      </c>
      <c r="J1058" s="106" t="s">
        <v>1878</v>
      </c>
      <c r="K1058" s="116" t="s">
        <v>2443</v>
      </c>
      <c r="L1058" s="118" t="str">
        <f>IF(K1058="yes",("Sorry, question (8.01"&amp;RIGHT(B1056,1)&amp;") is required!"),"")</f>
        <v>Sorry, question (8.01f) is required!</v>
      </c>
    </row>
    <row r="1059" spans="1:24" ht="14.25" customHeight="1">
      <c r="A1059" t="s">
        <v>955</v>
      </c>
      <c r="B1059" t="s">
        <v>1607</v>
      </c>
      <c r="E1059" s="118" t="s">
        <v>1940</v>
      </c>
      <c r="F1059" s="118" t="s">
        <v>6622</v>
      </c>
      <c r="H1059" s="206" t="str">
        <f>E1059</f>
        <v>(8.02f) How many days per week is this service offered?</v>
      </c>
      <c r="I1059" s="213" t="str">
        <f t="shared" si="163"/>
        <v>integer</v>
      </c>
      <c r="J1059" s="106" t="s">
        <v>6625</v>
      </c>
      <c r="K1059" s="116" t="s">
        <v>2443</v>
      </c>
      <c r="L1059" s="118" t="str">
        <f>IF(K1059="yes",("Sorry, question "&amp;LEFT(E1059, 7)&amp;" is required!"),"")</f>
        <v>Sorry, question (8.02f) is required!</v>
      </c>
      <c r="M1059" s="113" t="s">
        <v>6618</v>
      </c>
      <c r="N1059" t="s">
        <v>3849</v>
      </c>
      <c r="O1059" s="110" t="s">
        <v>3169</v>
      </c>
    </row>
    <row r="1060" spans="1:24" ht="14.25" customHeight="1">
      <c r="A1060" t="s">
        <v>955</v>
      </c>
      <c r="B1060" t="s">
        <v>1608</v>
      </c>
      <c r="E1060" s="118" t="s">
        <v>5412</v>
      </c>
      <c r="F1060" s="118" t="s">
        <v>1883</v>
      </c>
      <c r="H1060" s="206" t="str">
        <f>E1060</f>
        <v>(8.03f) What is the total price in Dalasi charged for &lt;b&gt;Female sterilization&lt;/b&gt;? INTERVIEWER: IF NO CHARGE, RECORD "0".</v>
      </c>
      <c r="I1060" s="213" t="str">
        <f t="shared" si="163"/>
        <v>integer</v>
      </c>
      <c r="J1060" s="106" t="s">
        <v>3379</v>
      </c>
      <c r="K1060" s="116" t="s">
        <v>2443</v>
      </c>
      <c r="L1060" s="118" t="str">
        <f>IF(K1060="yes",("Sorry, question "&amp;LEFT(E1060, 7)&amp;" is required!"),"")</f>
        <v>Sorry, question (8.03f) is required!</v>
      </c>
      <c r="M1060" s="113" t="s">
        <v>5398</v>
      </c>
      <c r="N1060" t="s">
        <v>3850</v>
      </c>
      <c r="O1060" s="110" t="s">
        <v>3169</v>
      </c>
    </row>
    <row r="1061" spans="1:24" ht="14.25" customHeight="1">
      <c r="A1061" t="s">
        <v>15</v>
      </c>
      <c r="E1061" s="118" t="s">
        <v>1067</v>
      </c>
      <c r="X1061" t="s">
        <v>3032</v>
      </c>
    </row>
    <row r="1062" spans="1:24" ht="14.25" customHeight="1">
      <c r="A1062" t="s">
        <v>954</v>
      </c>
      <c r="B1062" t="s">
        <v>3172</v>
      </c>
      <c r="E1062" s="118" t="s">
        <v>1067</v>
      </c>
      <c r="J1062" s="106" t="s">
        <v>3371</v>
      </c>
      <c r="L1062" s="118" t="str">
        <f>IF(K1062="yes",("Sorry, question "&amp;LEFT(E1062, 6)&amp;" is required!"),"")</f>
        <v/>
      </c>
      <c r="O1062" s="110" t="s">
        <v>3169</v>
      </c>
      <c r="X1062" t="s">
        <v>3032</v>
      </c>
    </row>
    <row r="1063" spans="1:24" ht="14.25" customHeight="1">
      <c r="A1063" t="s">
        <v>17</v>
      </c>
      <c r="B1063" t="s">
        <v>1609</v>
      </c>
      <c r="E1063" s="118" t="s">
        <v>5413</v>
      </c>
      <c r="F1063" s="117" t="s">
        <v>6662</v>
      </c>
      <c r="I1063" s="213" t="str">
        <f t="shared" si="163"/>
        <v>note</v>
      </c>
      <c r="J1063" s="106" t="s">
        <v>3370</v>
      </c>
      <c r="L1063" s="118" t="str">
        <f>IF(K1063="yes",("Sorry, question "&amp;LEFT(E1063, 6)&amp;" is required!"),"")</f>
        <v/>
      </c>
    </row>
    <row r="1064" spans="1:24" ht="14.25" customHeight="1">
      <c r="A1064" t="s">
        <v>17</v>
      </c>
      <c r="B1064" t="s">
        <v>1610</v>
      </c>
      <c r="E1064" s="118" t="s">
        <v>958</v>
      </c>
      <c r="I1064" s="213" t="str">
        <f t="shared" si="163"/>
        <v>note</v>
      </c>
      <c r="J1064" s="106" t="s">
        <v>3477</v>
      </c>
      <c r="L1064" s="118" t="str">
        <f>IF(K1064="yes",("Sorry, question "&amp;LEFT(E1064, 6)&amp;" is required!"),"")</f>
        <v/>
      </c>
    </row>
    <row r="1065" spans="1:24" ht="14.25" customHeight="1">
      <c r="A1065" t="s">
        <v>955</v>
      </c>
      <c r="B1065" t="s">
        <v>5005</v>
      </c>
      <c r="E1065" s="118" t="s">
        <v>959</v>
      </c>
      <c r="H1065" s="206" t="str">
        <f>"(8.04f) TOTAL NUMBER OF "&amp;E1064&amp;" - "&amp;E1065</f>
        <v>(8.04f) TOTAL NUMBER OF MONTH 1 - IN</v>
      </c>
      <c r="I1065" s="213" t="str">
        <f t="shared" si="163"/>
        <v>integer</v>
      </c>
      <c r="J1065" s="106" t="s">
        <v>4907</v>
      </c>
      <c r="K1065" s="116" t="s">
        <v>2443</v>
      </c>
      <c r="L1065" s="118" t="str">
        <f>IF(K1065="yes",("Sorry, question MONTH 1 is required!"),"")</f>
        <v>Sorry, question MONTH 1 is required!</v>
      </c>
      <c r="M1065" s="113" t="s">
        <v>5398</v>
      </c>
      <c r="N1065" t="s">
        <v>3851</v>
      </c>
    </row>
    <row r="1066" spans="1:24" ht="14.25" customHeight="1">
      <c r="A1066" t="s">
        <v>955</v>
      </c>
      <c r="B1066" t="s">
        <v>4984</v>
      </c>
      <c r="E1066" s="118" t="s">
        <v>960</v>
      </c>
      <c r="H1066" s="206" t="str">
        <f>"(8.04f) TOTAL NUMBER OF "&amp;E1064&amp;" - "&amp;E1066</f>
        <v>(8.04f) TOTAL NUMBER OF MONTH 1 - OUT</v>
      </c>
      <c r="I1066" s="213" t="str">
        <f t="shared" si="163"/>
        <v>integer</v>
      </c>
      <c r="J1066" s="106" t="s">
        <v>4908</v>
      </c>
      <c r="K1066" s="116" t="s">
        <v>2443</v>
      </c>
      <c r="L1066" s="118" t="str">
        <f t="shared" ref="L1066:L1070" si="166">IF(K1066="yes",("Sorry, question MONTH 1 is required!"),"")</f>
        <v>Sorry, question MONTH 1 is required!</v>
      </c>
      <c r="M1066" s="113" t="s">
        <v>5398</v>
      </c>
      <c r="N1066" t="s">
        <v>3852</v>
      </c>
    </row>
    <row r="1067" spans="1:24" ht="14.25" customHeight="1">
      <c r="A1067" t="s">
        <v>17</v>
      </c>
      <c r="B1067" t="s">
        <v>1611</v>
      </c>
      <c r="E1067" s="118" t="s">
        <v>961</v>
      </c>
      <c r="I1067" s="213" t="str">
        <f t="shared" si="163"/>
        <v>note</v>
      </c>
      <c r="J1067" s="106" t="s">
        <v>3478</v>
      </c>
      <c r="L1067" s="118" t="str">
        <f t="shared" si="166"/>
        <v/>
      </c>
    </row>
    <row r="1068" spans="1:24" ht="14.25" customHeight="1">
      <c r="A1068" t="s">
        <v>955</v>
      </c>
      <c r="B1068" t="s">
        <v>5047</v>
      </c>
      <c r="E1068" s="118" t="s">
        <v>959</v>
      </c>
      <c r="H1068" s="206" t="str">
        <f>"(8.04f) TOTAL NUMBER OF "&amp;E1067&amp;" - "&amp;E1068</f>
        <v>(8.04f) TOTAL NUMBER OF MONTH 2 - IN</v>
      </c>
      <c r="I1068" s="213" t="str">
        <f t="shared" si="163"/>
        <v>integer</v>
      </c>
      <c r="J1068" s="106" t="s">
        <v>6621</v>
      </c>
      <c r="K1068" s="116" t="s">
        <v>2443</v>
      </c>
      <c r="L1068" s="118" t="str">
        <f>IF(K1068="yes",("Sorry, question MONTH 2 is required!"),"")</f>
        <v>Sorry, question MONTH 2 is required!</v>
      </c>
      <c r="M1068" s="113" t="s">
        <v>5398</v>
      </c>
      <c r="N1068" t="s">
        <v>3853</v>
      </c>
    </row>
    <row r="1069" spans="1:24" ht="14.25" customHeight="1">
      <c r="A1069" t="s">
        <v>955</v>
      </c>
      <c r="B1069" t="s">
        <v>5026</v>
      </c>
      <c r="E1069" s="118" t="s">
        <v>960</v>
      </c>
      <c r="H1069" s="206" t="str">
        <f>"(8.04f) TOTAL NUMBER OF "&amp;E1067&amp;" - "&amp;E1069</f>
        <v>(8.04f) TOTAL NUMBER OF MONTH 2 - OUT</v>
      </c>
      <c r="I1069" s="213" t="str">
        <f t="shared" si="163"/>
        <v>integer</v>
      </c>
      <c r="J1069" s="106" t="s">
        <v>6626</v>
      </c>
      <c r="K1069" s="116" t="s">
        <v>2443</v>
      </c>
      <c r="L1069" s="118" t="str">
        <f>IF(K1069="yes",("Sorry, question MONTH 2 is required!"),"")</f>
        <v>Sorry, question MONTH 2 is required!</v>
      </c>
      <c r="M1069" s="113" t="s">
        <v>5398</v>
      </c>
      <c r="N1069" t="s">
        <v>3854</v>
      </c>
    </row>
    <row r="1070" spans="1:24" ht="14.25" customHeight="1">
      <c r="A1070" t="s">
        <v>17</v>
      </c>
      <c r="B1070" t="s">
        <v>1612</v>
      </c>
      <c r="E1070" s="118" t="s">
        <v>962</v>
      </c>
      <c r="I1070" s="213" t="str">
        <f t="shared" si="163"/>
        <v>note</v>
      </c>
      <c r="J1070" s="106" t="s">
        <v>3480</v>
      </c>
      <c r="L1070" s="118" t="str">
        <f t="shared" si="166"/>
        <v/>
      </c>
    </row>
    <row r="1071" spans="1:24" ht="14.25" customHeight="1">
      <c r="A1071" t="s">
        <v>955</v>
      </c>
      <c r="B1071" t="s">
        <v>5068</v>
      </c>
      <c r="E1071" s="118" t="s">
        <v>959</v>
      </c>
      <c r="H1071" s="206" t="str">
        <f>"(8.04f) TOTAL NUMBER OF "&amp;E1070&amp;" - "&amp;E1071</f>
        <v>(8.04f) TOTAL NUMBER OF MONTH 3 - IN</v>
      </c>
      <c r="I1071" s="213" t="str">
        <f t="shared" si="163"/>
        <v>integer</v>
      </c>
      <c r="J1071" s="106" t="s">
        <v>6629</v>
      </c>
      <c r="K1071" s="116" t="s">
        <v>2443</v>
      </c>
      <c r="L1071" s="118" t="str">
        <f>IF(K1071="yes",("Sorry, question MONTH 3 is required!"),"")</f>
        <v>Sorry, question MONTH 3 is required!</v>
      </c>
      <c r="M1071" s="113" t="s">
        <v>5398</v>
      </c>
      <c r="N1071" t="s">
        <v>3995</v>
      </c>
    </row>
    <row r="1072" spans="1:24" ht="14.25" customHeight="1">
      <c r="A1072" t="s">
        <v>955</v>
      </c>
      <c r="B1072" t="s">
        <v>5089</v>
      </c>
      <c r="E1072" s="118" t="s">
        <v>960</v>
      </c>
      <c r="H1072" s="206" t="str">
        <f>"(8.04f) TOTAL NUMBER OF "&amp;E1070&amp;" - "&amp;E1072</f>
        <v>(8.04f) TOTAL NUMBER OF MONTH 3 - OUT</v>
      </c>
      <c r="I1072" s="213" t="str">
        <f t="shared" si="163"/>
        <v>integer</v>
      </c>
      <c r="J1072" s="106" t="s">
        <v>6630</v>
      </c>
      <c r="K1072" s="116" t="s">
        <v>2443</v>
      </c>
      <c r="L1072" s="118" t="str">
        <f>IF(K1072="yes",("Sorry, question MONTH 3 is required!"),"")</f>
        <v>Sorry, question MONTH 3 is required!</v>
      </c>
      <c r="M1072" s="113" t="s">
        <v>5398</v>
      </c>
      <c r="N1072" t="s">
        <v>3996</v>
      </c>
    </row>
    <row r="1073" spans="1:24" ht="14.25" customHeight="1">
      <c r="A1073" t="s">
        <v>15</v>
      </c>
      <c r="E1073" s="118" t="s">
        <v>1067</v>
      </c>
      <c r="L1073" s="118" t="str">
        <f>IF(K1073="yes",("Sorry, question "&amp;LEFT(E1073, 6)&amp;" is required!"),"")</f>
        <v/>
      </c>
      <c r="X1073" t="s">
        <v>3032</v>
      </c>
    </row>
    <row r="1074" spans="1:24" ht="14.25" customHeight="1">
      <c r="A1074" t="s">
        <v>954</v>
      </c>
      <c r="B1074" t="s">
        <v>3173</v>
      </c>
      <c r="E1074" s="118" t="s">
        <v>1067</v>
      </c>
      <c r="J1074" s="106" t="s">
        <v>13</v>
      </c>
      <c r="L1074" s="118" t="str">
        <f>IF(K1074="yes",("Sorry, question "&amp;LEFT(E1074, 6)&amp;" is required!"),"")</f>
        <v/>
      </c>
      <c r="X1074" t="s">
        <v>3032</v>
      </c>
    </row>
    <row r="1075" spans="1:24" ht="14.25" customHeight="1">
      <c r="A1075" t="s">
        <v>1287</v>
      </c>
      <c r="B1075" s="107" t="s">
        <v>1613</v>
      </c>
      <c r="E1075" s="132" t="s">
        <v>5414</v>
      </c>
      <c r="F1075" s="118" t="s">
        <v>3396</v>
      </c>
      <c r="I1075" s="213" t="str">
        <f t="shared" si="163"/>
        <v>select_one yesno</v>
      </c>
      <c r="J1075" s="106" t="s">
        <v>1</v>
      </c>
    </row>
    <row r="1076" spans="1:24" ht="14.25" customHeight="1">
      <c r="A1076" t="s">
        <v>23</v>
      </c>
      <c r="B1076" t="s">
        <v>3170</v>
      </c>
      <c r="E1076" s="118" t="s">
        <v>1972</v>
      </c>
      <c r="H1076" s="206" t="str">
        <f>"(8.01g) Does this facility provide &lt;b&gt;Male sterilization&lt;/b&gt; within "&amp;E1076</f>
        <v>(8.01g) Does this facility provide &lt;b&gt;Male sterilization&lt;/b&gt; within In-facility</v>
      </c>
      <c r="I1076" s="213" t="str">
        <f t="shared" si="163"/>
        <v>select_one yesno</v>
      </c>
      <c r="J1076" s="106" t="s">
        <v>1878</v>
      </c>
      <c r="K1076" s="116" t="s">
        <v>2443</v>
      </c>
      <c r="L1076" s="118" t="str">
        <f>IF(K1076="yes",("Sorry, question (8.01"&amp;RIGHT(B1075,1)&amp;") is required!"),"")</f>
        <v>Sorry, question (8.01g) is required!</v>
      </c>
    </row>
    <row r="1077" spans="1:24" ht="14.25" customHeight="1">
      <c r="A1077" t="s">
        <v>23</v>
      </c>
      <c r="B1077" t="s">
        <v>3171</v>
      </c>
      <c r="E1077" s="118" t="s">
        <v>953</v>
      </c>
      <c r="H1077" s="206" t="str">
        <f>"(8.01g) Does this facility provide &lt;b&gt;Male sterilization&lt;/b&gt; within "&amp;E1077</f>
        <v>(8.01g) Does this facility provide &lt;b&gt;Male sterilization&lt;/b&gt; within Outreach</v>
      </c>
      <c r="I1077" s="213" t="str">
        <f t="shared" si="163"/>
        <v>select_one yesno</v>
      </c>
      <c r="J1077" s="106" t="s">
        <v>1878</v>
      </c>
      <c r="K1077" s="116" t="s">
        <v>2443</v>
      </c>
      <c r="L1077" s="118" t="str">
        <f>IF(K1077="yes",("Sorry, question (8.01"&amp;RIGHT(B1075,1)&amp;") is required!"),"")</f>
        <v>Sorry, question (8.01g) is required!</v>
      </c>
    </row>
    <row r="1078" spans="1:24" ht="14.25" customHeight="1">
      <c r="A1078" t="s">
        <v>955</v>
      </c>
      <c r="B1078" t="s">
        <v>1614</v>
      </c>
      <c r="E1078" s="118" t="s">
        <v>1941</v>
      </c>
      <c r="F1078" s="118" t="s">
        <v>6622</v>
      </c>
      <c r="H1078" s="206" t="str">
        <f>E1078</f>
        <v>(8.02g) How many days per week is this service offered?</v>
      </c>
      <c r="I1078" s="213" t="str">
        <f t="shared" si="163"/>
        <v>integer</v>
      </c>
      <c r="J1078" s="106" t="s">
        <v>6625</v>
      </c>
      <c r="K1078" s="116" t="s">
        <v>2443</v>
      </c>
      <c r="L1078" s="118" t="str">
        <f>IF(K1078="yes",("Sorry, question "&amp;LEFT(E1078, 7)&amp;" is required!"),"")</f>
        <v>Sorry, question (8.02g) is required!</v>
      </c>
      <c r="M1078" s="113" t="s">
        <v>6618</v>
      </c>
      <c r="N1078" t="s">
        <v>3855</v>
      </c>
      <c r="O1078" s="110" t="s">
        <v>3174</v>
      </c>
    </row>
    <row r="1079" spans="1:24" ht="14.25" customHeight="1">
      <c r="A1079" t="s">
        <v>955</v>
      </c>
      <c r="B1079" t="s">
        <v>1615</v>
      </c>
      <c r="E1079" s="118" t="s">
        <v>5415</v>
      </c>
      <c r="F1079" s="118" t="s">
        <v>1883</v>
      </c>
      <c r="H1079" s="206" t="str">
        <f>E1079</f>
        <v>(8.03g) What is the total price in Dalasi charged for &lt;b&gt;Male sterilization&lt;/b&gt;? INTERVIEWER: IF NO CHARGE, RECORD "0".</v>
      </c>
      <c r="I1079" s="213" t="str">
        <f t="shared" si="163"/>
        <v>integer</v>
      </c>
      <c r="J1079" s="106" t="s">
        <v>3379</v>
      </c>
      <c r="K1079" s="116" t="s">
        <v>2443</v>
      </c>
      <c r="L1079" s="118" t="str">
        <f>IF(K1079="yes",("Sorry, question "&amp;LEFT(E1079, 7)&amp;" is required!"),"")</f>
        <v>Sorry, question (8.03g) is required!</v>
      </c>
      <c r="M1079" s="113" t="s">
        <v>5398</v>
      </c>
      <c r="N1079" t="s">
        <v>3856</v>
      </c>
      <c r="O1079" s="110" t="s">
        <v>3174</v>
      </c>
    </row>
    <row r="1080" spans="1:24" ht="14.25" customHeight="1">
      <c r="A1080" t="s">
        <v>15</v>
      </c>
      <c r="E1080" s="118" t="s">
        <v>1067</v>
      </c>
      <c r="X1080" t="s">
        <v>3032</v>
      </c>
    </row>
    <row r="1081" spans="1:24" ht="14.25" customHeight="1">
      <c r="A1081" t="s">
        <v>954</v>
      </c>
      <c r="B1081" t="s">
        <v>3178</v>
      </c>
      <c r="E1081" s="118" t="s">
        <v>1067</v>
      </c>
      <c r="J1081" s="106" t="s">
        <v>3371</v>
      </c>
      <c r="L1081" s="118" t="str">
        <f>IF(K1081="yes",("Sorry, question "&amp;LEFT(E1081, 6)&amp;" is required!"),"")</f>
        <v/>
      </c>
      <c r="O1081" s="110" t="s">
        <v>3174</v>
      </c>
      <c r="X1081" t="s">
        <v>3032</v>
      </c>
    </row>
    <row r="1082" spans="1:24" ht="14.25" customHeight="1">
      <c r="A1082" t="s">
        <v>17</v>
      </c>
      <c r="B1082" t="s">
        <v>1616</v>
      </c>
      <c r="E1082" s="118" t="s">
        <v>5416</v>
      </c>
      <c r="F1082" s="117" t="s">
        <v>6662</v>
      </c>
      <c r="I1082" s="213" t="str">
        <f t="shared" si="163"/>
        <v>note</v>
      </c>
      <c r="J1082" s="106" t="s">
        <v>3370</v>
      </c>
      <c r="L1082" s="118" t="str">
        <f>IF(K1082="yes",("Sorry, question "&amp;LEFT(E1082, 6)&amp;" is required!"),"")</f>
        <v/>
      </c>
    </row>
    <row r="1083" spans="1:24" ht="14.25" customHeight="1">
      <c r="A1083" t="s">
        <v>17</v>
      </c>
      <c r="B1083" t="s">
        <v>1617</v>
      </c>
      <c r="E1083" s="118" t="s">
        <v>958</v>
      </c>
      <c r="I1083" s="213" t="str">
        <f t="shared" si="163"/>
        <v>note</v>
      </c>
      <c r="J1083" s="106" t="s">
        <v>3477</v>
      </c>
      <c r="L1083" s="118" t="str">
        <f>IF(K1083="yes",("Sorry, question "&amp;LEFT(E1083, 6)&amp;" is required!"),"")</f>
        <v/>
      </c>
    </row>
    <row r="1084" spans="1:24" ht="14.25" customHeight="1">
      <c r="A1084" t="s">
        <v>955</v>
      </c>
      <c r="B1084" t="s">
        <v>5006</v>
      </c>
      <c r="E1084" s="118" t="s">
        <v>959</v>
      </c>
      <c r="H1084" s="206" t="str">
        <f>"(8.04g) TOTAL NUMBER OF "&amp;E1083&amp;" - "&amp;E1084</f>
        <v>(8.04g) TOTAL NUMBER OF MONTH 1 - IN</v>
      </c>
      <c r="I1084" s="213" t="str">
        <f t="shared" si="163"/>
        <v>integer</v>
      </c>
      <c r="J1084" s="106" t="s">
        <v>4907</v>
      </c>
      <c r="K1084" s="116" t="s">
        <v>2443</v>
      </c>
      <c r="L1084" s="118" t="str">
        <f>IF(K1084="yes",("Sorry, question MONTH 1 is required!"),"")</f>
        <v>Sorry, question MONTH 1 is required!</v>
      </c>
      <c r="M1084" s="113" t="s">
        <v>5398</v>
      </c>
      <c r="N1084" t="s">
        <v>3857</v>
      </c>
    </row>
    <row r="1085" spans="1:24" ht="14.25" customHeight="1">
      <c r="A1085" t="s">
        <v>955</v>
      </c>
      <c r="B1085" t="s">
        <v>4985</v>
      </c>
      <c r="E1085" s="118" t="s">
        <v>960</v>
      </c>
      <c r="H1085" s="206" t="str">
        <f>"(8.04g) TOTAL NUMBER OF "&amp;E1083&amp;" - "&amp;E1085</f>
        <v>(8.04g) TOTAL NUMBER OF MONTH 1 - OUT</v>
      </c>
      <c r="I1085" s="213" t="str">
        <f t="shared" si="163"/>
        <v>integer</v>
      </c>
      <c r="J1085" s="106" t="s">
        <v>4908</v>
      </c>
      <c r="K1085" s="116" t="s">
        <v>2443</v>
      </c>
      <c r="L1085" s="118" t="str">
        <f t="shared" ref="L1085:L1089" si="167">IF(K1085="yes",("Sorry, question MONTH 1 is required!"),"")</f>
        <v>Sorry, question MONTH 1 is required!</v>
      </c>
      <c r="M1085" s="113" t="s">
        <v>5398</v>
      </c>
      <c r="N1085" t="s">
        <v>3858</v>
      </c>
    </row>
    <row r="1086" spans="1:24" ht="14.25" customHeight="1">
      <c r="A1086" t="s">
        <v>17</v>
      </c>
      <c r="B1086" t="s">
        <v>1618</v>
      </c>
      <c r="E1086" s="118" t="s">
        <v>961</v>
      </c>
      <c r="I1086" s="213" t="str">
        <f t="shared" si="163"/>
        <v>note</v>
      </c>
      <c r="J1086" s="106" t="s">
        <v>3478</v>
      </c>
      <c r="L1086" s="118" t="str">
        <f t="shared" si="167"/>
        <v/>
      </c>
    </row>
    <row r="1087" spans="1:24" ht="14.25" customHeight="1">
      <c r="A1087" t="s">
        <v>955</v>
      </c>
      <c r="B1087" t="s">
        <v>5048</v>
      </c>
      <c r="E1087" s="118" t="s">
        <v>959</v>
      </c>
      <c r="H1087" s="206" t="str">
        <f>"(8.04g) TOTAL NUMBER OF "&amp;E1086&amp;" - "&amp;E1087</f>
        <v>(8.04g) TOTAL NUMBER OF MONTH 2 - IN</v>
      </c>
      <c r="I1087" s="213" t="str">
        <f t="shared" si="163"/>
        <v>integer</v>
      </c>
      <c r="J1087" s="106" t="s">
        <v>6621</v>
      </c>
      <c r="K1087" s="116" t="s">
        <v>2443</v>
      </c>
      <c r="L1087" s="118" t="str">
        <f>IF(K1087="yes",("Sorry, question MONTH 2 is required!"),"")</f>
        <v>Sorry, question MONTH 2 is required!</v>
      </c>
      <c r="M1087" s="113" t="s">
        <v>5398</v>
      </c>
      <c r="N1087" t="s">
        <v>3859</v>
      </c>
    </row>
    <row r="1088" spans="1:24" ht="14.25" customHeight="1">
      <c r="A1088" t="s">
        <v>955</v>
      </c>
      <c r="B1088" t="s">
        <v>5027</v>
      </c>
      <c r="E1088" s="118" t="s">
        <v>960</v>
      </c>
      <c r="H1088" s="206" t="str">
        <f>"(8.04g) TOTAL NUMBER OF "&amp;E1086&amp;" - "&amp;E1088</f>
        <v>(8.04g) TOTAL NUMBER OF MONTH 2 - OUT</v>
      </c>
      <c r="I1088" s="213" t="str">
        <f t="shared" si="163"/>
        <v>integer</v>
      </c>
      <c r="J1088" s="106" t="s">
        <v>6626</v>
      </c>
      <c r="K1088" s="116" t="s">
        <v>2443</v>
      </c>
      <c r="L1088" s="118" t="str">
        <f>IF(K1088="yes",("Sorry, question MONTH 2 is required!"),"")</f>
        <v>Sorry, question MONTH 2 is required!</v>
      </c>
      <c r="M1088" s="113" t="s">
        <v>5398</v>
      </c>
      <c r="N1088" t="s">
        <v>3860</v>
      </c>
    </row>
    <row r="1089" spans="1:24" ht="14.25" customHeight="1">
      <c r="A1089" t="s">
        <v>17</v>
      </c>
      <c r="B1089" t="s">
        <v>1619</v>
      </c>
      <c r="E1089" s="118" t="s">
        <v>962</v>
      </c>
      <c r="I1089" s="213" t="str">
        <f t="shared" ref="I1089:I1150" si="168">A1089</f>
        <v>note</v>
      </c>
      <c r="J1089" s="106" t="s">
        <v>3480</v>
      </c>
      <c r="L1089" s="118" t="str">
        <f t="shared" si="167"/>
        <v/>
      </c>
    </row>
    <row r="1090" spans="1:24" ht="14.25" customHeight="1">
      <c r="A1090" t="s">
        <v>955</v>
      </c>
      <c r="B1090" t="s">
        <v>5069</v>
      </c>
      <c r="E1090" s="118" t="s">
        <v>959</v>
      </c>
      <c r="H1090" s="206" t="str">
        <f>"(8.04g) TOTAL NUMBER OF "&amp;E1089&amp;" - "&amp;E1090</f>
        <v>(8.04g) TOTAL NUMBER OF MONTH 3 - IN</v>
      </c>
      <c r="I1090" s="213" t="str">
        <f t="shared" si="168"/>
        <v>integer</v>
      </c>
      <c r="J1090" s="106" t="s">
        <v>6629</v>
      </c>
      <c r="K1090" s="116" t="s">
        <v>2443</v>
      </c>
      <c r="L1090" s="118" t="str">
        <f>IF(K1090="yes",("Sorry, question MONTH 3 is required!"),"")</f>
        <v>Sorry, question MONTH 3 is required!</v>
      </c>
      <c r="M1090" s="113" t="s">
        <v>5398</v>
      </c>
      <c r="N1090" t="s">
        <v>3997</v>
      </c>
    </row>
    <row r="1091" spans="1:24" ht="14.25" customHeight="1">
      <c r="A1091" t="s">
        <v>955</v>
      </c>
      <c r="B1091" t="s">
        <v>5090</v>
      </c>
      <c r="E1091" s="118" t="s">
        <v>960</v>
      </c>
      <c r="H1091" s="206" t="str">
        <f>"(8.04g) TOTAL NUMBER OF "&amp;E1089&amp;" - "&amp;E1091</f>
        <v>(8.04g) TOTAL NUMBER OF MONTH 3 - OUT</v>
      </c>
      <c r="I1091" s="213" t="str">
        <f t="shared" si="168"/>
        <v>integer</v>
      </c>
      <c r="J1091" s="106" t="s">
        <v>6630</v>
      </c>
      <c r="K1091" s="116" t="s">
        <v>2443</v>
      </c>
      <c r="L1091" s="118" t="str">
        <f>IF(K1091="yes",("Sorry, question MONTH 3 is required!"),"")</f>
        <v>Sorry, question MONTH 3 is required!</v>
      </c>
      <c r="M1091" s="113" t="s">
        <v>5398</v>
      </c>
      <c r="N1091" t="s">
        <v>3998</v>
      </c>
    </row>
    <row r="1092" spans="1:24" ht="14.25" customHeight="1">
      <c r="A1092" t="s">
        <v>15</v>
      </c>
      <c r="E1092" s="118" t="s">
        <v>1067</v>
      </c>
      <c r="L1092" s="118" t="str">
        <f>IF(K1092="yes",("Sorry, question "&amp;LEFT(E1092, 6)&amp;" is required!"),"")</f>
        <v/>
      </c>
      <c r="X1092" t="s">
        <v>3032</v>
      </c>
    </row>
    <row r="1093" spans="1:24" ht="14.25" customHeight="1">
      <c r="A1093" t="s">
        <v>954</v>
      </c>
      <c r="B1093" t="s">
        <v>3177</v>
      </c>
      <c r="E1093" s="118" t="s">
        <v>1067</v>
      </c>
      <c r="J1093" s="106" t="s">
        <v>3526</v>
      </c>
      <c r="X1093" t="s">
        <v>3032</v>
      </c>
    </row>
    <row r="1094" spans="1:24" ht="14.25" customHeight="1">
      <c r="A1094" t="s">
        <v>17</v>
      </c>
      <c r="B1094" t="s">
        <v>3176</v>
      </c>
      <c r="E1094" s="118" t="s">
        <v>4209</v>
      </c>
      <c r="I1094" s="213" t="str">
        <f t="shared" si="168"/>
        <v>note</v>
      </c>
      <c r="J1094" s="106" t="s">
        <v>3528</v>
      </c>
    </row>
    <row r="1095" spans="1:24" ht="14.25" customHeight="1">
      <c r="A1095" t="s">
        <v>23</v>
      </c>
      <c r="B1095" s="107" t="s">
        <v>1620</v>
      </c>
      <c r="E1095" s="132" t="s">
        <v>5417</v>
      </c>
      <c r="F1095" s="118" t="s">
        <v>3396</v>
      </c>
      <c r="I1095" s="213" t="str">
        <f t="shared" si="168"/>
        <v>select_one yesno</v>
      </c>
      <c r="J1095" s="106" t="s">
        <v>3540</v>
      </c>
    </row>
    <row r="1096" spans="1:24" ht="14.25" customHeight="1">
      <c r="A1096" t="s">
        <v>23</v>
      </c>
      <c r="B1096" t="s">
        <v>1621</v>
      </c>
      <c r="E1096" s="118" t="s">
        <v>951</v>
      </c>
      <c r="H1096" s="206" t="str">
        <f>"(8.01h) Does this facility provide &lt;b&gt;Antenatal care&lt;/b&gt; within "&amp;E1096</f>
        <v>(8.01h) Does this facility provide &lt;b&gt;Antenatal care&lt;/b&gt; within In-facility</v>
      </c>
      <c r="I1096" s="213" t="str">
        <f t="shared" si="168"/>
        <v>select_one yesno</v>
      </c>
      <c r="J1096" s="106" t="s">
        <v>3538</v>
      </c>
      <c r="K1096" s="116" t="s">
        <v>2443</v>
      </c>
      <c r="L1096" s="118" t="str">
        <f>IF(K1096="yes",("Sorry, question (8.01"&amp;RIGHT(B1095,1)&amp;") is required!"),"")</f>
        <v>Sorry, question (8.01h) is required!</v>
      </c>
    </row>
    <row r="1097" spans="1:24" ht="14.25" customHeight="1">
      <c r="A1097" t="s">
        <v>23</v>
      </c>
      <c r="B1097" t="s">
        <v>1622</v>
      </c>
      <c r="E1097" s="118" t="s">
        <v>953</v>
      </c>
      <c r="H1097" s="206" t="str">
        <f>"(8.01h) Does this facility provide &lt;b&gt;Antenatal care&lt;/b&gt; within "&amp;E1097</f>
        <v>(8.01h) Does this facility provide &lt;b&gt;Antenatal care&lt;/b&gt; within Outreach</v>
      </c>
      <c r="I1097" s="213" t="str">
        <f t="shared" si="168"/>
        <v>select_one yesno</v>
      </c>
      <c r="J1097" s="106" t="s">
        <v>3539</v>
      </c>
      <c r="K1097" s="116" t="s">
        <v>2443</v>
      </c>
      <c r="L1097" s="118" t="str">
        <f>IF(K1097="yes",("Sorry, question (8.01"&amp;RIGHT(B1095,1)&amp;") is required!"),"")</f>
        <v>Sorry, question (8.01h) is required!</v>
      </c>
    </row>
    <row r="1098" spans="1:24" ht="14.25" customHeight="1">
      <c r="A1098" t="s">
        <v>955</v>
      </c>
      <c r="B1098" t="s">
        <v>1623</v>
      </c>
      <c r="E1098" s="118" t="s">
        <v>1942</v>
      </c>
      <c r="F1098" s="118" t="s">
        <v>6622</v>
      </c>
      <c r="H1098" s="206" t="str">
        <f>E1098</f>
        <v>(8.02h) How many days per week is this service offered?</v>
      </c>
      <c r="I1098" s="213" t="str">
        <f t="shared" si="168"/>
        <v>integer</v>
      </c>
      <c r="J1098" s="106" t="s">
        <v>6624</v>
      </c>
      <c r="K1098" s="116" t="s">
        <v>2443</v>
      </c>
      <c r="L1098" s="118" t="str">
        <f>IF(K1098="yes",("Sorry, question "&amp;LEFT(E1098, 7)&amp;" is required!"),"")</f>
        <v>Sorry, question (8.02h) is required!</v>
      </c>
      <c r="M1098" s="113" t="s">
        <v>6618</v>
      </c>
      <c r="N1098" t="s">
        <v>3861</v>
      </c>
      <c r="O1098" s="110" t="s">
        <v>1555</v>
      </c>
    </row>
    <row r="1099" spans="1:24" ht="14.25" customHeight="1">
      <c r="A1099" t="s">
        <v>955</v>
      </c>
      <c r="B1099" t="s">
        <v>1624</v>
      </c>
      <c r="E1099" s="118" t="s">
        <v>5418</v>
      </c>
      <c r="F1099" s="118" t="s">
        <v>1881</v>
      </c>
      <c r="H1099" s="206" t="str">
        <f>E1099</f>
        <v>(8.03h) What is the total price in Dalasi charged for &lt;b&gt;Antenatal care&lt;/b&gt;? INTERVIEWER: IF NO CHARGE, RECORD "0".</v>
      </c>
      <c r="I1099" s="213" t="str">
        <f t="shared" si="168"/>
        <v>integer</v>
      </c>
      <c r="J1099" s="106" t="s">
        <v>3534</v>
      </c>
      <c r="K1099" s="116" t="s">
        <v>2443</v>
      </c>
      <c r="L1099" s="118" t="str">
        <f>IF(K1099="yes",("Sorry, question "&amp;LEFT(E1099, 7)&amp;" is required!"),"")</f>
        <v>Sorry, question (8.03h) is required!</v>
      </c>
      <c r="M1099" s="113" t="s">
        <v>5398</v>
      </c>
      <c r="N1099" t="s">
        <v>3862</v>
      </c>
      <c r="O1099" s="110" t="s">
        <v>1555</v>
      </c>
    </row>
    <row r="1100" spans="1:24" ht="14.25" customHeight="1">
      <c r="A1100" t="s">
        <v>15</v>
      </c>
      <c r="E1100" s="118" t="s">
        <v>1067</v>
      </c>
      <c r="X1100" t="s">
        <v>3032</v>
      </c>
    </row>
    <row r="1101" spans="1:24" ht="14.25" customHeight="1">
      <c r="A1101" t="s">
        <v>954</v>
      </c>
      <c r="B1101" t="s">
        <v>3179</v>
      </c>
      <c r="E1101" s="118" t="s">
        <v>1067</v>
      </c>
      <c r="J1101" s="106" t="s">
        <v>3371</v>
      </c>
      <c r="L1101" s="118" t="str">
        <f>IF(K1101="yes",("Sorry, question "&amp;LEFT(E1101, 6)&amp;" is required!"),"")</f>
        <v/>
      </c>
      <c r="O1101" s="110" t="s">
        <v>1555</v>
      </c>
      <c r="X1101" t="s">
        <v>3032</v>
      </c>
    </row>
    <row r="1102" spans="1:24" ht="14.25" customHeight="1">
      <c r="A1102" t="s">
        <v>17</v>
      </c>
      <c r="B1102" t="s">
        <v>1625</v>
      </c>
      <c r="E1102" s="118" t="s">
        <v>5419</v>
      </c>
      <c r="F1102" s="117" t="s">
        <v>6662</v>
      </c>
      <c r="I1102" s="213" t="str">
        <f t="shared" si="168"/>
        <v>note</v>
      </c>
      <c r="J1102" s="106" t="s">
        <v>3370</v>
      </c>
      <c r="L1102" s="118" t="str">
        <f>IF(K1102="yes",("Sorry, question "&amp;LEFT(E1102, 6)&amp;" is required!"),"")</f>
        <v/>
      </c>
    </row>
    <row r="1103" spans="1:24" ht="14.25" customHeight="1">
      <c r="A1103" t="s">
        <v>17</v>
      </c>
      <c r="B1103" t="s">
        <v>1626</v>
      </c>
      <c r="E1103" s="118" t="s">
        <v>958</v>
      </c>
      <c r="I1103" s="213" t="str">
        <f t="shared" si="168"/>
        <v>note</v>
      </c>
      <c r="J1103" s="106" t="s">
        <v>3477</v>
      </c>
      <c r="L1103" s="118" t="str">
        <f>IF(K1103="yes",("Sorry, question "&amp;LEFT(E1103, 6)&amp;" is required!"),"")</f>
        <v/>
      </c>
    </row>
    <row r="1104" spans="1:24" ht="14.25" customHeight="1">
      <c r="A1104" t="s">
        <v>955</v>
      </c>
      <c r="B1104" t="s">
        <v>5007</v>
      </c>
      <c r="E1104" s="118" t="s">
        <v>959</v>
      </c>
      <c r="H1104" s="206" t="str">
        <f>"(8.04g) TOTAL NUMBER OF "&amp;E1103&amp;" - "&amp;E1104</f>
        <v>(8.04g) TOTAL NUMBER OF MONTH 1 - IN</v>
      </c>
      <c r="I1104" s="213" t="str">
        <f t="shared" si="168"/>
        <v>integer</v>
      </c>
      <c r="J1104" s="106" t="s">
        <v>4907</v>
      </c>
      <c r="K1104" s="116" t="s">
        <v>2443</v>
      </c>
      <c r="L1104" s="118" t="str">
        <f>IF(K1104="yes",("Sorry, question MONTH 1 is required!"),"")</f>
        <v>Sorry, question MONTH 1 is required!</v>
      </c>
      <c r="M1104" s="113" t="s">
        <v>5398</v>
      </c>
      <c r="N1104" t="s">
        <v>3863</v>
      </c>
    </row>
    <row r="1105" spans="1:24" ht="14.25" customHeight="1">
      <c r="A1105" t="s">
        <v>955</v>
      </c>
      <c r="B1105" t="s">
        <v>4986</v>
      </c>
      <c r="E1105" s="118" t="s">
        <v>960</v>
      </c>
      <c r="H1105" s="206" t="str">
        <f>"(8.04g) TOTAL NUMBER OF "&amp;E1103&amp;" - "&amp;E1105</f>
        <v>(8.04g) TOTAL NUMBER OF MONTH 1 - OUT</v>
      </c>
      <c r="I1105" s="213" t="str">
        <f t="shared" si="168"/>
        <v>integer</v>
      </c>
      <c r="J1105" s="106" t="s">
        <v>4908</v>
      </c>
      <c r="K1105" s="116" t="s">
        <v>2443</v>
      </c>
      <c r="L1105" s="118" t="str">
        <f t="shared" ref="L1105:L1109" si="169">IF(K1105="yes",("Sorry, question MONTH 1 is required!"),"")</f>
        <v>Sorry, question MONTH 1 is required!</v>
      </c>
      <c r="M1105" s="113" t="s">
        <v>5398</v>
      </c>
      <c r="N1105" t="s">
        <v>3864</v>
      </c>
    </row>
    <row r="1106" spans="1:24" ht="14.25" customHeight="1">
      <c r="A1106" t="s">
        <v>17</v>
      </c>
      <c r="B1106" t="s">
        <v>1627</v>
      </c>
      <c r="E1106" s="118" t="s">
        <v>961</v>
      </c>
      <c r="I1106" s="213" t="str">
        <f t="shared" si="168"/>
        <v>note</v>
      </c>
      <c r="J1106" s="106" t="s">
        <v>3478</v>
      </c>
      <c r="L1106" s="118" t="str">
        <f t="shared" si="169"/>
        <v/>
      </c>
    </row>
    <row r="1107" spans="1:24" ht="14.25" customHeight="1">
      <c r="A1107" t="s">
        <v>955</v>
      </c>
      <c r="B1107" t="s">
        <v>5049</v>
      </c>
      <c r="E1107" s="118" t="s">
        <v>959</v>
      </c>
      <c r="H1107" s="206" t="str">
        <f>"(8.04g) TOTAL NUMBER OF "&amp;E1106&amp;" - "&amp;E1107</f>
        <v>(8.04g) TOTAL NUMBER OF MONTH 2 - IN</v>
      </c>
      <c r="I1107" s="213" t="str">
        <f t="shared" si="168"/>
        <v>integer</v>
      </c>
      <c r="J1107" s="106" t="s">
        <v>6621</v>
      </c>
      <c r="K1107" s="116" t="s">
        <v>2443</v>
      </c>
      <c r="L1107" s="118" t="str">
        <f>IF(K1107="yes",("Sorry, question MONTH 2 is required!"),"")</f>
        <v>Sorry, question MONTH 2 is required!</v>
      </c>
      <c r="M1107" s="113" t="s">
        <v>5398</v>
      </c>
      <c r="N1107" t="s">
        <v>3865</v>
      </c>
    </row>
    <row r="1108" spans="1:24" ht="14.25" customHeight="1">
      <c r="A1108" t="s">
        <v>955</v>
      </c>
      <c r="B1108" t="s">
        <v>5028</v>
      </c>
      <c r="E1108" s="118" t="s">
        <v>960</v>
      </c>
      <c r="H1108" s="206" t="str">
        <f>"(8.04g) TOTAL NUMBER OF "&amp;E1106&amp;" - "&amp;E1108</f>
        <v>(8.04g) TOTAL NUMBER OF MONTH 2 - OUT</v>
      </c>
      <c r="I1108" s="213" t="str">
        <f t="shared" si="168"/>
        <v>integer</v>
      </c>
      <c r="J1108" s="106" t="s">
        <v>6626</v>
      </c>
      <c r="K1108" s="116" t="s">
        <v>2443</v>
      </c>
      <c r="L1108" s="118" t="str">
        <f>IF(K1108="yes",("Sorry, question MONTH 2 is required!"),"")</f>
        <v>Sorry, question MONTH 2 is required!</v>
      </c>
      <c r="M1108" s="113" t="s">
        <v>5398</v>
      </c>
      <c r="N1108" t="s">
        <v>3866</v>
      </c>
    </row>
    <row r="1109" spans="1:24" ht="14.25" customHeight="1">
      <c r="A1109" t="s">
        <v>17</v>
      </c>
      <c r="B1109" t="s">
        <v>1628</v>
      </c>
      <c r="E1109" s="118" t="s">
        <v>962</v>
      </c>
      <c r="I1109" s="213" t="str">
        <f t="shared" si="168"/>
        <v>note</v>
      </c>
      <c r="J1109" s="106" t="s">
        <v>3480</v>
      </c>
      <c r="L1109" s="118" t="str">
        <f t="shared" si="169"/>
        <v/>
      </c>
    </row>
    <row r="1110" spans="1:24" ht="14.25" customHeight="1">
      <c r="A1110" t="s">
        <v>955</v>
      </c>
      <c r="B1110" t="s">
        <v>5070</v>
      </c>
      <c r="E1110" s="118" t="s">
        <v>959</v>
      </c>
      <c r="H1110" s="206" t="str">
        <f>"(8.04g) TOTAL NUMBER OF "&amp;E1109&amp;" - "&amp;E1110</f>
        <v>(8.04g) TOTAL NUMBER OF MONTH 3 - IN</v>
      </c>
      <c r="I1110" s="213" t="str">
        <f t="shared" si="168"/>
        <v>integer</v>
      </c>
      <c r="J1110" s="106" t="s">
        <v>6629</v>
      </c>
      <c r="K1110" s="116" t="s">
        <v>2443</v>
      </c>
      <c r="L1110" s="118" t="str">
        <f>IF(K1110="yes",("Sorry, question MONTH 3 is required!"),"")</f>
        <v>Sorry, question MONTH 3 is required!</v>
      </c>
      <c r="M1110" s="113" t="s">
        <v>5398</v>
      </c>
      <c r="N1110" t="s">
        <v>3999</v>
      </c>
    </row>
    <row r="1111" spans="1:24" ht="14.25" customHeight="1">
      <c r="A1111" t="s">
        <v>955</v>
      </c>
      <c r="B1111" t="s">
        <v>5091</v>
      </c>
      <c r="E1111" s="118" t="s">
        <v>960</v>
      </c>
      <c r="H1111" s="206" t="str">
        <f>"(8.04g) TOTAL NUMBER OF "&amp;E1109&amp;" - "&amp;E1111</f>
        <v>(8.04g) TOTAL NUMBER OF MONTH 3 - OUT</v>
      </c>
      <c r="I1111" s="213" t="str">
        <f t="shared" si="168"/>
        <v>integer</v>
      </c>
      <c r="J1111" s="106" t="s">
        <v>6630</v>
      </c>
      <c r="K1111" s="116" t="s">
        <v>2443</v>
      </c>
      <c r="L1111" s="118" t="str">
        <f>IF(K1111="yes",("Sorry, question MONTH 3 is required!"),"")</f>
        <v>Sorry, question MONTH 3 is required!</v>
      </c>
      <c r="M1111" s="113" t="s">
        <v>5398</v>
      </c>
      <c r="N1111" t="s">
        <v>4000</v>
      </c>
    </row>
    <row r="1112" spans="1:24" ht="14.25" customHeight="1">
      <c r="A1112" t="s">
        <v>15</v>
      </c>
      <c r="E1112" s="118" t="s">
        <v>1067</v>
      </c>
      <c r="L1112" s="118" t="str">
        <f>IF(K1112="yes",("Sorry, question "&amp;LEFT(E1112, 6)&amp;" is required!"),"")</f>
        <v/>
      </c>
      <c r="X1112" t="s">
        <v>3032</v>
      </c>
    </row>
    <row r="1113" spans="1:24" ht="14.25" customHeight="1">
      <c r="A1113" t="s">
        <v>954</v>
      </c>
      <c r="B1113" t="s">
        <v>3180</v>
      </c>
      <c r="E1113" s="118" t="s">
        <v>1067</v>
      </c>
      <c r="J1113" s="106" t="s">
        <v>3526</v>
      </c>
      <c r="X1113" t="s">
        <v>3032</v>
      </c>
    </row>
    <row r="1114" spans="1:24" ht="14.25" customHeight="1">
      <c r="A1114" t="s">
        <v>957</v>
      </c>
      <c r="B1114" t="s">
        <v>1873</v>
      </c>
      <c r="E1114" s="118" t="s">
        <v>4210</v>
      </c>
      <c r="I1114" s="213" t="str">
        <f t="shared" si="168"/>
        <v>note</v>
      </c>
      <c r="J1114" s="106" t="s">
        <v>3528</v>
      </c>
    </row>
    <row r="1115" spans="1:24" ht="14.25" customHeight="1">
      <c r="A1115" t="s">
        <v>1287</v>
      </c>
      <c r="B1115" s="107" t="s">
        <v>1629</v>
      </c>
      <c r="E1115" s="132" t="s">
        <v>5420</v>
      </c>
      <c r="F1115" s="118" t="s">
        <v>3396</v>
      </c>
      <c r="I1115" s="213" t="str">
        <f t="shared" si="168"/>
        <v>select_one yesno</v>
      </c>
      <c r="J1115" s="106" t="s">
        <v>3540</v>
      </c>
    </row>
    <row r="1116" spans="1:24" ht="14.25" customHeight="1">
      <c r="A1116" t="s">
        <v>23</v>
      </c>
      <c r="B1116" t="s">
        <v>3183</v>
      </c>
      <c r="E1116" s="118" t="s">
        <v>1972</v>
      </c>
      <c r="H1116" s="206" t="str">
        <f>"(8.01i) Does this facility provide &lt;b&gt;Spontaneous Vaginal Delivery&lt;/b&gt; within "&amp;E1116</f>
        <v>(8.01i) Does this facility provide &lt;b&gt;Spontaneous Vaginal Delivery&lt;/b&gt; within In-facility</v>
      </c>
      <c r="I1116" s="213" t="str">
        <f t="shared" si="168"/>
        <v>select_one yesno</v>
      </c>
      <c r="J1116" s="106" t="s">
        <v>3538</v>
      </c>
      <c r="K1116" s="116" t="s">
        <v>2443</v>
      </c>
      <c r="L1116" s="118" t="str">
        <f>IF(K1116="yes",("Sorry, question (8.01"&amp;RIGHT(B1115,1)&amp;") is required!"),"")</f>
        <v>Sorry, question (8.01i) is required!</v>
      </c>
    </row>
    <row r="1117" spans="1:24" ht="14.25" customHeight="1">
      <c r="A1117" t="s">
        <v>23</v>
      </c>
      <c r="B1117" t="s">
        <v>3184</v>
      </c>
      <c r="E1117" s="118" t="s">
        <v>953</v>
      </c>
      <c r="H1117" s="206" t="str">
        <f>"(8.01i) Does this facility provide &lt;b&gt;Spontaneous Vaginal Delivery&lt;/b&gt; within "&amp;E1117</f>
        <v>(8.01i) Does this facility provide &lt;b&gt;Spontaneous Vaginal Delivery&lt;/b&gt; within Outreach</v>
      </c>
      <c r="I1117" s="213" t="str">
        <f t="shared" si="168"/>
        <v>select_one yesno</v>
      </c>
      <c r="J1117" s="106" t="s">
        <v>3539</v>
      </c>
      <c r="K1117" s="116" t="s">
        <v>2443</v>
      </c>
      <c r="L1117" s="118" t="str">
        <f>IF(K1117="yes",("Sorry, question (8.01"&amp;RIGHT(B1115,1)&amp;") is required!"),"")</f>
        <v>Sorry, question (8.01i) is required!</v>
      </c>
    </row>
    <row r="1118" spans="1:24" ht="14.25" customHeight="1">
      <c r="A1118" t="s">
        <v>955</v>
      </c>
      <c r="B1118" t="s">
        <v>1630</v>
      </c>
      <c r="E1118" s="118" t="s">
        <v>1943</v>
      </c>
      <c r="F1118" s="118" t="s">
        <v>6622</v>
      </c>
      <c r="H1118" s="206" t="str">
        <f>E1118</f>
        <v>(8.02i) How many days per week is this service offered?</v>
      </c>
      <c r="I1118" s="213" t="str">
        <f t="shared" si="168"/>
        <v>integer</v>
      </c>
      <c r="J1118" s="106" t="s">
        <v>6624</v>
      </c>
      <c r="K1118" s="116" t="s">
        <v>2443</v>
      </c>
      <c r="L1118" s="118" t="str">
        <f>IF(K1118="yes",("Sorry, question "&amp;LEFT(E1118, 7)&amp;" is required!"),"")</f>
        <v>Sorry, question (8.02i) is required!</v>
      </c>
      <c r="M1118" s="113" t="s">
        <v>6618</v>
      </c>
      <c r="N1118" t="s">
        <v>3871</v>
      </c>
      <c r="O1118" s="110" t="s">
        <v>3182</v>
      </c>
    </row>
    <row r="1119" spans="1:24" ht="14.25" customHeight="1">
      <c r="A1119" t="s">
        <v>955</v>
      </c>
      <c r="B1119" t="s">
        <v>1631</v>
      </c>
      <c r="E1119" s="118" t="s">
        <v>5421</v>
      </c>
      <c r="F1119" s="118" t="s">
        <v>1884</v>
      </c>
      <c r="H1119" s="206" t="str">
        <f>E1119</f>
        <v>(8.03i) What is the total price in Dalasi charged for &lt;b&gt;Spontaneous Vaginal Delivery&lt;/b&gt;? INTERVIEWER: IF NO CHARGE, RECORD "0".</v>
      </c>
      <c r="I1119" s="213" t="str">
        <f t="shared" si="168"/>
        <v>integer</v>
      </c>
      <c r="J1119" s="106" t="s">
        <v>3534</v>
      </c>
      <c r="K1119" s="116" t="s">
        <v>2443</v>
      </c>
      <c r="L1119" s="118" t="str">
        <f>IF(K1119="yes",("Sorry, question "&amp;LEFT(E1119, 7)&amp;" is required!"),"")</f>
        <v>Sorry, question (8.03i) is required!</v>
      </c>
      <c r="M1119" s="113" t="s">
        <v>5398</v>
      </c>
      <c r="N1119" t="s">
        <v>3872</v>
      </c>
      <c r="O1119" s="110" t="s">
        <v>3182</v>
      </c>
    </row>
    <row r="1120" spans="1:24" ht="14.25" customHeight="1">
      <c r="A1120" t="s">
        <v>15</v>
      </c>
      <c r="E1120" s="118" t="s">
        <v>1067</v>
      </c>
      <c r="X1120" t="s">
        <v>3032</v>
      </c>
    </row>
    <row r="1121" spans="1:24" ht="14.25" customHeight="1">
      <c r="A1121" t="s">
        <v>954</v>
      </c>
      <c r="B1121" t="s">
        <v>3181</v>
      </c>
      <c r="E1121" s="118" t="s">
        <v>1067</v>
      </c>
      <c r="J1121" s="106" t="s">
        <v>3371</v>
      </c>
      <c r="L1121" s="118" t="str">
        <f>IF(K1121="yes",("Sorry, question "&amp;LEFT(E1121, 6)&amp;" is required!"),"")</f>
        <v/>
      </c>
      <c r="O1121" s="110" t="s">
        <v>3182</v>
      </c>
      <c r="X1121" t="s">
        <v>3032</v>
      </c>
    </row>
    <row r="1122" spans="1:24" ht="14.25" customHeight="1">
      <c r="A1122" t="s">
        <v>17</v>
      </c>
      <c r="B1122" t="s">
        <v>1632</v>
      </c>
      <c r="E1122" s="118" t="s">
        <v>5422</v>
      </c>
      <c r="F1122" s="117" t="s">
        <v>6662</v>
      </c>
      <c r="I1122" s="213" t="str">
        <f t="shared" si="168"/>
        <v>note</v>
      </c>
      <c r="J1122" s="106" t="s">
        <v>3370</v>
      </c>
      <c r="L1122" s="118" t="str">
        <f>IF(K1122="yes",("Sorry, question "&amp;LEFT(E1122, 6)&amp;" is required!"),"")</f>
        <v/>
      </c>
    </row>
    <row r="1123" spans="1:24" ht="14.25" customHeight="1">
      <c r="A1123" t="s">
        <v>17</v>
      </c>
      <c r="B1123" t="s">
        <v>1633</v>
      </c>
      <c r="E1123" s="118" t="s">
        <v>958</v>
      </c>
      <c r="I1123" s="213" t="str">
        <f t="shared" si="168"/>
        <v>note</v>
      </c>
      <c r="J1123" s="106" t="s">
        <v>3477</v>
      </c>
      <c r="L1123" s="118" t="str">
        <f>IF(K1123="yes",("Sorry, question "&amp;LEFT(E1123, 6)&amp;" is required!"),"")</f>
        <v/>
      </c>
    </row>
    <row r="1124" spans="1:24" ht="14.25" customHeight="1">
      <c r="A1124" t="s">
        <v>955</v>
      </c>
      <c r="B1124" t="s">
        <v>5008</v>
      </c>
      <c r="E1124" s="118" t="s">
        <v>959</v>
      </c>
      <c r="H1124" s="206" t="str">
        <f>"(8.04i) TOTAL NUMBER OF "&amp;E1123&amp;" - "&amp;E1124</f>
        <v>(8.04i) TOTAL NUMBER OF MONTH 1 - IN</v>
      </c>
      <c r="I1124" s="213" t="str">
        <f t="shared" si="168"/>
        <v>integer</v>
      </c>
      <c r="J1124" s="106" t="s">
        <v>4907</v>
      </c>
      <c r="K1124" s="116" t="s">
        <v>2443</v>
      </c>
      <c r="L1124" s="118" t="str">
        <f>IF(K1124="yes",("Sorry, question MONTH 1 is required!"),"")</f>
        <v>Sorry, question MONTH 1 is required!</v>
      </c>
      <c r="M1124" s="113" t="s">
        <v>5398</v>
      </c>
      <c r="N1124" t="s">
        <v>3867</v>
      </c>
    </row>
    <row r="1125" spans="1:24" ht="14.25" customHeight="1">
      <c r="A1125" t="s">
        <v>955</v>
      </c>
      <c r="B1125" t="s">
        <v>4987</v>
      </c>
      <c r="E1125" s="118" t="s">
        <v>960</v>
      </c>
      <c r="H1125" s="206" t="str">
        <f>"(8.04i) TOTAL NUMBER OF "&amp;E1123&amp;" - "&amp;E1125</f>
        <v>(8.04i) TOTAL NUMBER OF MONTH 1 - OUT</v>
      </c>
      <c r="I1125" s="213" t="str">
        <f t="shared" si="168"/>
        <v>integer</v>
      </c>
      <c r="J1125" s="106" t="s">
        <v>4908</v>
      </c>
      <c r="K1125" s="116" t="s">
        <v>2443</v>
      </c>
      <c r="L1125" s="118" t="str">
        <f t="shared" ref="L1125:L1129" si="170">IF(K1125="yes",("Sorry, question MONTH 1 is required!"),"")</f>
        <v>Sorry, question MONTH 1 is required!</v>
      </c>
      <c r="M1125" s="113" t="s">
        <v>5398</v>
      </c>
      <c r="N1125" t="s">
        <v>3868</v>
      </c>
    </row>
    <row r="1126" spans="1:24" ht="14.25" customHeight="1">
      <c r="A1126" t="s">
        <v>17</v>
      </c>
      <c r="B1126" t="s">
        <v>1634</v>
      </c>
      <c r="E1126" s="118" t="s">
        <v>961</v>
      </c>
      <c r="I1126" s="213" t="str">
        <f t="shared" si="168"/>
        <v>note</v>
      </c>
      <c r="J1126" s="106" t="s">
        <v>3478</v>
      </c>
      <c r="L1126" s="118" t="str">
        <f t="shared" si="170"/>
        <v/>
      </c>
    </row>
    <row r="1127" spans="1:24" ht="14.25" customHeight="1">
      <c r="A1127" t="s">
        <v>955</v>
      </c>
      <c r="B1127" t="s">
        <v>5050</v>
      </c>
      <c r="E1127" s="118" t="s">
        <v>959</v>
      </c>
      <c r="H1127" s="206" t="str">
        <f>"(8.04i) TOTAL NUMBER OF "&amp;E1126&amp;" - "&amp;E1127</f>
        <v>(8.04i) TOTAL NUMBER OF MONTH 2 - IN</v>
      </c>
      <c r="I1127" s="213" t="str">
        <f t="shared" si="168"/>
        <v>integer</v>
      </c>
      <c r="J1127" s="106" t="s">
        <v>6621</v>
      </c>
      <c r="K1127" s="116" t="s">
        <v>2443</v>
      </c>
      <c r="L1127" s="118" t="str">
        <f>IF(K1127="yes",("Sorry, question MONTH 2 is required!"),"")</f>
        <v>Sorry, question MONTH 2 is required!</v>
      </c>
      <c r="M1127" s="113" t="s">
        <v>5398</v>
      </c>
      <c r="N1127" t="s">
        <v>3869</v>
      </c>
    </row>
    <row r="1128" spans="1:24" ht="14.25" customHeight="1">
      <c r="A1128" t="s">
        <v>955</v>
      </c>
      <c r="B1128" t="s">
        <v>5029</v>
      </c>
      <c r="E1128" s="118" t="s">
        <v>960</v>
      </c>
      <c r="H1128" s="206" t="str">
        <f>"(8.04i) TOTAL NUMBER OF "&amp;E1126&amp;" - "&amp;E1128</f>
        <v>(8.04i) TOTAL NUMBER OF MONTH 2 - OUT</v>
      </c>
      <c r="I1128" s="213" t="str">
        <f t="shared" si="168"/>
        <v>integer</v>
      </c>
      <c r="J1128" s="106" t="s">
        <v>6626</v>
      </c>
      <c r="K1128" s="116" t="s">
        <v>2443</v>
      </c>
      <c r="L1128" s="118" t="str">
        <f>IF(K1128="yes",("Sorry, question MONTH 2 is required!"),"")</f>
        <v>Sorry, question MONTH 2 is required!</v>
      </c>
      <c r="M1128" s="113" t="s">
        <v>5398</v>
      </c>
      <c r="N1128" t="s">
        <v>3870</v>
      </c>
    </row>
    <row r="1129" spans="1:24" ht="14.25" customHeight="1">
      <c r="A1129" t="s">
        <v>17</v>
      </c>
      <c r="B1129" t="s">
        <v>1635</v>
      </c>
      <c r="E1129" s="118" t="s">
        <v>962</v>
      </c>
      <c r="I1129" s="213" t="str">
        <f t="shared" si="168"/>
        <v>note</v>
      </c>
      <c r="J1129" s="106" t="s">
        <v>3480</v>
      </c>
      <c r="L1129" s="118" t="str">
        <f t="shared" si="170"/>
        <v/>
      </c>
    </row>
    <row r="1130" spans="1:24" ht="14.25" customHeight="1">
      <c r="A1130" t="s">
        <v>955</v>
      </c>
      <c r="B1130" t="s">
        <v>5071</v>
      </c>
      <c r="E1130" s="118" t="s">
        <v>959</v>
      </c>
      <c r="H1130" s="206" t="str">
        <f t="shared" ref="H1130" si="171">"(8.04i) TOTAL NUMBER OF "&amp;E1129&amp;" - "&amp;E1130</f>
        <v>(8.04i) TOTAL NUMBER OF MONTH 3 - IN</v>
      </c>
      <c r="I1130" s="213" t="str">
        <f t="shared" si="168"/>
        <v>integer</v>
      </c>
      <c r="J1130" s="106" t="s">
        <v>6629</v>
      </c>
      <c r="K1130" s="116" t="s">
        <v>2443</v>
      </c>
      <c r="L1130" s="118" t="str">
        <f>IF(K1130="yes",("Sorry, question MONTH 3 is required!"),"")</f>
        <v>Sorry, question MONTH 3 is required!</v>
      </c>
      <c r="M1130" s="113" t="s">
        <v>5398</v>
      </c>
      <c r="N1130" t="s">
        <v>4001</v>
      </c>
    </row>
    <row r="1131" spans="1:24" ht="14.25" customHeight="1">
      <c r="A1131" t="s">
        <v>955</v>
      </c>
      <c r="B1131" t="s">
        <v>5092</v>
      </c>
      <c r="E1131" s="118" t="s">
        <v>960</v>
      </c>
      <c r="H1131" s="206" t="str">
        <f>"(8.04i) TOTAL NUMBER OF "&amp;E1129&amp;" - "&amp;E1131</f>
        <v>(8.04i) TOTAL NUMBER OF MONTH 3 - OUT</v>
      </c>
      <c r="I1131" s="213" t="str">
        <f t="shared" si="168"/>
        <v>integer</v>
      </c>
      <c r="J1131" s="106" t="s">
        <v>6630</v>
      </c>
      <c r="K1131" s="116" t="s">
        <v>2443</v>
      </c>
      <c r="L1131" s="118" t="str">
        <f>IF(K1131="yes",("Sorry, question MONTH 3 is required!"),"")</f>
        <v>Sorry, question MONTH 3 is required!</v>
      </c>
      <c r="M1131" s="113" t="s">
        <v>5398</v>
      </c>
      <c r="N1131" t="s">
        <v>4002</v>
      </c>
    </row>
    <row r="1132" spans="1:24" ht="14.25" customHeight="1">
      <c r="A1132" t="s">
        <v>15</v>
      </c>
      <c r="E1132" s="118" t="s">
        <v>1067</v>
      </c>
      <c r="I1132" s="213" t="str">
        <f t="shared" si="168"/>
        <v>end group</v>
      </c>
      <c r="L1132" s="118" t="str">
        <f>IF(K1132="yes",("Sorry, question "&amp;LEFT(E1132, 6)&amp;" is required!"),"")</f>
        <v/>
      </c>
      <c r="X1132" t="s">
        <v>3032</v>
      </c>
    </row>
    <row r="1133" spans="1:24" ht="14.25" customHeight="1">
      <c r="A1133" t="s">
        <v>954</v>
      </c>
      <c r="B1133" t="s">
        <v>3185</v>
      </c>
      <c r="E1133" s="118" t="s">
        <v>1067</v>
      </c>
      <c r="I1133" s="213" t="str">
        <f t="shared" si="168"/>
        <v>begin group</v>
      </c>
      <c r="J1133" s="106" t="s">
        <v>13</v>
      </c>
      <c r="X1133" t="s">
        <v>3032</v>
      </c>
    </row>
    <row r="1134" spans="1:24" ht="14.25" customHeight="1">
      <c r="A1134" t="s">
        <v>1287</v>
      </c>
      <c r="B1134" s="107" t="s">
        <v>1636</v>
      </c>
      <c r="E1134" s="132" t="s">
        <v>5423</v>
      </c>
      <c r="F1134" s="118" t="s">
        <v>3396</v>
      </c>
      <c r="I1134" s="213" t="str">
        <f t="shared" si="168"/>
        <v>select_one yesno</v>
      </c>
      <c r="J1134" s="106" t="s">
        <v>1</v>
      </c>
    </row>
    <row r="1135" spans="1:24" ht="14.25" customHeight="1">
      <c r="A1135" t="s">
        <v>23</v>
      </c>
      <c r="B1135" t="s">
        <v>3186</v>
      </c>
      <c r="E1135" s="118" t="s">
        <v>1972</v>
      </c>
      <c r="H1135" s="206" t="str">
        <f>"(8.01j) Does this facility provide &lt;b&gt;Ceasarian section&lt;/b&gt; within  "&amp;E1135</f>
        <v>(8.01j) Does this facility provide &lt;b&gt;Ceasarian section&lt;/b&gt; within  In-facility</v>
      </c>
      <c r="I1135" s="213" t="str">
        <f t="shared" si="168"/>
        <v>select_one yesno</v>
      </c>
      <c r="J1135" s="106" t="s">
        <v>1878</v>
      </c>
      <c r="K1135" s="116" t="s">
        <v>2443</v>
      </c>
      <c r="L1135" s="118" t="str">
        <f>IF(K1135="yes",("Sorry, question (8.01"&amp;RIGHT(B1134,1)&amp;") is required!"),"")</f>
        <v>Sorry, question (8.01j) is required!</v>
      </c>
    </row>
    <row r="1136" spans="1:24" ht="14.25" customHeight="1">
      <c r="A1136" t="s">
        <v>23</v>
      </c>
      <c r="B1136" t="s">
        <v>3187</v>
      </c>
      <c r="E1136" s="118" t="s">
        <v>953</v>
      </c>
      <c r="H1136" s="206" t="str">
        <f>"(8.01j) Does this facility provide &lt;b&gt;Ceasarian section&lt;/b&gt; within  "&amp;E1136</f>
        <v>(8.01j) Does this facility provide &lt;b&gt;Ceasarian section&lt;/b&gt; within  Outreach</v>
      </c>
      <c r="I1136" s="213" t="str">
        <f t="shared" si="168"/>
        <v>select_one yesno</v>
      </c>
      <c r="J1136" s="106" t="s">
        <v>1878</v>
      </c>
      <c r="K1136" s="116" t="s">
        <v>2443</v>
      </c>
      <c r="L1136" s="118" t="str">
        <f>IF(K1136="yes",("Sorry, question (8.01"&amp;RIGHT(B1134,1)&amp;") is required!"),"")</f>
        <v>Sorry, question (8.01j) is required!</v>
      </c>
    </row>
    <row r="1137" spans="1:24" ht="14.25" customHeight="1">
      <c r="A1137" t="s">
        <v>955</v>
      </c>
      <c r="B1137" t="s">
        <v>1637</v>
      </c>
      <c r="E1137" s="118" t="s">
        <v>1944</v>
      </c>
      <c r="F1137" s="118" t="s">
        <v>6622</v>
      </c>
      <c r="H1137" s="206" t="str">
        <f>E1137</f>
        <v>(8.02j) How many days per week is this service offered?</v>
      </c>
      <c r="I1137" s="213" t="str">
        <f t="shared" si="168"/>
        <v>integer</v>
      </c>
      <c r="J1137" s="106" t="s">
        <v>6625</v>
      </c>
      <c r="K1137" s="116" t="s">
        <v>2443</v>
      </c>
      <c r="L1137" s="118" t="str">
        <f>IF(K1137="yes",("Sorry, question "&amp;LEFT(E1137, 7)&amp;" is required!"),"")</f>
        <v>Sorry, question (8.02j) is required!</v>
      </c>
      <c r="M1137" s="113" t="s">
        <v>6618</v>
      </c>
      <c r="N1137" t="s">
        <v>3877</v>
      </c>
      <c r="O1137" s="110" t="s">
        <v>3188</v>
      </c>
    </row>
    <row r="1138" spans="1:24" ht="14.25" customHeight="1">
      <c r="A1138" t="s">
        <v>955</v>
      </c>
      <c r="B1138" t="s">
        <v>1638</v>
      </c>
      <c r="E1138" s="118" t="s">
        <v>5424</v>
      </c>
      <c r="F1138" s="118" t="s">
        <v>1884</v>
      </c>
      <c r="H1138" s="206" t="str">
        <f>E1138</f>
        <v>(8.03j) What is the total price in Dalasi charged for &lt;b&gt;Ceasarian section&lt;/b&gt;? INTERVIEWER: IF NO CHARGE, RECORD "0".</v>
      </c>
      <c r="I1138" s="213" t="str">
        <f t="shared" si="168"/>
        <v>integer</v>
      </c>
      <c r="J1138" s="106" t="s">
        <v>3379</v>
      </c>
      <c r="K1138" s="116" t="s">
        <v>2443</v>
      </c>
      <c r="L1138" s="118" t="str">
        <f>IF(K1138="yes",("Sorry, question "&amp;LEFT(E1138, 7)&amp;" is required!"),"")</f>
        <v>Sorry, question (8.03j) is required!</v>
      </c>
      <c r="M1138" s="113" t="s">
        <v>5398</v>
      </c>
      <c r="N1138" t="s">
        <v>3878</v>
      </c>
      <c r="O1138" s="110" t="s">
        <v>3188</v>
      </c>
    </row>
    <row r="1139" spans="1:24" ht="14.25" customHeight="1">
      <c r="A1139" t="s">
        <v>15</v>
      </c>
      <c r="E1139" s="118" t="s">
        <v>1067</v>
      </c>
      <c r="X1139" t="s">
        <v>3032</v>
      </c>
    </row>
    <row r="1140" spans="1:24" ht="14.25" customHeight="1">
      <c r="A1140" t="s">
        <v>954</v>
      </c>
      <c r="B1140" t="s">
        <v>3189</v>
      </c>
      <c r="E1140" s="118" t="s">
        <v>1067</v>
      </c>
      <c r="J1140" s="106" t="s">
        <v>3371</v>
      </c>
      <c r="L1140" s="118" t="str">
        <f>IF(K1140="yes",("Sorry, question "&amp;LEFT(E1140, 6)&amp;" is required!"),"")</f>
        <v/>
      </c>
      <c r="O1140" s="110" t="s">
        <v>3188</v>
      </c>
      <c r="X1140" t="s">
        <v>3032</v>
      </c>
    </row>
    <row r="1141" spans="1:24" ht="14.25" customHeight="1">
      <c r="A1141" t="s">
        <v>17</v>
      </c>
      <c r="B1141" t="s">
        <v>1639</v>
      </c>
      <c r="E1141" s="118" t="s">
        <v>5425</v>
      </c>
      <c r="F1141" s="118" t="s">
        <v>6662</v>
      </c>
      <c r="I1141" s="213" t="str">
        <f t="shared" si="168"/>
        <v>note</v>
      </c>
      <c r="J1141" s="106" t="s">
        <v>3370</v>
      </c>
      <c r="L1141" s="118" t="str">
        <f>IF(K1141="yes",("Sorry, question "&amp;LEFT(E1141, 6)&amp;" is required!"),"")</f>
        <v/>
      </c>
    </row>
    <row r="1142" spans="1:24" ht="14.25" customHeight="1">
      <c r="A1142" t="s">
        <v>17</v>
      </c>
      <c r="B1142" t="s">
        <v>1640</v>
      </c>
      <c r="E1142" s="118" t="s">
        <v>958</v>
      </c>
      <c r="I1142" s="213" t="str">
        <f t="shared" si="168"/>
        <v>note</v>
      </c>
      <c r="J1142" s="106" t="s">
        <v>3477</v>
      </c>
      <c r="L1142" s="118" t="str">
        <f>IF(K1142="yes",("Sorry, question "&amp;LEFT(E1142, 6)&amp;" is required!"),"")</f>
        <v/>
      </c>
    </row>
    <row r="1143" spans="1:24" ht="14.25" customHeight="1">
      <c r="A1143" t="s">
        <v>955</v>
      </c>
      <c r="B1143" t="s">
        <v>5009</v>
      </c>
      <c r="E1143" s="118" t="s">
        <v>959</v>
      </c>
      <c r="H1143" s="206" t="str">
        <f>"(8.0j) TOTAL NUMBER OF "&amp;E1142&amp;" - "&amp;E1143</f>
        <v>(8.0j) TOTAL NUMBER OF MONTH 1 - IN</v>
      </c>
      <c r="I1143" s="213" t="str">
        <f t="shared" si="168"/>
        <v>integer</v>
      </c>
      <c r="J1143" s="106" t="s">
        <v>4907</v>
      </c>
      <c r="K1143" s="116" t="s">
        <v>2443</v>
      </c>
      <c r="L1143" s="118" t="str">
        <f>IF(K1143="yes",("Sorry, question MONTH 1 is required!"),"")</f>
        <v>Sorry, question MONTH 1 is required!</v>
      </c>
      <c r="M1143" s="113" t="s">
        <v>5398</v>
      </c>
      <c r="N1143" t="s">
        <v>3873</v>
      </c>
    </row>
    <row r="1144" spans="1:24" ht="14.25" customHeight="1">
      <c r="A1144" t="s">
        <v>955</v>
      </c>
      <c r="B1144" t="s">
        <v>4988</v>
      </c>
      <c r="E1144" s="118" t="s">
        <v>960</v>
      </c>
      <c r="H1144" s="206" t="str">
        <f>"(8.0j) TOTAL NUMBER OF "&amp;E1142&amp;" - "&amp;E1144</f>
        <v>(8.0j) TOTAL NUMBER OF MONTH 1 - OUT</v>
      </c>
      <c r="I1144" s="213" t="str">
        <f t="shared" si="168"/>
        <v>integer</v>
      </c>
      <c r="J1144" s="106" t="s">
        <v>4908</v>
      </c>
      <c r="K1144" s="116" t="s">
        <v>2443</v>
      </c>
      <c r="L1144" s="118" t="str">
        <f t="shared" ref="L1144:L1148" si="172">IF(K1144="yes",("Sorry, question MONTH 1 is required!"),"")</f>
        <v>Sorry, question MONTH 1 is required!</v>
      </c>
      <c r="M1144" s="113" t="s">
        <v>5398</v>
      </c>
      <c r="N1144" t="s">
        <v>3874</v>
      </c>
    </row>
    <row r="1145" spans="1:24" ht="14.25" customHeight="1">
      <c r="A1145" t="s">
        <v>17</v>
      </c>
      <c r="B1145" t="s">
        <v>1641</v>
      </c>
      <c r="E1145" s="118" t="s">
        <v>961</v>
      </c>
      <c r="I1145" s="213" t="str">
        <f t="shared" si="168"/>
        <v>note</v>
      </c>
      <c r="J1145" s="106" t="s">
        <v>3478</v>
      </c>
      <c r="L1145" s="118" t="str">
        <f t="shared" si="172"/>
        <v/>
      </c>
    </row>
    <row r="1146" spans="1:24" ht="14.25" customHeight="1">
      <c r="A1146" t="s">
        <v>955</v>
      </c>
      <c r="B1146" t="s">
        <v>5051</v>
      </c>
      <c r="E1146" s="118" t="s">
        <v>959</v>
      </c>
      <c r="H1146" s="206" t="str">
        <f t="shared" ref="H1146:H1149" si="173">"(8.0j) TOTAL NUMBER OF "&amp;E1145&amp;" - "&amp;E1146</f>
        <v>(8.0j) TOTAL NUMBER OF MONTH 2 - IN</v>
      </c>
      <c r="I1146" s="213" t="str">
        <f t="shared" si="168"/>
        <v>integer</v>
      </c>
      <c r="J1146" s="106" t="s">
        <v>6621</v>
      </c>
      <c r="K1146" s="116" t="s">
        <v>2443</v>
      </c>
      <c r="L1146" s="118" t="str">
        <f>IF(K1146="yes",("Sorry, question MONTH 2 is required!"),"")</f>
        <v>Sorry, question MONTH 2 is required!</v>
      </c>
      <c r="M1146" s="113" t="s">
        <v>5398</v>
      </c>
      <c r="N1146" t="s">
        <v>3875</v>
      </c>
    </row>
    <row r="1147" spans="1:24" ht="15" customHeight="1">
      <c r="A1147" t="s">
        <v>955</v>
      </c>
      <c r="B1147" t="s">
        <v>5030</v>
      </c>
      <c r="E1147" s="118" t="s">
        <v>960</v>
      </c>
      <c r="H1147" s="206" t="str">
        <f>"(8.0j) TOTAL NUMBER OF "&amp;E1145&amp;" - "&amp;E1147</f>
        <v>(8.0j) TOTAL NUMBER OF MONTH 2 - OUT</v>
      </c>
      <c r="I1147" s="213" t="str">
        <f t="shared" si="168"/>
        <v>integer</v>
      </c>
      <c r="J1147" s="106" t="s">
        <v>6626</v>
      </c>
      <c r="K1147" s="116" t="s">
        <v>2443</v>
      </c>
      <c r="L1147" s="118" t="str">
        <f>IF(K1147="yes",("Sorry, question MONTH 2 is required!"),"")</f>
        <v>Sorry, question MONTH 2 is required!</v>
      </c>
      <c r="M1147" s="113" t="s">
        <v>5398</v>
      </c>
      <c r="N1147" t="s">
        <v>3876</v>
      </c>
    </row>
    <row r="1148" spans="1:24" ht="14.25" customHeight="1">
      <c r="A1148" t="s">
        <v>17</v>
      </c>
      <c r="B1148" t="s">
        <v>1642</v>
      </c>
      <c r="E1148" s="118" t="s">
        <v>962</v>
      </c>
      <c r="I1148" s="213" t="str">
        <f t="shared" si="168"/>
        <v>note</v>
      </c>
      <c r="J1148" s="106" t="s">
        <v>3480</v>
      </c>
      <c r="L1148" s="118" t="str">
        <f t="shared" si="172"/>
        <v/>
      </c>
    </row>
    <row r="1149" spans="1:24" ht="14.25" customHeight="1">
      <c r="A1149" t="s">
        <v>955</v>
      </c>
      <c r="B1149" t="s">
        <v>5072</v>
      </c>
      <c r="E1149" s="118" t="s">
        <v>959</v>
      </c>
      <c r="H1149" s="206" t="str">
        <f t="shared" si="173"/>
        <v>(8.0j) TOTAL NUMBER OF MONTH 3 - IN</v>
      </c>
      <c r="I1149" s="213" t="str">
        <f t="shared" si="168"/>
        <v>integer</v>
      </c>
      <c r="J1149" s="106" t="s">
        <v>6629</v>
      </c>
      <c r="K1149" s="116" t="s">
        <v>2443</v>
      </c>
      <c r="L1149" s="118" t="str">
        <f>IF(K1149="yes",("Sorry, question MONTH 3 is required!"),"")</f>
        <v>Sorry, question MONTH 3 is required!</v>
      </c>
      <c r="M1149" s="113" t="s">
        <v>5398</v>
      </c>
      <c r="N1149" t="s">
        <v>4003</v>
      </c>
    </row>
    <row r="1150" spans="1:24" ht="14.25" customHeight="1">
      <c r="A1150" t="s">
        <v>955</v>
      </c>
      <c r="B1150" t="s">
        <v>5093</v>
      </c>
      <c r="E1150" s="118" t="s">
        <v>960</v>
      </c>
      <c r="H1150" s="206" t="str">
        <f>"(8.0j) TOTAL NUMBER OF "&amp;E1148&amp;" - "&amp;E1150</f>
        <v>(8.0j) TOTAL NUMBER OF MONTH 3 - OUT</v>
      </c>
      <c r="I1150" s="213" t="str">
        <f t="shared" si="168"/>
        <v>integer</v>
      </c>
      <c r="J1150" s="106" t="s">
        <v>6630</v>
      </c>
      <c r="K1150" s="116" t="s">
        <v>2443</v>
      </c>
      <c r="L1150" s="118" t="str">
        <f>IF(K1150="yes",("Sorry, question MONTH 3 is required!"),"")</f>
        <v>Sorry, question MONTH 3 is required!</v>
      </c>
      <c r="M1150" s="113" t="s">
        <v>5398</v>
      </c>
      <c r="N1150" t="s">
        <v>4004</v>
      </c>
    </row>
    <row r="1151" spans="1:24" ht="14.25" customHeight="1">
      <c r="A1151" t="s">
        <v>15</v>
      </c>
      <c r="E1151" s="118" t="s">
        <v>1067</v>
      </c>
      <c r="L1151" s="118" t="str">
        <f>IF(K1151="yes",("Sorry, question "&amp;LEFT(E1151, 6)&amp;" is required!"),"")</f>
        <v/>
      </c>
      <c r="X1151" t="s">
        <v>3032</v>
      </c>
    </row>
    <row r="1152" spans="1:24" ht="14.25" customHeight="1">
      <c r="A1152" t="s">
        <v>954</v>
      </c>
      <c r="B1152" t="s">
        <v>3193</v>
      </c>
      <c r="E1152" s="118" t="s">
        <v>1067</v>
      </c>
      <c r="J1152" s="106" t="s">
        <v>13</v>
      </c>
      <c r="X1152" t="s">
        <v>3032</v>
      </c>
    </row>
    <row r="1153" spans="1:24" ht="14.25" customHeight="1">
      <c r="A1153" t="s">
        <v>1287</v>
      </c>
      <c r="B1153" s="107" t="s">
        <v>1643</v>
      </c>
      <c r="E1153" s="132" t="s">
        <v>5426</v>
      </c>
      <c r="F1153" s="118" t="s">
        <v>3396</v>
      </c>
      <c r="I1153" s="213" t="str">
        <f t="shared" ref="I1153:I1215" si="174">A1153</f>
        <v>select_one yesno</v>
      </c>
      <c r="J1153" s="106" t="s">
        <v>1</v>
      </c>
    </row>
    <row r="1154" spans="1:24" ht="14.25" customHeight="1">
      <c r="A1154" t="s">
        <v>23</v>
      </c>
      <c r="B1154" t="s">
        <v>3190</v>
      </c>
      <c r="E1154" s="118" t="s">
        <v>1972</v>
      </c>
      <c r="H1154" s="206" t="str">
        <f>"(8.01k) Does this facility provide &lt;b&gt;Assisted (forcepts, vaccuum)&lt;/b&gt; within "&amp;E1154</f>
        <v>(8.01k) Does this facility provide &lt;b&gt;Assisted (forcepts, vaccuum)&lt;/b&gt; within In-facility</v>
      </c>
      <c r="I1154" s="213" t="str">
        <f t="shared" si="174"/>
        <v>select_one yesno</v>
      </c>
      <c r="J1154" s="106" t="s">
        <v>1878</v>
      </c>
      <c r="K1154" s="116" t="s">
        <v>2443</v>
      </c>
      <c r="L1154" s="118" t="str">
        <f>IF(K1154="yes",("Sorry, question (8.01"&amp;RIGHT(B1153,1)&amp;") is required!"),"")</f>
        <v>Sorry, question (8.01k) is required!</v>
      </c>
    </row>
    <row r="1155" spans="1:24" ht="14.25" customHeight="1">
      <c r="A1155" t="s">
        <v>23</v>
      </c>
      <c r="B1155" t="s">
        <v>3191</v>
      </c>
      <c r="E1155" s="118" t="s">
        <v>953</v>
      </c>
      <c r="H1155" s="206" t="str">
        <f>"(8.01k) Does this facility provide &lt;b&gt;Assisted (forcepts, vaccuum)&lt;/b&gt; within "&amp;E1155</f>
        <v>(8.01k) Does this facility provide &lt;b&gt;Assisted (forcepts, vaccuum)&lt;/b&gt; within Outreach</v>
      </c>
      <c r="I1155" s="213" t="str">
        <f t="shared" si="174"/>
        <v>select_one yesno</v>
      </c>
      <c r="J1155" s="106" t="s">
        <v>1878</v>
      </c>
      <c r="K1155" s="116" t="s">
        <v>2443</v>
      </c>
      <c r="L1155" s="118" t="str">
        <f>IF(K1155="yes",("Sorry, question (8.01"&amp;RIGHT(B1153,1)&amp;") is required!"),"")</f>
        <v>Sorry, question (8.01k) is required!</v>
      </c>
    </row>
    <row r="1156" spans="1:24" ht="14.25" customHeight="1">
      <c r="A1156" t="s">
        <v>955</v>
      </c>
      <c r="B1156" t="s">
        <v>1644</v>
      </c>
      <c r="E1156" s="118" t="s">
        <v>1945</v>
      </c>
      <c r="F1156" s="118" t="s">
        <v>6622</v>
      </c>
      <c r="H1156" s="206" t="str">
        <f>E1156</f>
        <v>(8.02k) How many days per week is this service offered?</v>
      </c>
      <c r="I1156" s="213" t="str">
        <f t="shared" si="174"/>
        <v>integer</v>
      </c>
      <c r="J1156" s="106" t="s">
        <v>6625</v>
      </c>
      <c r="K1156" s="116" t="s">
        <v>2443</v>
      </c>
      <c r="L1156" s="118" t="str">
        <f>IF(K1156="yes",("Sorry, question "&amp;LEFT(E1156, 7)&amp;" is required!"),"")</f>
        <v>Sorry, question (8.02k) is required!</v>
      </c>
      <c r="M1156" s="113" t="s">
        <v>6618</v>
      </c>
      <c r="N1156" t="s">
        <v>3879</v>
      </c>
      <c r="O1156" s="110" t="s">
        <v>3192</v>
      </c>
    </row>
    <row r="1157" spans="1:24" ht="14.25" customHeight="1">
      <c r="A1157" t="s">
        <v>955</v>
      </c>
      <c r="B1157" t="s">
        <v>1645</v>
      </c>
      <c r="E1157" s="118" t="s">
        <v>5427</v>
      </c>
      <c r="F1157" s="118" t="s">
        <v>1884</v>
      </c>
      <c r="H1157" s="206" t="str">
        <f>E1157</f>
        <v>(8.03k) What is the total price in Dalasi charged for &lt;b&gt;Assisted (forcepts, vaccuum)&lt;/b&gt; ? INTERVIEWER: IF NO CHARGE, RECORD "0".</v>
      </c>
      <c r="I1157" s="213" t="str">
        <f t="shared" si="174"/>
        <v>integer</v>
      </c>
      <c r="J1157" s="106" t="s">
        <v>3379</v>
      </c>
      <c r="K1157" s="116" t="s">
        <v>2443</v>
      </c>
      <c r="L1157" s="118" t="str">
        <f>IF(K1157="yes",("Sorry, question "&amp;LEFT(E1157, 7)&amp;" is required!"),"")</f>
        <v>Sorry, question (8.03k) is required!</v>
      </c>
      <c r="M1157" s="113" t="s">
        <v>5398</v>
      </c>
      <c r="N1157" t="s">
        <v>3880</v>
      </c>
      <c r="O1157" s="110" t="s">
        <v>3192</v>
      </c>
    </row>
    <row r="1158" spans="1:24" ht="14.25" customHeight="1">
      <c r="A1158" t="s">
        <v>15</v>
      </c>
      <c r="E1158" s="118" t="s">
        <v>1067</v>
      </c>
      <c r="X1158" t="s">
        <v>3032</v>
      </c>
    </row>
    <row r="1159" spans="1:24" ht="14.25" customHeight="1">
      <c r="A1159" t="s">
        <v>954</v>
      </c>
      <c r="B1159" t="s">
        <v>3194</v>
      </c>
      <c r="E1159" s="118" t="s">
        <v>1067</v>
      </c>
      <c r="J1159" s="106" t="s">
        <v>3371</v>
      </c>
      <c r="L1159" s="118" t="str">
        <f>IF(K1159="yes",("Sorry, question "&amp;LEFT(E1159, 6)&amp;" is required!"),"")</f>
        <v/>
      </c>
      <c r="O1159" s="110" t="s">
        <v>3192</v>
      </c>
      <c r="X1159" t="s">
        <v>3032</v>
      </c>
    </row>
    <row r="1160" spans="1:24" ht="14.25" customHeight="1">
      <c r="A1160" t="s">
        <v>17</v>
      </c>
      <c r="B1160" t="s">
        <v>1646</v>
      </c>
      <c r="E1160" s="118" t="s">
        <v>5428</v>
      </c>
      <c r="F1160" s="117" t="s">
        <v>6662</v>
      </c>
      <c r="I1160" s="213" t="str">
        <f t="shared" si="174"/>
        <v>note</v>
      </c>
      <c r="J1160" s="106" t="s">
        <v>3370</v>
      </c>
      <c r="L1160" s="118" t="str">
        <f>IF(K1160="yes",("Sorry, question "&amp;LEFT(E1160, 6)&amp;" is required!"),"")</f>
        <v/>
      </c>
    </row>
    <row r="1161" spans="1:24" ht="14.25" customHeight="1">
      <c r="A1161" t="s">
        <v>17</v>
      </c>
      <c r="B1161" t="s">
        <v>1647</v>
      </c>
      <c r="E1161" s="118" t="s">
        <v>958</v>
      </c>
      <c r="I1161" s="213" t="str">
        <f t="shared" si="174"/>
        <v>note</v>
      </c>
      <c r="J1161" s="106" t="s">
        <v>3477</v>
      </c>
      <c r="L1161" s="118" t="str">
        <f>IF(K1161="yes",("Sorry, question "&amp;LEFT(E1161, 6)&amp;" is required!"),"")</f>
        <v/>
      </c>
    </row>
    <row r="1162" spans="1:24" ht="14.25" customHeight="1">
      <c r="A1162" t="s">
        <v>955</v>
      </c>
      <c r="B1162" t="s">
        <v>5010</v>
      </c>
      <c r="E1162" s="118" t="s">
        <v>959</v>
      </c>
      <c r="H1162" s="206" t="str">
        <f>"(8.0k) TOTAL NUMBER OF "&amp;E1161&amp;" - "&amp;E1162</f>
        <v>(8.0k) TOTAL NUMBER OF MONTH 1 - IN</v>
      </c>
      <c r="I1162" s="213" t="str">
        <f t="shared" si="174"/>
        <v>integer</v>
      </c>
      <c r="J1162" s="106" t="s">
        <v>4907</v>
      </c>
      <c r="K1162" s="116" t="s">
        <v>2443</v>
      </c>
      <c r="L1162" s="118" t="str">
        <f>IF(K1162="yes",("Sorry, question MONTH 1 is required!"),"")</f>
        <v>Sorry, question MONTH 1 is required!</v>
      </c>
      <c r="M1162" s="113" t="s">
        <v>5398</v>
      </c>
      <c r="N1162" t="s">
        <v>3881</v>
      </c>
    </row>
    <row r="1163" spans="1:24" ht="14.25" customHeight="1">
      <c r="A1163" t="s">
        <v>955</v>
      </c>
      <c r="B1163" t="s">
        <v>4989</v>
      </c>
      <c r="E1163" s="118" t="s">
        <v>960</v>
      </c>
      <c r="H1163" s="206" t="str">
        <f>"(8.0k) TOTAL NUMBER OF "&amp;E1161&amp;" - "&amp;E1163</f>
        <v>(8.0k) TOTAL NUMBER OF MONTH 1 - OUT</v>
      </c>
      <c r="I1163" s="213" t="str">
        <f t="shared" si="174"/>
        <v>integer</v>
      </c>
      <c r="J1163" s="106" t="s">
        <v>4908</v>
      </c>
      <c r="K1163" s="116" t="s">
        <v>2443</v>
      </c>
      <c r="L1163" s="118" t="str">
        <f t="shared" ref="L1163:L1167" si="175">IF(K1163="yes",("Sorry, question MONTH 1 is required!"),"")</f>
        <v>Sorry, question MONTH 1 is required!</v>
      </c>
      <c r="M1163" s="113" t="s">
        <v>5398</v>
      </c>
      <c r="N1163" t="s">
        <v>3882</v>
      </c>
    </row>
    <row r="1164" spans="1:24" ht="14.25" customHeight="1">
      <c r="A1164" t="s">
        <v>17</v>
      </c>
      <c r="B1164" t="s">
        <v>1648</v>
      </c>
      <c r="E1164" s="118" t="s">
        <v>961</v>
      </c>
      <c r="I1164" s="213" t="str">
        <f t="shared" si="174"/>
        <v>note</v>
      </c>
      <c r="J1164" s="106" t="s">
        <v>3478</v>
      </c>
      <c r="L1164" s="118" t="str">
        <f t="shared" si="175"/>
        <v/>
      </c>
    </row>
    <row r="1165" spans="1:24" ht="14.25" customHeight="1">
      <c r="A1165" t="s">
        <v>955</v>
      </c>
      <c r="B1165" t="s">
        <v>5052</v>
      </c>
      <c r="E1165" s="118" t="s">
        <v>959</v>
      </c>
      <c r="H1165" s="206" t="str">
        <f t="shared" ref="H1165:H1168" si="176">"(8.0k) TOTAL NUMBER OF "&amp;E1164&amp;" - "&amp;E1165</f>
        <v>(8.0k) TOTAL NUMBER OF MONTH 2 - IN</v>
      </c>
      <c r="I1165" s="213" t="str">
        <f t="shared" si="174"/>
        <v>integer</v>
      </c>
      <c r="J1165" s="106" t="s">
        <v>6621</v>
      </c>
      <c r="K1165" s="116" t="s">
        <v>2443</v>
      </c>
      <c r="L1165" s="118" t="str">
        <f>IF(K1165="yes",("Sorry, question MONTH 2 is required!"),"")</f>
        <v>Sorry, question MONTH 2 is required!</v>
      </c>
      <c r="M1165" s="113" t="s">
        <v>5398</v>
      </c>
      <c r="N1165" t="s">
        <v>3883</v>
      </c>
    </row>
    <row r="1166" spans="1:24" ht="14.25" customHeight="1">
      <c r="A1166" t="s">
        <v>955</v>
      </c>
      <c r="B1166" t="s">
        <v>5031</v>
      </c>
      <c r="E1166" s="118" t="s">
        <v>960</v>
      </c>
      <c r="H1166" s="206" t="str">
        <f>"(8.0k) TOTAL NUMBER OF "&amp;E1164&amp;" - "&amp;E1166</f>
        <v>(8.0k) TOTAL NUMBER OF MONTH 2 - OUT</v>
      </c>
      <c r="I1166" s="213" t="str">
        <f t="shared" si="174"/>
        <v>integer</v>
      </c>
      <c r="J1166" s="106" t="s">
        <v>6626</v>
      </c>
      <c r="K1166" s="116" t="s">
        <v>2443</v>
      </c>
      <c r="L1166" s="118" t="str">
        <f>IF(K1166="yes",("Sorry, question MONTH 2 is required!"),"")</f>
        <v>Sorry, question MONTH 2 is required!</v>
      </c>
      <c r="M1166" s="113" t="s">
        <v>5398</v>
      </c>
      <c r="N1166" t="s">
        <v>3884</v>
      </c>
    </row>
    <row r="1167" spans="1:24" ht="14.25" customHeight="1">
      <c r="A1167" t="s">
        <v>17</v>
      </c>
      <c r="B1167" t="s">
        <v>1649</v>
      </c>
      <c r="E1167" s="118" t="s">
        <v>962</v>
      </c>
      <c r="I1167" s="213" t="str">
        <f t="shared" si="174"/>
        <v>note</v>
      </c>
      <c r="J1167" s="106" t="s">
        <v>3480</v>
      </c>
      <c r="L1167" s="118" t="str">
        <f t="shared" si="175"/>
        <v/>
      </c>
    </row>
    <row r="1168" spans="1:24" ht="14.25" customHeight="1">
      <c r="A1168" t="s">
        <v>955</v>
      </c>
      <c r="B1168" t="s">
        <v>5073</v>
      </c>
      <c r="E1168" s="118" t="s">
        <v>959</v>
      </c>
      <c r="H1168" s="206" t="str">
        <f t="shared" si="176"/>
        <v>(8.0k) TOTAL NUMBER OF MONTH 3 - IN</v>
      </c>
      <c r="I1168" s="213" t="str">
        <f t="shared" si="174"/>
        <v>integer</v>
      </c>
      <c r="J1168" s="106" t="s">
        <v>6629</v>
      </c>
      <c r="K1168" s="116" t="s">
        <v>2443</v>
      </c>
      <c r="L1168" s="118" t="str">
        <f>IF(K1168="yes",("Sorry, question MONTH 3 is required!"),"")</f>
        <v>Sorry, question MONTH 3 is required!</v>
      </c>
      <c r="M1168" s="113" t="s">
        <v>5398</v>
      </c>
      <c r="N1168" t="s">
        <v>4005</v>
      </c>
    </row>
    <row r="1169" spans="1:24" ht="14.25" customHeight="1">
      <c r="A1169" t="s">
        <v>955</v>
      </c>
      <c r="B1169" t="s">
        <v>5094</v>
      </c>
      <c r="E1169" s="118" t="s">
        <v>960</v>
      </c>
      <c r="H1169" s="206" t="str">
        <f>"(8.0k) TOTAL NUMBER OF "&amp;E1167&amp;" - "&amp;E1169</f>
        <v>(8.0k) TOTAL NUMBER OF MONTH 3 - OUT</v>
      </c>
      <c r="I1169" s="213" t="str">
        <f t="shared" si="174"/>
        <v>integer</v>
      </c>
      <c r="J1169" s="106" t="s">
        <v>6630</v>
      </c>
      <c r="K1169" s="116" t="s">
        <v>2443</v>
      </c>
      <c r="L1169" s="118" t="str">
        <f>IF(K1169="yes",("Sorry, question MONTH 3 is required!"),"")</f>
        <v>Sorry, question MONTH 3 is required!</v>
      </c>
      <c r="M1169" s="113" t="s">
        <v>5398</v>
      </c>
      <c r="N1169" t="s">
        <v>4006</v>
      </c>
    </row>
    <row r="1170" spans="1:24" ht="14.25" customHeight="1">
      <c r="A1170" t="s">
        <v>15</v>
      </c>
      <c r="L1170" s="118" t="str">
        <f>IF(K1170="yes",("Sorry, question "&amp;LEFT(E1170, 6)&amp;" is required!"),"")</f>
        <v/>
      </c>
      <c r="X1170" t="s">
        <v>3032</v>
      </c>
    </row>
    <row r="1171" spans="1:24" ht="14.25" customHeight="1">
      <c r="A1171" t="s">
        <v>954</v>
      </c>
      <c r="B1171" t="s">
        <v>3195</v>
      </c>
      <c r="J1171" s="106" t="s">
        <v>13</v>
      </c>
      <c r="X1171" t="s">
        <v>3032</v>
      </c>
    </row>
    <row r="1172" spans="1:24" ht="14.25" customHeight="1">
      <c r="A1172" t="s">
        <v>1287</v>
      </c>
      <c r="B1172" s="107" t="s">
        <v>1650</v>
      </c>
      <c r="E1172" s="132" t="s">
        <v>5429</v>
      </c>
      <c r="F1172" s="118" t="s">
        <v>3396</v>
      </c>
      <c r="I1172" s="213" t="str">
        <f t="shared" si="174"/>
        <v>select_one yesno</v>
      </c>
      <c r="J1172" s="106" t="s">
        <v>1876</v>
      </c>
    </row>
    <row r="1173" spans="1:24" ht="14.25" customHeight="1">
      <c r="A1173" t="s">
        <v>23</v>
      </c>
      <c r="B1173" t="s">
        <v>2331</v>
      </c>
      <c r="E1173" s="118" t="s">
        <v>951</v>
      </c>
      <c r="H1173" s="206" t="str">
        <f>"(8.01l) Does this facility provide &lt;b&gt;Postnatal care&lt;/b&gt; within  "&amp;E1173</f>
        <v>(8.01l) Does this facility provide &lt;b&gt;Postnatal care&lt;/b&gt; within  In-facility</v>
      </c>
      <c r="I1173" s="213" t="str">
        <f t="shared" si="174"/>
        <v>select_one yesno</v>
      </c>
      <c r="J1173" s="106" t="s">
        <v>1878</v>
      </c>
      <c r="K1173" s="116" t="s">
        <v>2443</v>
      </c>
      <c r="L1173" s="118" t="str">
        <f>IF(K1173="yes",("Sorry, question (8.01"&amp;RIGHT(B1172,1)&amp;") is required!"),"")</f>
        <v>Sorry, question (8.01l) is required!</v>
      </c>
    </row>
    <row r="1174" spans="1:24" ht="14.25" customHeight="1">
      <c r="A1174" t="s">
        <v>23</v>
      </c>
      <c r="B1174" t="s">
        <v>2332</v>
      </c>
      <c r="E1174" s="118" t="s">
        <v>953</v>
      </c>
      <c r="H1174" s="206" t="str">
        <f>"(8.01l) Does this facility provide &lt;b&gt;Postnatal care&lt;/b&gt; within  "&amp;E1174</f>
        <v>(8.01l) Does this facility provide &lt;b&gt;Postnatal care&lt;/b&gt; within  Outreach</v>
      </c>
      <c r="I1174" s="213" t="str">
        <f t="shared" si="174"/>
        <v>select_one yesno</v>
      </c>
      <c r="J1174" s="106" t="s">
        <v>1878</v>
      </c>
      <c r="K1174" s="116" t="s">
        <v>2443</v>
      </c>
      <c r="L1174" s="118" t="str">
        <f>IF(K1174="yes",("Sorry, question (8.01"&amp;RIGHT(B1172,1)&amp;") is required!"),"")</f>
        <v>Sorry, question (8.01l) is required!</v>
      </c>
    </row>
    <row r="1175" spans="1:24" ht="14.25" customHeight="1">
      <c r="A1175" t="s">
        <v>955</v>
      </c>
      <c r="B1175" t="s">
        <v>1651</v>
      </c>
      <c r="E1175" s="118" t="s">
        <v>1946</v>
      </c>
      <c r="F1175" s="118" t="s">
        <v>6622</v>
      </c>
      <c r="H1175" s="206" t="str">
        <f>E1175</f>
        <v>(8.02l) How many days per week is this service offered?</v>
      </c>
      <c r="I1175" s="213" t="str">
        <f t="shared" si="174"/>
        <v>integer</v>
      </c>
      <c r="J1175" s="106" t="s">
        <v>6625</v>
      </c>
      <c r="K1175" s="116" t="s">
        <v>2443</v>
      </c>
      <c r="L1175" s="118" t="str">
        <f>IF(K1175="yes",("Sorry, question "&amp;LEFT(E1175, 7)&amp;" is required!"),"")</f>
        <v>Sorry, question (8.02l) is required!</v>
      </c>
      <c r="M1175" s="113" t="s">
        <v>6618</v>
      </c>
      <c r="N1175" t="s">
        <v>3885</v>
      </c>
      <c r="O1175" s="110" t="s">
        <v>2337</v>
      </c>
    </row>
    <row r="1176" spans="1:24" ht="14.25" customHeight="1">
      <c r="A1176" t="s">
        <v>955</v>
      </c>
      <c r="B1176" t="s">
        <v>1652</v>
      </c>
      <c r="E1176" s="118" t="s">
        <v>5430</v>
      </c>
      <c r="F1176" s="118" t="s">
        <v>1881</v>
      </c>
      <c r="H1176" s="206" t="str">
        <f>E1176</f>
        <v>(8.03l) What is the total price in Dalasi charged for &lt;b&gt;Postnatal care&lt;/b&gt;? INTERVIEWER: IF NO CHARGE, RECORD "0".</v>
      </c>
      <c r="I1176" s="213" t="str">
        <f t="shared" si="174"/>
        <v>integer</v>
      </c>
      <c r="J1176" s="106" t="s">
        <v>3379</v>
      </c>
      <c r="K1176" s="116" t="s">
        <v>2443</v>
      </c>
      <c r="L1176" s="118" t="str">
        <f>IF(K1176="yes",("Sorry, question "&amp;LEFT(E1176, 7)&amp;" is required!"),"")</f>
        <v>Sorry, question (8.03l) is required!</v>
      </c>
      <c r="M1176" s="113" t="s">
        <v>5398</v>
      </c>
      <c r="N1176" t="s">
        <v>3886</v>
      </c>
      <c r="O1176" s="110" t="s">
        <v>2337</v>
      </c>
    </row>
    <row r="1177" spans="1:24" ht="14.25" customHeight="1">
      <c r="A1177" t="s">
        <v>15</v>
      </c>
      <c r="E1177" s="118" t="s">
        <v>1067</v>
      </c>
      <c r="X1177" t="s">
        <v>3032</v>
      </c>
    </row>
    <row r="1178" spans="1:24" ht="14.25" customHeight="1">
      <c r="A1178" t="s">
        <v>954</v>
      </c>
      <c r="B1178" t="s">
        <v>3196</v>
      </c>
      <c r="E1178" s="118" t="s">
        <v>1067</v>
      </c>
      <c r="J1178" s="106" t="s">
        <v>3371</v>
      </c>
      <c r="L1178" s="118" t="str">
        <f>IF(K1178="yes",("Sorry, question "&amp;LEFT(E1178, 6)&amp;" is required!"),"")</f>
        <v/>
      </c>
      <c r="O1178" s="110" t="s">
        <v>2337</v>
      </c>
      <c r="X1178" t="s">
        <v>3032</v>
      </c>
    </row>
    <row r="1179" spans="1:24" ht="14.25" customHeight="1">
      <c r="A1179" t="s">
        <v>17</v>
      </c>
      <c r="B1179" t="s">
        <v>1653</v>
      </c>
      <c r="E1179" s="118" t="s">
        <v>5431</v>
      </c>
      <c r="F1179" s="117" t="s">
        <v>6662</v>
      </c>
      <c r="I1179" s="213" t="str">
        <f t="shared" si="174"/>
        <v>note</v>
      </c>
      <c r="J1179" s="106" t="s">
        <v>3370</v>
      </c>
      <c r="L1179" s="118" t="str">
        <f>IF(K1179="yes",("Sorry, question "&amp;LEFT(E1179, 6)&amp;" is required!"),"")</f>
        <v/>
      </c>
    </row>
    <row r="1180" spans="1:24" ht="14.25" customHeight="1">
      <c r="A1180" t="s">
        <v>17</v>
      </c>
      <c r="B1180" t="s">
        <v>1654</v>
      </c>
      <c r="E1180" s="118" t="s">
        <v>958</v>
      </c>
      <c r="I1180" s="213" t="str">
        <f t="shared" si="174"/>
        <v>note</v>
      </c>
      <c r="J1180" s="106" t="s">
        <v>3477</v>
      </c>
      <c r="L1180" s="118" t="str">
        <f>IF(K1180="yes",("Sorry, question "&amp;LEFT(E1180, 6)&amp;" is required!"),"")</f>
        <v/>
      </c>
    </row>
    <row r="1181" spans="1:24" ht="14.25" customHeight="1">
      <c r="A1181" t="s">
        <v>955</v>
      </c>
      <c r="B1181" t="s">
        <v>5011</v>
      </c>
      <c r="E1181" s="118" t="s">
        <v>959</v>
      </c>
      <c r="H1181" s="206" t="str">
        <f>"(8.04l) TOTAL NUMBER OF "&amp;E1180&amp;" - "&amp;E1181</f>
        <v>(8.04l) TOTAL NUMBER OF MONTH 1 - IN</v>
      </c>
      <c r="I1181" s="213" t="str">
        <f t="shared" si="174"/>
        <v>integer</v>
      </c>
      <c r="J1181" s="106" t="s">
        <v>4907</v>
      </c>
      <c r="K1181" s="116" t="s">
        <v>2443</v>
      </c>
      <c r="L1181" s="118" t="str">
        <f>IF(K1181="yes",("Sorry, question MONTH 1 is required!"),"")</f>
        <v>Sorry, question MONTH 1 is required!</v>
      </c>
      <c r="M1181" s="113" t="s">
        <v>5398</v>
      </c>
      <c r="N1181" t="s">
        <v>3887</v>
      </c>
    </row>
    <row r="1182" spans="1:24" ht="14.25" customHeight="1">
      <c r="A1182" t="s">
        <v>955</v>
      </c>
      <c r="B1182" t="s">
        <v>4990</v>
      </c>
      <c r="E1182" s="118" t="s">
        <v>960</v>
      </c>
      <c r="H1182" s="206" t="str">
        <f>"(8.04l) TOTAL NUMBER OF "&amp;E1180&amp;" - "&amp;E1182</f>
        <v>(8.04l) TOTAL NUMBER OF MONTH 1 - OUT</v>
      </c>
      <c r="I1182" s="213" t="str">
        <f t="shared" si="174"/>
        <v>integer</v>
      </c>
      <c r="J1182" s="106" t="s">
        <v>4908</v>
      </c>
      <c r="K1182" s="116" t="s">
        <v>2443</v>
      </c>
      <c r="L1182" s="118" t="str">
        <f t="shared" ref="L1182:L1186" si="177">IF(K1182="yes",("Sorry, question MONTH 1 is required!"),"")</f>
        <v>Sorry, question MONTH 1 is required!</v>
      </c>
      <c r="M1182" s="113" t="s">
        <v>5398</v>
      </c>
      <c r="N1182" t="s">
        <v>3888</v>
      </c>
    </row>
    <row r="1183" spans="1:24" ht="14.25" customHeight="1">
      <c r="A1183" t="s">
        <v>17</v>
      </c>
      <c r="B1183" t="s">
        <v>1655</v>
      </c>
      <c r="E1183" s="118" t="s">
        <v>961</v>
      </c>
      <c r="I1183" s="213" t="str">
        <f t="shared" si="174"/>
        <v>note</v>
      </c>
      <c r="J1183" s="106" t="s">
        <v>3478</v>
      </c>
      <c r="L1183" s="118" t="str">
        <f t="shared" si="177"/>
        <v/>
      </c>
    </row>
    <row r="1184" spans="1:24" ht="14.25" customHeight="1">
      <c r="A1184" t="s">
        <v>955</v>
      </c>
      <c r="B1184" t="s">
        <v>5053</v>
      </c>
      <c r="E1184" s="118" t="s">
        <v>959</v>
      </c>
      <c r="H1184" s="206" t="str">
        <f>"(8.04l) TOTAL NUMBER OF "&amp;E1183&amp;" - "&amp;E1184</f>
        <v>(8.04l) TOTAL NUMBER OF MONTH 2 - IN</v>
      </c>
      <c r="I1184" s="213" t="str">
        <f t="shared" si="174"/>
        <v>integer</v>
      </c>
      <c r="J1184" s="106" t="s">
        <v>6621</v>
      </c>
      <c r="K1184" s="116" t="s">
        <v>2443</v>
      </c>
      <c r="L1184" s="118" t="str">
        <f>IF(K1184="yes",("Sorry, question MONTH 2 is required!"),"")</f>
        <v>Sorry, question MONTH 2 is required!</v>
      </c>
      <c r="M1184" s="113" t="s">
        <v>5398</v>
      </c>
      <c r="N1184" t="s">
        <v>3889</v>
      </c>
    </row>
    <row r="1185" spans="1:24" ht="14.25" customHeight="1">
      <c r="A1185" t="s">
        <v>955</v>
      </c>
      <c r="B1185" t="s">
        <v>5032</v>
      </c>
      <c r="E1185" s="118" t="s">
        <v>960</v>
      </c>
      <c r="H1185" s="206" t="str">
        <f>"(8.04l) TOTAL NUMBER OF "&amp;E1183&amp;" - "&amp;E1185</f>
        <v>(8.04l) TOTAL NUMBER OF MONTH 2 - OUT</v>
      </c>
      <c r="I1185" s="213" t="str">
        <f t="shared" si="174"/>
        <v>integer</v>
      </c>
      <c r="J1185" s="106" t="s">
        <v>6626</v>
      </c>
      <c r="K1185" s="116" t="s">
        <v>2443</v>
      </c>
      <c r="L1185" s="118" t="str">
        <f>IF(K1185="yes",("Sorry, question MONTH 2 is required!"),"")</f>
        <v>Sorry, question MONTH 2 is required!</v>
      </c>
      <c r="M1185" s="113" t="s">
        <v>5398</v>
      </c>
      <c r="N1185" t="s">
        <v>3890</v>
      </c>
    </row>
    <row r="1186" spans="1:24" ht="14.25" customHeight="1">
      <c r="A1186" t="s">
        <v>17</v>
      </c>
      <c r="B1186" t="s">
        <v>1656</v>
      </c>
      <c r="E1186" s="118" t="s">
        <v>962</v>
      </c>
      <c r="I1186" s="213" t="str">
        <f t="shared" si="174"/>
        <v>note</v>
      </c>
      <c r="J1186" s="106" t="s">
        <v>3480</v>
      </c>
      <c r="L1186" s="118" t="str">
        <f t="shared" si="177"/>
        <v/>
      </c>
    </row>
    <row r="1187" spans="1:24" ht="14.25" customHeight="1">
      <c r="A1187" t="s">
        <v>955</v>
      </c>
      <c r="B1187" t="s">
        <v>5074</v>
      </c>
      <c r="E1187" s="118" t="s">
        <v>959</v>
      </c>
      <c r="H1187" s="206" t="str">
        <f>"(8.04l) TOTAL NUMBER OF "&amp;E1186&amp;" - "&amp;E1187</f>
        <v>(8.04l) TOTAL NUMBER OF MONTH 3 - IN</v>
      </c>
      <c r="I1187" s="213" t="str">
        <f t="shared" si="174"/>
        <v>integer</v>
      </c>
      <c r="J1187" s="106" t="s">
        <v>6629</v>
      </c>
      <c r="K1187" s="116" t="s">
        <v>2443</v>
      </c>
      <c r="L1187" s="118" t="str">
        <f>IF(K1187="yes",("Sorry, question MONTH 3 is required!"),"")</f>
        <v>Sorry, question MONTH 3 is required!</v>
      </c>
      <c r="M1187" s="113" t="s">
        <v>5398</v>
      </c>
      <c r="N1187" t="s">
        <v>4007</v>
      </c>
    </row>
    <row r="1188" spans="1:24" ht="14.25" customHeight="1">
      <c r="A1188" t="s">
        <v>955</v>
      </c>
      <c r="B1188" t="s">
        <v>5095</v>
      </c>
      <c r="E1188" s="118" t="s">
        <v>960</v>
      </c>
      <c r="H1188" s="206" t="str">
        <f>"(8.04l) TOTAL NUMBER OF "&amp;E1186&amp;" - "&amp;E1188</f>
        <v>(8.04l) TOTAL NUMBER OF MONTH 3 - OUT</v>
      </c>
      <c r="I1188" s="213" t="str">
        <f t="shared" si="174"/>
        <v>integer</v>
      </c>
      <c r="J1188" s="106" t="s">
        <v>6630</v>
      </c>
      <c r="K1188" s="116" t="s">
        <v>2443</v>
      </c>
      <c r="L1188" s="118" t="str">
        <f>IF(K1188="yes",("Sorry, question MONTH 3 is required!"),"")</f>
        <v>Sorry, question MONTH 3 is required!</v>
      </c>
      <c r="M1188" s="113" t="s">
        <v>5398</v>
      </c>
      <c r="N1188" t="s">
        <v>4008</v>
      </c>
    </row>
    <row r="1189" spans="1:24" ht="14.25" customHeight="1">
      <c r="A1189" t="s">
        <v>15</v>
      </c>
      <c r="L1189" s="118" t="str">
        <f>IF(K1189="yes",("Sorry, question "&amp;LEFT(E1189, 6)&amp;" is required!"),"")</f>
        <v/>
      </c>
      <c r="X1189" t="s">
        <v>3032</v>
      </c>
    </row>
    <row r="1190" spans="1:24" ht="14.25" customHeight="1">
      <c r="A1190" t="s">
        <v>954</v>
      </c>
      <c r="B1190" t="s">
        <v>3197</v>
      </c>
      <c r="E1190" s="118" t="s">
        <v>1067</v>
      </c>
      <c r="J1190" s="106" t="s">
        <v>3526</v>
      </c>
      <c r="X1190" t="s">
        <v>3032</v>
      </c>
    </row>
    <row r="1191" spans="1:24" ht="14.25" customHeight="1">
      <c r="A1191" t="s">
        <v>17</v>
      </c>
      <c r="B1191" t="s">
        <v>2958</v>
      </c>
      <c r="E1191" s="118" t="s">
        <v>4211</v>
      </c>
      <c r="I1191" s="213" t="str">
        <f t="shared" si="174"/>
        <v>note</v>
      </c>
      <c r="J1191" s="106" t="s">
        <v>3528</v>
      </c>
    </row>
    <row r="1192" spans="1:24" ht="14.25" customHeight="1">
      <c r="A1192" t="s">
        <v>23</v>
      </c>
      <c r="B1192" s="107" t="s">
        <v>1657</v>
      </c>
      <c r="E1192" s="132" t="s">
        <v>5432</v>
      </c>
      <c r="F1192" s="118" t="s">
        <v>3396</v>
      </c>
      <c r="I1192" s="213" t="str">
        <f t="shared" si="174"/>
        <v>select_one yesno</v>
      </c>
      <c r="J1192" s="106" t="s">
        <v>3540</v>
      </c>
      <c r="L1192" s="118" t="str">
        <f>IF(K1192="yes",("Sorry, question (8.01"&amp;RIGHT(B1191,1)&amp;") is required!"),"")</f>
        <v/>
      </c>
    </row>
    <row r="1193" spans="1:24" ht="14.25" customHeight="1">
      <c r="A1193" t="s">
        <v>23</v>
      </c>
      <c r="B1193" t="s">
        <v>1658</v>
      </c>
      <c r="E1193" s="118" t="s">
        <v>951</v>
      </c>
      <c r="H1193" s="206" t="str">
        <f>"(8.01m) Does this facility provide &lt;b&gt;Bacille Calmette Guerin (BCG)&lt;/b&gt; within "&amp;E1193</f>
        <v>(8.01m) Does this facility provide &lt;b&gt;Bacille Calmette Guerin (BCG)&lt;/b&gt; within In-facility</v>
      </c>
      <c r="I1193" s="213" t="str">
        <f t="shared" si="174"/>
        <v>select_one yesno</v>
      </c>
      <c r="J1193" s="106" t="s">
        <v>3538</v>
      </c>
      <c r="K1193" s="116" t="s">
        <v>2443</v>
      </c>
      <c r="L1193" s="118" t="str">
        <f>IF(K1193="yes",("Sorry, question (8.01"&amp;RIGHT(B1192,1)&amp;") is required!"),"")</f>
        <v>Sorry, question (8.01m) is required!</v>
      </c>
    </row>
    <row r="1194" spans="1:24" ht="14.25" customHeight="1">
      <c r="A1194" t="s">
        <v>23</v>
      </c>
      <c r="B1194" t="s">
        <v>1659</v>
      </c>
      <c r="E1194" s="118" t="s">
        <v>953</v>
      </c>
      <c r="H1194" s="206" t="str">
        <f>"(8.01m) Does this facility provide &lt;b&gt;Bacille Calmette Guerin (BCG)&lt;/b&gt; within "&amp;E1194</f>
        <v>(8.01m) Does this facility provide &lt;b&gt;Bacille Calmette Guerin (BCG)&lt;/b&gt; within Outreach</v>
      </c>
      <c r="I1194" s="213" t="str">
        <f t="shared" si="174"/>
        <v>select_one yesno</v>
      </c>
      <c r="J1194" s="106" t="s">
        <v>3539</v>
      </c>
      <c r="K1194" s="116" t="s">
        <v>2443</v>
      </c>
      <c r="L1194" s="118" t="str">
        <f>IF(K1194="yes",("Sorry, question (8.01"&amp;RIGHT(B1192,1)&amp;") is required!"),"")</f>
        <v>Sorry, question (8.01m) is required!</v>
      </c>
    </row>
    <row r="1195" spans="1:24" ht="14.25" customHeight="1">
      <c r="A1195" t="s">
        <v>955</v>
      </c>
      <c r="B1195" t="s">
        <v>1660</v>
      </c>
      <c r="E1195" s="118" t="s">
        <v>1947</v>
      </c>
      <c r="F1195" s="118" t="s">
        <v>6622</v>
      </c>
      <c r="H1195" s="206" t="str">
        <f>E1195</f>
        <v>(8.02m) How many days per week is this service offered?</v>
      </c>
      <c r="I1195" s="213" t="str">
        <f t="shared" si="174"/>
        <v>integer</v>
      </c>
      <c r="J1195" s="106" t="s">
        <v>6624</v>
      </c>
      <c r="K1195" s="116" t="s">
        <v>2443</v>
      </c>
      <c r="L1195" s="118" t="str">
        <f>IF(K1195="yes",("Sorry, question "&amp;LEFT(E1195, 7)&amp;" is required!"),"")</f>
        <v>Sorry, question (8.02m) is required!</v>
      </c>
      <c r="M1195" s="113" t="s">
        <v>6618</v>
      </c>
      <c r="N1195" t="s">
        <v>3891</v>
      </c>
      <c r="O1195" s="110" t="s">
        <v>1556</v>
      </c>
    </row>
    <row r="1196" spans="1:24" ht="14.25" customHeight="1">
      <c r="A1196" t="s">
        <v>955</v>
      </c>
      <c r="B1196" t="s">
        <v>1661</v>
      </c>
      <c r="E1196" s="118" t="s">
        <v>5433</v>
      </c>
      <c r="F1196" s="118" t="s">
        <v>1885</v>
      </c>
      <c r="H1196" s="206" t="str">
        <f>E1196</f>
        <v>(8.03m) What is the total price in Dalasi charged for &lt;b&gt;Bacille Calmette Guerin (BCG)&lt;/b&gt;? INTERVIEWER: IF NO CHARGE, RECORD "0".</v>
      </c>
      <c r="I1196" s="213" t="str">
        <f t="shared" si="174"/>
        <v>integer</v>
      </c>
      <c r="J1196" s="106" t="s">
        <v>3534</v>
      </c>
      <c r="K1196" s="116" t="s">
        <v>2443</v>
      </c>
      <c r="M1196" s="113" t="s">
        <v>5398</v>
      </c>
      <c r="N1196" t="s">
        <v>3892</v>
      </c>
      <c r="O1196" s="110" t="s">
        <v>1556</v>
      </c>
    </row>
    <row r="1197" spans="1:24" ht="14.25" customHeight="1">
      <c r="A1197" t="s">
        <v>15</v>
      </c>
      <c r="E1197" s="118" t="s">
        <v>1067</v>
      </c>
      <c r="L1197" s="118" t="str">
        <f>IF(K1197="yes",("Sorry, question "&amp;LEFT(E1197, 6)&amp;" is required!"),"")</f>
        <v/>
      </c>
      <c r="X1197" t="s">
        <v>3032</v>
      </c>
    </row>
    <row r="1198" spans="1:24" ht="14.25" customHeight="1">
      <c r="A1198" t="s">
        <v>954</v>
      </c>
      <c r="B1198" t="s">
        <v>3198</v>
      </c>
      <c r="E1198" s="118" t="s">
        <v>1067</v>
      </c>
      <c r="J1198" s="106" t="s">
        <v>3371</v>
      </c>
      <c r="L1198" s="118" t="str">
        <f>IF(K1198="yes",("Sorry, question "&amp;LEFT(E1198, 6)&amp;" is required!"),"")</f>
        <v/>
      </c>
      <c r="O1198" s="110" t="s">
        <v>1556</v>
      </c>
      <c r="X1198" t="s">
        <v>3032</v>
      </c>
    </row>
    <row r="1199" spans="1:24" ht="14.25" customHeight="1">
      <c r="A1199" t="s">
        <v>17</v>
      </c>
      <c r="B1199" t="s">
        <v>1662</v>
      </c>
      <c r="E1199" s="118" t="s">
        <v>5434</v>
      </c>
      <c r="F1199" s="117" t="s">
        <v>6662</v>
      </c>
      <c r="I1199" s="213" t="str">
        <f t="shared" si="174"/>
        <v>note</v>
      </c>
      <c r="J1199" s="106" t="s">
        <v>3370</v>
      </c>
      <c r="L1199" s="118" t="str">
        <f>IF(K1199="yes",("Sorry, question "&amp;LEFT(E1199, 6)&amp;" is required!"),"")</f>
        <v/>
      </c>
    </row>
    <row r="1200" spans="1:24" ht="14.25" customHeight="1">
      <c r="A1200" t="s">
        <v>17</v>
      </c>
      <c r="B1200" t="s">
        <v>1663</v>
      </c>
      <c r="E1200" s="118" t="s">
        <v>958</v>
      </c>
      <c r="I1200" s="213" t="str">
        <f t="shared" si="174"/>
        <v>note</v>
      </c>
      <c r="J1200" s="106" t="s">
        <v>3477</v>
      </c>
      <c r="L1200" s="118" t="str">
        <f>IF(K1200="yes",("Sorry, question MONTH 1 is required!"),"")</f>
        <v/>
      </c>
    </row>
    <row r="1201" spans="1:24" ht="14.25" customHeight="1">
      <c r="A1201" t="s">
        <v>955</v>
      </c>
      <c r="B1201" t="s">
        <v>5012</v>
      </c>
      <c r="E1201" s="118" t="s">
        <v>959</v>
      </c>
      <c r="H1201" s="206" t="str">
        <f>"(8.04m) TOTAL NUMBER OF "&amp;E1200&amp;" - "&amp;E1201</f>
        <v>(8.04m) TOTAL NUMBER OF MONTH 1 - IN</v>
      </c>
      <c r="I1201" s="213" t="str">
        <f t="shared" si="174"/>
        <v>integer</v>
      </c>
      <c r="J1201" s="106" t="s">
        <v>4907</v>
      </c>
      <c r="K1201" s="116" t="s">
        <v>2443</v>
      </c>
      <c r="L1201" s="118" t="str">
        <f t="shared" ref="L1201:L1205" si="178">IF(K1201="yes",("Sorry, question MONTH 1 is required!"),"")</f>
        <v>Sorry, question MONTH 1 is required!</v>
      </c>
      <c r="M1201" s="113" t="s">
        <v>5398</v>
      </c>
      <c r="N1201" t="s">
        <v>3893</v>
      </c>
    </row>
    <row r="1202" spans="1:24" ht="14.25" customHeight="1">
      <c r="A1202" t="s">
        <v>955</v>
      </c>
      <c r="B1202" t="s">
        <v>4991</v>
      </c>
      <c r="E1202" s="118" t="s">
        <v>960</v>
      </c>
      <c r="H1202" s="206" t="str">
        <f t="shared" ref="H1202:H1207" si="179">"(8.04m) TOTAL NUMBER OF "&amp;E1201&amp;" - "&amp;E1202</f>
        <v>(8.04m) TOTAL NUMBER OF IN - OUT</v>
      </c>
      <c r="I1202" s="213" t="str">
        <f t="shared" si="174"/>
        <v>integer</v>
      </c>
      <c r="J1202" s="106" t="s">
        <v>4908</v>
      </c>
      <c r="K1202" s="116" t="s">
        <v>2443</v>
      </c>
      <c r="L1202" s="118" t="str">
        <f t="shared" si="178"/>
        <v>Sorry, question MONTH 1 is required!</v>
      </c>
      <c r="M1202" s="113" t="s">
        <v>5398</v>
      </c>
      <c r="N1202" t="s">
        <v>3894</v>
      </c>
    </row>
    <row r="1203" spans="1:24" ht="14.25" customHeight="1">
      <c r="A1203" t="s">
        <v>17</v>
      </c>
      <c r="B1203" t="s">
        <v>1664</v>
      </c>
      <c r="E1203" s="118" t="s">
        <v>961</v>
      </c>
      <c r="I1203" s="213" t="str">
        <f t="shared" si="174"/>
        <v>note</v>
      </c>
      <c r="J1203" s="106" t="s">
        <v>3478</v>
      </c>
      <c r="L1203" s="118" t="str">
        <f>IF(K1203="yes",("Sorry, question MONTH 2 is required!"),"")</f>
        <v/>
      </c>
    </row>
    <row r="1204" spans="1:24" ht="14.25" customHeight="1">
      <c r="A1204" t="s">
        <v>955</v>
      </c>
      <c r="B1204" t="s">
        <v>5054</v>
      </c>
      <c r="E1204" s="118" t="s">
        <v>959</v>
      </c>
      <c r="H1204" s="206" t="str">
        <f t="shared" si="179"/>
        <v>(8.04m) TOTAL NUMBER OF MONTH 2 - IN</v>
      </c>
      <c r="I1204" s="213" t="str">
        <f t="shared" si="174"/>
        <v>integer</v>
      </c>
      <c r="J1204" s="106" t="s">
        <v>6621</v>
      </c>
      <c r="K1204" s="116" t="s">
        <v>2443</v>
      </c>
      <c r="L1204" s="118" t="str">
        <f>IF(K1204="yes",("Sorry, question MONTH 2 is required!"),"")</f>
        <v>Sorry, question MONTH 2 is required!</v>
      </c>
      <c r="M1204" s="113" t="s">
        <v>5398</v>
      </c>
      <c r="N1204" t="s">
        <v>3895</v>
      </c>
    </row>
    <row r="1205" spans="1:24" ht="14.25" customHeight="1">
      <c r="A1205" t="s">
        <v>955</v>
      </c>
      <c r="B1205" t="s">
        <v>5033</v>
      </c>
      <c r="E1205" s="118" t="s">
        <v>960</v>
      </c>
      <c r="H1205" s="206" t="str">
        <f>"(8.04m) TOTAL NUMBER OF "&amp;E1203&amp;" - "&amp;E1205</f>
        <v>(8.04m) TOTAL NUMBER OF MONTH 2 - OUT</v>
      </c>
      <c r="I1205" s="213" t="str">
        <f t="shared" si="174"/>
        <v>integer</v>
      </c>
      <c r="J1205" s="106" t="s">
        <v>6626</v>
      </c>
      <c r="K1205" s="116" t="s">
        <v>2443</v>
      </c>
      <c r="L1205" s="118" t="str">
        <f t="shared" si="178"/>
        <v>Sorry, question MONTH 1 is required!</v>
      </c>
      <c r="M1205" s="113" t="s">
        <v>5398</v>
      </c>
      <c r="N1205" t="s">
        <v>3896</v>
      </c>
    </row>
    <row r="1206" spans="1:24" ht="14.25" customHeight="1">
      <c r="A1206" t="s">
        <v>17</v>
      </c>
      <c r="B1206" t="s">
        <v>1665</v>
      </c>
      <c r="E1206" s="118" t="s">
        <v>962</v>
      </c>
      <c r="I1206" s="213" t="str">
        <f t="shared" si="174"/>
        <v>note</v>
      </c>
      <c r="J1206" s="106" t="s">
        <v>3480</v>
      </c>
      <c r="L1206" s="118" t="str">
        <f>IF(K1206="yes",("Sorry, question MONTH 3 is required!"),"")</f>
        <v/>
      </c>
    </row>
    <row r="1207" spans="1:24" ht="14.25" customHeight="1">
      <c r="A1207" t="s">
        <v>955</v>
      </c>
      <c r="B1207" t="s">
        <v>5075</v>
      </c>
      <c r="E1207" s="118" t="s">
        <v>959</v>
      </c>
      <c r="H1207" s="206" t="str">
        <f t="shared" si="179"/>
        <v>(8.04m) TOTAL NUMBER OF MONTH 3 - IN</v>
      </c>
      <c r="I1207" s="213" t="str">
        <f t="shared" si="174"/>
        <v>integer</v>
      </c>
      <c r="J1207" s="106" t="s">
        <v>6629</v>
      </c>
      <c r="K1207" s="116" t="s">
        <v>2443</v>
      </c>
      <c r="L1207" s="118" t="str">
        <f>IF(K1207="yes",("Sorry, question MONTH 3 is required!"),"")</f>
        <v>Sorry, question MONTH 3 is required!</v>
      </c>
      <c r="M1207" s="113" t="s">
        <v>5398</v>
      </c>
      <c r="N1207" t="s">
        <v>4009</v>
      </c>
    </row>
    <row r="1208" spans="1:24" ht="14.25" customHeight="1">
      <c r="A1208" t="s">
        <v>955</v>
      </c>
      <c r="B1208" t="s">
        <v>5096</v>
      </c>
      <c r="E1208" s="118" t="s">
        <v>960</v>
      </c>
      <c r="H1208" s="206" t="str">
        <f>"(8.04m) TOTAL NUMBER OF "&amp;E1206&amp;" - "&amp;E1208</f>
        <v>(8.04m) TOTAL NUMBER OF MONTH 3 - OUT</v>
      </c>
      <c r="I1208" s="213" t="str">
        <f t="shared" si="174"/>
        <v>integer</v>
      </c>
      <c r="J1208" s="106" t="s">
        <v>6630</v>
      </c>
      <c r="K1208" s="116" t="s">
        <v>2443</v>
      </c>
      <c r="L1208" s="118" t="str">
        <f>IF(K1208="yes",("Sorry, question MONTH 3 is required!"),"")</f>
        <v>Sorry, question MONTH 3 is required!</v>
      </c>
      <c r="M1208" s="113" t="s">
        <v>5398</v>
      </c>
      <c r="N1208" t="s">
        <v>4010</v>
      </c>
    </row>
    <row r="1209" spans="1:24" ht="14.25" customHeight="1">
      <c r="A1209" t="s">
        <v>15</v>
      </c>
      <c r="E1209" s="118" t="s">
        <v>1067</v>
      </c>
      <c r="L1209" s="118" t="str">
        <f>IF(K1209="yes",("Sorry, question "&amp;LEFT(E1209, 6)&amp;" is required!"),"")</f>
        <v/>
      </c>
      <c r="X1209" t="s">
        <v>3032</v>
      </c>
    </row>
    <row r="1210" spans="1:24" ht="14.25" customHeight="1">
      <c r="A1210" t="s">
        <v>954</v>
      </c>
      <c r="B1210" t="s">
        <v>3199</v>
      </c>
      <c r="E1210" s="118" t="s">
        <v>1067</v>
      </c>
      <c r="J1210" s="106" t="s">
        <v>13</v>
      </c>
      <c r="X1210" t="s">
        <v>3032</v>
      </c>
    </row>
    <row r="1211" spans="1:24" ht="14.25" customHeight="1">
      <c r="A1211" t="s">
        <v>1287</v>
      </c>
      <c r="B1211" s="107" t="s">
        <v>1666</v>
      </c>
      <c r="E1211" s="132" t="s">
        <v>5435</v>
      </c>
      <c r="F1211" s="118" t="s">
        <v>3396</v>
      </c>
      <c r="I1211" s="213" t="str">
        <f t="shared" si="174"/>
        <v>select_one yesno</v>
      </c>
      <c r="J1211" s="106" t="s">
        <v>1876</v>
      </c>
    </row>
    <row r="1212" spans="1:24" ht="14.25" customHeight="1">
      <c r="A1212" t="s">
        <v>1287</v>
      </c>
      <c r="B1212" t="s">
        <v>2335</v>
      </c>
      <c r="E1212" s="118" t="s">
        <v>951</v>
      </c>
      <c r="H1212" s="206" t="str">
        <f>"(8.01n) Does this facility provide &lt;b&gt;Pentavalent Dose 1 (DPT, Hepatitis B, Hemophilus influenzae B)&lt;/b&gt; within "&amp;E1212</f>
        <v>(8.01n) Does this facility provide &lt;b&gt;Pentavalent Dose 1 (DPT, Hepatitis B, Hemophilus influenzae B)&lt;/b&gt; within In-facility</v>
      </c>
      <c r="I1212" s="213" t="str">
        <f t="shared" si="174"/>
        <v>select_one yesno</v>
      </c>
      <c r="J1212" s="106" t="s">
        <v>1878</v>
      </c>
      <c r="K1212" s="116" t="s">
        <v>2443</v>
      </c>
      <c r="L1212" s="118" t="str">
        <f>IF(K1212="yes",("Sorry, question (8.01"&amp;RIGHT(B1211,1)&amp;") is required!"),"")</f>
        <v>Sorry, question (8.01n) is required!</v>
      </c>
    </row>
    <row r="1213" spans="1:24" ht="14.25" customHeight="1">
      <c r="A1213" t="s">
        <v>1287</v>
      </c>
      <c r="B1213" t="s">
        <v>2336</v>
      </c>
      <c r="E1213" s="118" t="s">
        <v>953</v>
      </c>
      <c r="H1213" s="206" t="str">
        <f>"(8.01n) Does this facility provide &lt;b&gt;Pentavalent Dose 1 (DPT, Hepatitis B, Hemophilus influenzae B)&lt;/b&gt; within "&amp;E1213</f>
        <v>(8.01n) Does this facility provide &lt;b&gt;Pentavalent Dose 1 (DPT, Hepatitis B, Hemophilus influenzae B)&lt;/b&gt; within Outreach</v>
      </c>
      <c r="I1213" s="213" t="str">
        <f t="shared" si="174"/>
        <v>select_one yesno</v>
      </c>
      <c r="J1213" s="106" t="s">
        <v>1878</v>
      </c>
      <c r="K1213" s="116" t="s">
        <v>2443</v>
      </c>
      <c r="L1213" s="118" t="str">
        <f>IF(K1213="yes",("Sorry, question (8.01"&amp;RIGHT(B1211,1)&amp;") is required!"),"")</f>
        <v>Sorry, question (8.01n) is required!</v>
      </c>
    </row>
    <row r="1214" spans="1:24" ht="14.25" customHeight="1">
      <c r="A1214" t="s">
        <v>955</v>
      </c>
      <c r="B1214" t="s">
        <v>1667</v>
      </c>
      <c r="E1214" s="118" t="s">
        <v>1948</v>
      </c>
      <c r="F1214" s="118" t="s">
        <v>6622</v>
      </c>
      <c r="H1214" s="206" t="str">
        <f>E1214</f>
        <v>(8.02n) How many days per week is this service offered?</v>
      </c>
      <c r="I1214" s="213" t="str">
        <f t="shared" si="174"/>
        <v>integer</v>
      </c>
      <c r="J1214" s="106" t="s">
        <v>6625</v>
      </c>
      <c r="K1214" s="116" t="s">
        <v>2443</v>
      </c>
      <c r="L1214" s="118" t="str">
        <f>IF(K1214="yes",("Sorry, question "&amp;LEFT(E1214, 7)&amp;" is required!"),"")</f>
        <v>Sorry, question (8.02n) is required!</v>
      </c>
      <c r="M1214" s="113" t="s">
        <v>6618</v>
      </c>
      <c r="N1214" t="s">
        <v>3897</v>
      </c>
      <c r="O1214" s="110" t="s">
        <v>2357</v>
      </c>
    </row>
    <row r="1215" spans="1:24" ht="14.25" customHeight="1">
      <c r="A1215" t="s">
        <v>955</v>
      </c>
      <c r="B1215" t="s">
        <v>1668</v>
      </c>
      <c r="E1215" s="118" t="s">
        <v>5436</v>
      </c>
      <c r="F1215" s="118" t="s">
        <v>1885</v>
      </c>
      <c r="H1215" s="206" t="str">
        <f>E1215</f>
        <v>(8.03n) What is the total price in Dalasi charged for &lt;b&gt;Pentavalent Dose 1 (DPT, Hepatitis B, Hemophilus influenzae B)&lt;/b&gt;? INTERVIEWER: IF NO CHARGE, RECORD "0".</v>
      </c>
      <c r="I1215" s="213" t="str">
        <f t="shared" si="174"/>
        <v>integer</v>
      </c>
      <c r="J1215" s="106" t="s">
        <v>3379</v>
      </c>
      <c r="K1215" s="116" t="s">
        <v>2443</v>
      </c>
      <c r="L1215" s="118" t="str">
        <f>IF(K1215="yes",("Sorry, question "&amp;LEFT(E1215, 7)&amp;" is required!"),"")</f>
        <v>Sorry, question (8.03n) is required!</v>
      </c>
      <c r="M1215" s="113" t="s">
        <v>5398</v>
      </c>
      <c r="N1215" t="s">
        <v>3898</v>
      </c>
      <c r="O1215" s="110" t="s">
        <v>2357</v>
      </c>
    </row>
    <row r="1216" spans="1:24" ht="14.25" customHeight="1">
      <c r="A1216" t="s">
        <v>15</v>
      </c>
      <c r="E1216" s="118" t="s">
        <v>1067</v>
      </c>
      <c r="X1216" t="s">
        <v>3032</v>
      </c>
    </row>
    <row r="1217" spans="1:24" ht="14.25" customHeight="1">
      <c r="A1217" t="s">
        <v>954</v>
      </c>
      <c r="B1217" t="s">
        <v>3200</v>
      </c>
      <c r="E1217" s="118" t="s">
        <v>1067</v>
      </c>
      <c r="J1217" s="106" t="s">
        <v>3371</v>
      </c>
      <c r="L1217" s="118" t="str">
        <f>IF(K1217="yes",("Sorry, question "&amp;LEFT(E1217, 6)&amp;" is required!"),"")</f>
        <v/>
      </c>
      <c r="O1217" s="110" t="s">
        <v>2357</v>
      </c>
      <c r="X1217" t="s">
        <v>3032</v>
      </c>
    </row>
    <row r="1218" spans="1:24" ht="14.25" customHeight="1">
      <c r="A1218" t="s">
        <v>17</v>
      </c>
      <c r="B1218" t="s">
        <v>1669</v>
      </c>
      <c r="E1218" s="118" t="s">
        <v>5437</v>
      </c>
      <c r="F1218" s="117" t="s">
        <v>6662</v>
      </c>
      <c r="I1218" s="213" t="str">
        <f t="shared" ref="I1218:I1280" si="180">A1218</f>
        <v>note</v>
      </c>
      <c r="J1218" s="106" t="s">
        <v>3370</v>
      </c>
      <c r="L1218" s="118" t="str">
        <f>IF(K1218="yes",("Sorry, question "&amp;LEFT(E1218, 6)&amp;" is required!"),"")</f>
        <v/>
      </c>
    </row>
    <row r="1219" spans="1:24" ht="14.25" customHeight="1">
      <c r="A1219" t="s">
        <v>17</v>
      </c>
      <c r="B1219" t="s">
        <v>1670</v>
      </c>
      <c r="E1219" s="118" t="s">
        <v>958</v>
      </c>
      <c r="I1219" s="213" t="str">
        <f t="shared" si="180"/>
        <v>note</v>
      </c>
      <c r="J1219" s="106" t="s">
        <v>3477</v>
      </c>
      <c r="L1219" s="118" t="str">
        <f>IF(K1219="yes",("Sorry, question "&amp;LEFT(E1219, 6)&amp;" is required!"),"")</f>
        <v/>
      </c>
    </row>
    <row r="1220" spans="1:24" ht="14.25" customHeight="1">
      <c r="A1220" t="s">
        <v>955</v>
      </c>
      <c r="B1220" t="s">
        <v>5013</v>
      </c>
      <c r="E1220" s="118" t="s">
        <v>959</v>
      </c>
      <c r="H1220" s="206" t="str">
        <f>"(8.04n) TOTAL NUMBER OF "&amp;E1219&amp;" - "&amp;E1220</f>
        <v>(8.04n) TOTAL NUMBER OF MONTH 1 - IN</v>
      </c>
      <c r="I1220" s="213" t="str">
        <f t="shared" si="180"/>
        <v>integer</v>
      </c>
      <c r="J1220" s="106" t="s">
        <v>4907</v>
      </c>
      <c r="K1220" s="116" t="s">
        <v>2443</v>
      </c>
      <c r="L1220" s="118" t="str">
        <f>IF(K1220="yes",("Sorry, question MONTH 1 is required!"),"")</f>
        <v>Sorry, question MONTH 1 is required!</v>
      </c>
      <c r="M1220" s="113" t="s">
        <v>5398</v>
      </c>
      <c r="N1220" t="s">
        <v>3899</v>
      </c>
    </row>
    <row r="1221" spans="1:24" ht="14.25" customHeight="1">
      <c r="A1221" t="s">
        <v>955</v>
      </c>
      <c r="B1221" t="s">
        <v>4992</v>
      </c>
      <c r="E1221" s="118" t="s">
        <v>960</v>
      </c>
      <c r="H1221" s="206" t="str">
        <f>"(8.04n) TOTAL NUMBER OF "&amp;E1219&amp;" - "&amp;E1221</f>
        <v>(8.04n) TOTAL NUMBER OF MONTH 1 - OUT</v>
      </c>
      <c r="I1221" s="213" t="str">
        <f t="shared" si="180"/>
        <v>integer</v>
      </c>
      <c r="J1221" s="106" t="s">
        <v>4908</v>
      </c>
      <c r="K1221" s="116" t="s">
        <v>2443</v>
      </c>
      <c r="L1221" s="118" t="str">
        <f t="shared" ref="L1221:L1225" si="181">IF(K1221="yes",("Sorry, question MONTH 1 is required!"),"")</f>
        <v>Sorry, question MONTH 1 is required!</v>
      </c>
      <c r="M1221" s="113" t="s">
        <v>5398</v>
      </c>
      <c r="N1221" t="s">
        <v>3900</v>
      </c>
    </row>
    <row r="1222" spans="1:24" ht="14.25" customHeight="1">
      <c r="A1222" t="s">
        <v>17</v>
      </c>
      <c r="B1222" t="s">
        <v>1671</v>
      </c>
      <c r="E1222" s="118" t="s">
        <v>961</v>
      </c>
      <c r="I1222" s="213" t="str">
        <f t="shared" si="180"/>
        <v>note</v>
      </c>
      <c r="J1222" s="106" t="s">
        <v>3478</v>
      </c>
      <c r="L1222" s="118" t="str">
        <f t="shared" si="181"/>
        <v/>
      </c>
    </row>
    <row r="1223" spans="1:24" ht="14.25" customHeight="1">
      <c r="A1223" t="s">
        <v>955</v>
      </c>
      <c r="B1223" t="s">
        <v>5055</v>
      </c>
      <c r="E1223" s="118" t="s">
        <v>959</v>
      </c>
      <c r="H1223" s="206" t="str">
        <f t="shared" ref="H1223:H1226" si="182">"(8.04n) TOTAL NUMBER OF "&amp;E1222&amp;" - "&amp;E1223</f>
        <v>(8.04n) TOTAL NUMBER OF MONTH 2 - IN</v>
      </c>
      <c r="I1223" s="213" t="str">
        <f t="shared" si="180"/>
        <v>integer</v>
      </c>
      <c r="J1223" s="106" t="s">
        <v>6621</v>
      </c>
      <c r="K1223" s="116" t="s">
        <v>2443</v>
      </c>
      <c r="L1223" s="118" t="str">
        <f>IF(K1223="yes",("Sorry, question MONTH 2 is required!"),"")</f>
        <v>Sorry, question MONTH 2 is required!</v>
      </c>
      <c r="M1223" s="113" t="s">
        <v>5398</v>
      </c>
      <c r="N1223" t="s">
        <v>3901</v>
      </c>
    </row>
    <row r="1224" spans="1:24" ht="14.25" customHeight="1">
      <c r="A1224" t="s">
        <v>955</v>
      </c>
      <c r="B1224" t="s">
        <v>5034</v>
      </c>
      <c r="E1224" s="118" t="s">
        <v>960</v>
      </c>
      <c r="H1224" s="206" t="str">
        <f>"(8.04n) TOTAL NUMBER OF "&amp;E1222&amp;" - "&amp;E1224</f>
        <v>(8.04n) TOTAL NUMBER OF MONTH 2 - OUT</v>
      </c>
      <c r="I1224" s="213" t="str">
        <f t="shared" si="180"/>
        <v>integer</v>
      </c>
      <c r="J1224" s="106" t="s">
        <v>6626</v>
      </c>
      <c r="K1224" s="116" t="s">
        <v>2443</v>
      </c>
      <c r="L1224" s="118" t="str">
        <f>IF(K1224="yes",("Sorry, question MONTH 2 is required!"),"")</f>
        <v>Sorry, question MONTH 2 is required!</v>
      </c>
      <c r="M1224" s="113" t="s">
        <v>5398</v>
      </c>
      <c r="N1224" t="s">
        <v>3902</v>
      </c>
    </row>
    <row r="1225" spans="1:24" ht="14.25" customHeight="1">
      <c r="A1225" t="s">
        <v>17</v>
      </c>
      <c r="B1225" t="s">
        <v>1672</v>
      </c>
      <c r="E1225" s="118" t="s">
        <v>962</v>
      </c>
      <c r="I1225" s="213" t="str">
        <f t="shared" si="180"/>
        <v>note</v>
      </c>
      <c r="J1225" s="106" t="s">
        <v>3480</v>
      </c>
      <c r="L1225" s="118" t="str">
        <f t="shared" si="181"/>
        <v/>
      </c>
    </row>
    <row r="1226" spans="1:24" ht="14.25" customHeight="1">
      <c r="A1226" t="s">
        <v>955</v>
      </c>
      <c r="B1226" t="s">
        <v>5076</v>
      </c>
      <c r="E1226" s="118" t="s">
        <v>959</v>
      </c>
      <c r="H1226" s="206" t="str">
        <f t="shared" si="182"/>
        <v>(8.04n) TOTAL NUMBER OF MONTH 3 - IN</v>
      </c>
      <c r="I1226" s="213" t="str">
        <f t="shared" si="180"/>
        <v>integer</v>
      </c>
      <c r="J1226" s="106" t="s">
        <v>6629</v>
      </c>
      <c r="K1226" s="116" t="s">
        <v>2443</v>
      </c>
      <c r="L1226" s="118" t="str">
        <f>IF(K1226="yes",("Sorry, question MONTH 3 is required!"),"")</f>
        <v>Sorry, question MONTH 3 is required!</v>
      </c>
      <c r="M1226" s="113" t="s">
        <v>5398</v>
      </c>
      <c r="N1226" t="s">
        <v>4011</v>
      </c>
    </row>
    <row r="1227" spans="1:24" ht="14.25" customHeight="1">
      <c r="A1227" t="s">
        <v>955</v>
      </c>
      <c r="B1227" t="s">
        <v>5097</v>
      </c>
      <c r="E1227" s="118" t="s">
        <v>960</v>
      </c>
      <c r="H1227" s="206" t="str">
        <f>"(8.04n) TOTAL NUMBER OF "&amp;E1225&amp;" - "&amp;E1227</f>
        <v>(8.04n) TOTAL NUMBER OF MONTH 3 - OUT</v>
      </c>
      <c r="I1227" s="213" t="str">
        <f t="shared" si="180"/>
        <v>integer</v>
      </c>
      <c r="J1227" s="106" t="s">
        <v>6630</v>
      </c>
      <c r="K1227" s="116" t="s">
        <v>2443</v>
      </c>
      <c r="L1227" s="118" t="str">
        <f>IF(K1227="yes",("Sorry, question MONTH 3 is required!"),"")</f>
        <v>Sorry, question MONTH 3 is required!</v>
      </c>
      <c r="M1227" s="113" t="s">
        <v>5398</v>
      </c>
      <c r="N1227" t="s">
        <v>4012</v>
      </c>
    </row>
    <row r="1228" spans="1:24" ht="14.25" customHeight="1">
      <c r="A1228" t="s">
        <v>15</v>
      </c>
      <c r="E1228" s="118" t="s">
        <v>1067</v>
      </c>
      <c r="L1228" s="118" t="str">
        <f>IF(K1228="yes",("Sorry, question MONTH 3 is required!"),"")</f>
        <v/>
      </c>
      <c r="X1228" t="s">
        <v>3032</v>
      </c>
    </row>
    <row r="1229" spans="1:24" ht="14.25" customHeight="1">
      <c r="A1229" t="s">
        <v>954</v>
      </c>
      <c r="B1229" t="s">
        <v>3201</v>
      </c>
      <c r="E1229" s="118" t="s">
        <v>1067</v>
      </c>
      <c r="J1229" s="106" t="s">
        <v>13</v>
      </c>
      <c r="X1229" t="s">
        <v>3032</v>
      </c>
    </row>
    <row r="1230" spans="1:24" ht="14.25" customHeight="1">
      <c r="A1230" t="s">
        <v>1287</v>
      </c>
      <c r="B1230" s="107" t="s">
        <v>1673</v>
      </c>
      <c r="E1230" s="132" t="s">
        <v>5438</v>
      </c>
      <c r="F1230" s="118" t="s">
        <v>3396</v>
      </c>
      <c r="I1230" s="213" t="str">
        <f t="shared" si="180"/>
        <v>select_one yesno</v>
      </c>
      <c r="J1230" s="106" t="s">
        <v>1876</v>
      </c>
    </row>
    <row r="1231" spans="1:24" ht="14.25" customHeight="1">
      <c r="A1231" t="s">
        <v>1287</v>
      </c>
      <c r="B1231" t="s">
        <v>2333</v>
      </c>
      <c r="E1231" s="118" t="s">
        <v>951</v>
      </c>
      <c r="H1231" s="206" t="str">
        <f>"(8.01o) Does this facility provide &lt;b&gt;Pentavalent Dose 2 (DPT, Hepatitis B, Hemophilus influenzae B)&lt;/b&gt; within "&amp;E1231</f>
        <v>(8.01o) Does this facility provide &lt;b&gt;Pentavalent Dose 2 (DPT, Hepatitis B, Hemophilus influenzae B)&lt;/b&gt; within In-facility</v>
      </c>
      <c r="I1231" s="213" t="str">
        <f t="shared" si="180"/>
        <v>select_one yesno</v>
      </c>
      <c r="J1231" s="106" t="s">
        <v>1878</v>
      </c>
      <c r="K1231" s="116" t="s">
        <v>2443</v>
      </c>
      <c r="L1231" s="118" t="str">
        <f>IF(K1231="yes",("Sorry, question (8.01"&amp;RIGHT(B1230,1)&amp;") is required!"),"")</f>
        <v>Sorry, question (8.01o) is required!</v>
      </c>
    </row>
    <row r="1232" spans="1:24" ht="14.25" customHeight="1">
      <c r="A1232" t="s">
        <v>1287</v>
      </c>
      <c r="B1232" t="s">
        <v>2334</v>
      </c>
      <c r="E1232" s="118" t="s">
        <v>953</v>
      </c>
      <c r="H1232" s="206" t="str">
        <f>"(8.01o) Does this facility provide &lt;b&gt;Pentavalent Dose 2 (DPT, Hepatitis B, Hemophilus influenzae B)&lt;/b&gt; within "&amp;E1232</f>
        <v>(8.01o) Does this facility provide &lt;b&gt;Pentavalent Dose 2 (DPT, Hepatitis B, Hemophilus influenzae B)&lt;/b&gt; within Outreach</v>
      </c>
      <c r="I1232" s="213" t="str">
        <f t="shared" si="180"/>
        <v>select_one yesno</v>
      </c>
      <c r="J1232" s="106" t="s">
        <v>1878</v>
      </c>
      <c r="K1232" s="116" t="s">
        <v>2443</v>
      </c>
      <c r="L1232" s="118" t="str">
        <f>IF(K1232="yes",("Sorry, question (8.01"&amp;RIGHT(B1230,1)&amp;") is required!"),"")</f>
        <v>Sorry, question (8.01o) is required!</v>
      </c>
    </row>
    <row r="1233" spans="1:24" ht="14.25" customHeight="1">
      <c r="A1233" t="s">
        <v>955</v>
      </c>
      <c r="B1233" t="s">
        <v>1674</v>
      </c>
      <c r="E1233" s="118" t="s">
        <v>1949</v>
      </c>
      <c r="F1233" s="118" t="s">
        <v>6622</v>
      </c>
      <c r="H1233" s="206" t="str">
        <f>E1233</f>
        <v>(8.02o) How many days per week is this service offered?</v>
      </c>
      <c r="I1233" s="213" t="str">
        <f t="shared" si="180"/>
        <v>integer</v>
      </c>
      <c r="J1233" s="106" t="s">
        <v>6625</v>
      </c>
      <c r="K1233" s="116" t="s">
        <v>2443</v>
      </c>
      <c r="L1233" s="118" t="str">
        <f>IF(K1233="yes",("Sorry, question "&amp;LEFT(E1233, 7)&amp;" is required!"),"")</f>
        <v>Sorry, question (8.02o) is required!</v>
      </c>
      <c r="M1233" s="113" t="s">
        <v>6618</v>
      </c>
      <c r="N1233" t="s">
        <v>3903</v>
      </c>
      <c r="O1233" s="110" t="s">
        <v>2358</v>
      </c>
    </row>
    <row r="1234" spans="1:24" ht="14.25" customHeight="1">
      <c r="A1234" t="s">
        <v>955</v>
      </c>
      <c r="B1234" t="s">
        <v>1675</v>
      </c>
      <c r="E1234" s="118" t="s">
        <v>5439</v>
      </c>
      <c r="F1234" s="118" t="s">
        <v>1885</v>
      </c>
      <c r="H1234" s="206" t="str">
        <f>E1234</f>
        <v>(8.03o) What is the total price in Dalasi charged for &lt;b&gt;Pentavalent Dose 2 (DPT, Hepatitis B, Hemophilus influenzae B)&lt;/b&gt;? INTERVIEWER: IF NO CHARGE, RECORD "0".</v>
      </c>
      <c r="I1234" s="213" t="str">
        <f t="shared" si="180"/>
        <v>integer</v>
      </c>
      <c r="J1234" s="106" t="s">
        <v>3379</v>
      </c>
      <c r="K1234" s="116" t="s">
        <v>2443</v>
      </c>
      <c r="L1234" s="118" t="str">
        <f>IF(K1234="yes",("Sorry, question "&amp;LEFT(E1234, 7)&amp;" is required!"),"")</f>
        <v>Sorry, question (8.03o) is required!</v>
      </c>
      <c r="M1234" s="113" t="s">
        <v>5398</v>
      </c>
      <c r="N1234" t="s">
        <v>3904</v>
      </c>
      <c r="O1234" s="110" t="s">
        <v>2358</v>
      </c>
    </row>
    <row r="1235" spans="1:24" ht="14.25" customHeight="1">
      <c r="A1235" t="s">
        <v>15</v>
      </c>
      <c r="E1235" s="118" t="s">
        <v>1067</v>
      </c>
      <c r="X1235" t="s">
        <v>3032</v>
      </c>
    </row>
    <row r="1236" spans="1:24" ht="14.25" customHeight="1">
      <c r="A1236" t="s">
        <v>954</v>
      </c>
      <c r="B1236" t="s">
        <v>3204</v>
      </c>
      <c r="E1236" s="118" t="s">
        <v>1067</v>
      </c>
      <c r="J1236" s="106" t="s">
        <v>3371</v>
      </c>
      <c r="L1236" s="118" t="str">
        <f>IF(K1236="yes",("Sorry, question "&amp;LEFT(E1236, 6)&amp;" is required!"),"")</f>
        <v/>
      </c>
      <c r="O1236" s="110" t="s">
        <v>2358</v>
      </c>
      <c r="X1236" t="s">
        <v>3032</v>
      </c>
    </row>
    <row r="1237" spans="1:24" ht="14.25" customHeight="1">
      <c r="A1237" t="s">
        <v>17</v>
      </c>
      <c r="B1237" t="s">
        <v>1676</v>
      </c>
      <c r="E1237" s="118" t="s">
        <v>5440</v>
      </c>
      <c r="F1237" s="117" t="s">
        <v>6662</v>
      </c>
      <c r="I1237" s="213" t="str">
        <f t="shared" si="180"/>
        <v>note</v>
      </c>
      <c r="J1237" s="106" t="s">
        <v>3370</v>
      </c>
      <c r="L1237" s="118" t="str">
        <f>IF(K1237="yes",("Sorry, question "&amp;LEFT(E1237, 6)&amp;" is required!"),"")</f>
        <v/>
      </c>
    </row>
    <row r="1238" spans="1:24" ht="14.25" customHeight="1">
      <c r="A1238" t="s">
        <v>17</v>
      </c>
      <c r="B1238" t="s">
        <v>1677</v>
      </c>
      <c r="E1238" s="118" t="s">
        <v>958</v>
      </c>
      <c r="I1238" s="213" t="str">
        <f t="shared" si="180"/>
        <v>note</v>
      </c>
      <c r="J1238" s="106" t="s">
        <v>3477</v>
      </c>
      <c r="L1238" s="118" t="str">
        <f>IF(K1238="yes",("Sorry, question "&amp;LEFT(E1238, 6)&amp;" is required!"),"")</f>
        <v/>
      </c>
    </row>
    <row r="1239" spans="1:24" ht="14.25" customHeight="1">
      <c r="A1239" t="s">
        <v>955</v>
      </c>
      <c r="B1239" t="s">
        <v>5014</v>
      </c>
      <c r="E1239" s="118" t="s">
        <v>959</v>
      </c>
      <c r="H1239" s="206" t="str">
        <f>"(8.04o) TOTAL NUMBER OF "&amp;E1238&amp;" - "&amp;E1239</f>
        <v>(8.04o) TOTAL NUMBER OF MONTH 1 - IN</v>
      </c>
      <c r="I1239" s="213" t="str">
        <f t="shared" si="180"/>
        <v>integer</v>
      </c>
      <c r="J1239" s="106" t="s">
        <v>4907</v>
      </c>
      <c r="K1239" s="116" t="s">
        <v>2443</v>
      </c>
      <c r="L1239" s="118" t="str">
        <f>IF(K1239="yes",("Sorry, question MONTH 1 is required!"),"")</f>
        <v>Sorry, question MONTH 1 is required!</v>
      </c>
      <c r="M1239" s="113" t="s">
        <v>5398</v>
      </c>
      <c r="N1239" t="s">
        <v>3905</v>
      </c>
    </row>
    <row r="1240" spans="1:24" ht="14.25" customHeight="1">
      <c r="A1240" t="s">
        <v>955</v>
      </c>
      <c r="B1240" t="s">
        <v>4993</v>
      </c>
      <c r="E1240" s="118" t="s">
        <v>960</v>
      </c>
      <c r="H1240" s="206" t="str">
        <f>"(8.04o) TOTAL NUMBER OF "&amp;E1238&amp;" - "&amp;E1240</f>
        <v>(8.04o) TOTAL NUMBER OF MONTH 1 - OUT</v>
      </c>
      <c r="I1240" s="213" t="str">
        <f t="shared" si="180"/>
        <v>integer</v>
      </c>
      <c r="J1240" s="106" t="s">
        <v>4908</v>
      </c>
      <c r="K1240" s="116" t="s">
        <v>2443</v>
      </c>
      <c r="L1240" s="118" t="str">
        <f t="shared" ref="L1240:L1244" si="183">IF(K1240="yes",("Sorry, question MONTH 1 is required!"),"")</f>
        <v>Sorry, question MONTH 1 is required!</v>
      </c>
      <c r="M1240" s="113" t="s">
        <v>5398</v>
      </c>
      <c r="N1240" t="s">
        <v>3906</v>
      </c>
    </row>
    <row r="1241" spans="1:24" ht="14.25" customHeight="1">
      <c r="A1241" t="s">
        <v>17</v>
      </c>
      <c r="B1241" t="s">
        <v>1678</v>
      </c>
      <c r="E1241" s="118" t="s">
        <v>961</v>
      </c>
      <c r="I1241" s="213" t="str">
        <f t="shared" si="180"/>
        <v>note</v>
      </c>
      <c r="J1241" s="106" t="s">
        <v>3478</v>
      </c>
      <c r="L1241" s="118" t="str">
        <f t="shared" si="183"/>
        <v/>
      </c>
    </row>
    <row r="1242" spans="1:24" ht="14.25" customHeight="1">
      <c r="A1242" t="s">
        <v>955</v>
      </c>
      <c r="B1242" t="s">
        <v>5056</v>
      </c>
      <c r="E1242" s="118" t="s">
        <v>959</v>
      </c>
      <c r="H1242" s="206" t="str">
        <f>"(8.04o) TOTAL NUMBER OF "&amp;E1241&amp;" - "&amp;E1242</f>
        <v>(8.04o) TOTAL NUMBER OF MONTH 2 - IN</v>
      </c>
      <c r="I1242" s="213" t="str">
        <f t="shared" si="180"/>
        <v>integer</v>
      </c>
      <c r="J1242" s="106" t="s">
        <v>6621</v>
      </c>
      <c r="K1242" s="116" t="s">
        <v>2443</v>
      </c>
      <c r="L1242" s="118" t="str">
        <f>IF(K1242="yes",("Sorry, question MONTH 2 is required!"),"")</f>
        <v>Sorry, question MONTH 2 is required!</v>
      </c>
      <c r="M1242" s="113" t="s">
        <v>5398</v>
      </c>
      <c r="N1242" t="s">
        <v>3907</v>
      </c>
    </row>
    <row r="1243" spans="1:24" ht="14.25" customHeight="1">
      <c r="A1243" t="s">
        <v>955</v>
      </c>
      <c r="B1243" t="s">
        <v>5035</v>
      </c>
      <c r="E1243" s="118" t="s">
        <v>960</v>
      </c>
      <c r="H1243" s="206" t="str">
        <f>"(8.04o) TOTAL NUMBER OF "&amp;E1241&amp;" - "&amp;E1243</f>
        <v>(8.04o) TOTAL NUMBER OF MONTH 2 - OUT</v>
      </c>
      <c r="I1243" s="213" t="str">
        <f t="shared" si="180"/>
        <v>integer</v>
      </c>
      <c r="J1243" s="106" t="s">
        <v>6626</v>
      </c>
      <c r="K1243" s="116" t="s">
        <v>2443</v>
      </c>
      <c r="L1243" s="118" t="str">
        <f>IF(K1243="yes",("Sorry, question MONTH 2 is required!"),"")</f>
        <v>Sorry, question MONTH 2 is required!</v>
      </c>
      <c r="M1243" s="113" t="s">
        <v>5398</v>
      </c>
      <c r="N1243" t="s">
        <v>3908</v>
      </c>
    </row>
    <row r="1244" spans="1:24" ht="14.25" customHeight="1">
      <c r="A1244" t="s">
        <v>17</v>
      </c>
      <c r="B1244" t="s">
        <v>1679</v>
      </c>
      <c r="E1244" s="118" t="s">
        <v>962</v>
      </c>
      <c r="I1244" s="213" t="str">
        <f t="shared" si="180"/>
        <v>note</v>
      </c>
      <c r="J1244" s="106" t="s">
        <v>3480</v>
      </c>
      <c r="L1244" s="118" t="str">
        <f t="shared" si="183"/>
        <v/>
      </c>
    </row>
    <row r="1245" spans="1:24" ht="14.25" customHeight="1">
      <c r="A1245" t="s">
        <v>955</v>
      </c>
      <c r="B1245" t="s">
        <v>5077</v>
      </c>
      <c r="E1245" s="118" t="s">
        <v>959</v>
      </c>
      <c r="H1245" s="206" t="str">
        <f>"(8.04o) TOTAL NUMBER OF "&amp;E1244&amp;" - "&amp;E1245</f>
        <v>(8.04o) TOTAL NUMBER OF MONTH 3 - IN</v>
      </c>
      <c r="I1245" s="213" t="str">
        <f t="shared" si="180"/>
        <v>integer</v>
      </c>
      <c r="J1245" s="106" t="s">
        <v>6629</v>
      </c>
      <c r="K1245" s="116" t="s">
        <v>2443</v>
      </c>
      <c r="L1245" s="118" t="str">
        <f>IF(K1245="yes",("Sorry, question MONTH 3 is required!"),"")</f>
        <v>Sorry, question MONTH 3 is required!</v>
      </c>
      <c r="M1245" s="113" t="s">
        <v>5398</v>
      </c>
      <c r="N1245" t="s">
        <v>4013</v>
      </c>
    </row>
    <row r="1246" spans="1:24" ht="14.25" customHeight="1">
      <c r="A1246" t="s">
        <v>955</v>
      </c>
      <c r="B1246" t="s">
        <v>5098</v>
      </c>
      <c r="E1246" s="118" t="s">
        <v>960</v>
      </c>
      <c r="H1246" s="206" t="str">
        <f>"(8.04o) TOTAL NUMBER OF "&amp;E1244&amp;" - "&amp;E1246</f>
        <v>(8.04o) TOTAL NUMBER OF MONTH 3 - OUT</v>
      </c>
      <c r="I1246" s="213" t="str">
        <f t="shared" si="180"/>
        <v>integer</v>
      </c>
      <c r="J1246" s="106" t="s">
        <v>6630</v>
      </c>
      <c r="K1246" s="116" t="s">
        <v>2443</v>
      </c>
      <c r="L1246" s="118" t="str">
        <f>IF(K1246="yes",("Sorry, question MONTH 3 is required!"),"")</f>
        <v>Sorry, question MONTH 3 is required!</v>
      </c>
      <c r="M1246" s="113" t="s">
        <v>5398</v>
      </c>
      <c r="N1246" t="s">
        <v>4014</v>
      </c>
    </row>
    <row r="1247" spans="1:24" ht="14.25" customHeight="1">
      <c r="A1247" t="s">
        <v>15</v>
      </c>
      <c r="E1247" s="118" t="s">
        <v>1067</v>
      </c>
      <c r="L1247" s="118" t="str">
        <f>IF(K1247="yes",("Sorry, question MONTH 3 is required!"),"")</f>
        <v/>
      </c>
      <c r="X1247" t="s">
        <v>3032</v>
      </c>
    </row>
    <row r="1248" spans="1:24" ht="14.25" customHeight="1">
      <c r="A1248" t="s">
        <v>954</v>
      </c>
      <c r="B1248" t="s">
        <v>3202</v>
      </c>
      <c r="E1248" s="118" t="s">
        <v>1067</v>
      </c>
      <c r="J1248" s="106" t="s">
        <v>13</v>
      </c>
      <c r="X1248" t="s">
        <v>3032</v>
      </c>
    </row>
    <row r="1249" spans="1:24" ht="14.25" customHeight="1">
      <c r="A1249" t="s">
        <v>23</v>
      </c>
      <c r="B1249" s="107" t="s">
        <v>1680</v>
      </c>
      <c r="E1249" s="132" t="s">
        <v>5441</v>
      </c>
      <c r="F1249" s="118" t="s">
        <v>3396</v>
      </c>
      <c r="I1249" s="213" t="str">
        <f t="shared" si="180"/>
        <v>select_one yesno</v>
      </c>
      <c r="J1249" s="106" t="s">
        <v>1876</v>
      </c>
    </row>
    <row r="1250" spans="1:24" ht="14.25" customHeight="1">
      <c r="A1250" t="s">
        <v>23</v>
      </c>
      <c r="B1250" t="s">
        <v>1681</v>
      </c>
      <c r="E1250" s="118" t="s">
        <v>951</v>
      </c>
      <c r="H1250" s="206" t="str">
        <f>"(8.01p) Does this facility provide &lt;b&gt;Pentavalent Dose 3 (DPT, Hepatitis B, Hemophilus influenzae B)&lt;/b&gt; within "&amp;E1250</f>
        <v>(8.01p) Does this facility provide &lt;b&gt;Pentavalent Dose 3 (DPT, Hepatitis B, Hemophilus influenzae B)&lt;/b&gt; within In-facility</v>
      </c>
      <c r="I1250" s="213" t="str">
        <f t="shared" si="180"/>
        <v>select_one yesno</v>
      </c>
      <c r="J1250" s="106" t="s">
        <v>1878</v>
      </c>
      <c r="K1250" s="116" t="s">
        <v>2443</v>
      </c>
      <c r="L1250" s="118" t="str">
        <f>IF(K1250="yes",("Sorry, question (8.01"&amp;RIGHT(B1249,1)&amp;") is required!"),"")</f>
        <v>Sorry, question (8.01p) is required!</v>
      </c>
    </row>
    <row r="1251" spans="1:24" ht="14.25" customHeight="1">
      <c r="A1251" t="s">
        <v>23</v>
      </c>
      <c r="B1251" t="s">
        <v>1682</v>
      </c>
      <c r="E1251" s="118" t="s">
        <v>953</v>
      </c>
      <c r="H1251" s="206" t="str">
        <f>"(8.01p) Does this facility provide &lt;b&gt;Pentavalent Dose 3 (DPT, Hepatitis B, Hemophilus influenzae B)&lt;/b&gt; within "&amp;E1251</f>
        <v>(8.01p) Does this facility provide &lt;b&gt;Pentavalent Dose 3 (DPT, Hepatitis B, Hemophilus influenzae B)&lt;/b&gt; within Outreach</v>
      </c>
      <c r="I1251" s="213" t="str">
        <f t="shared" si="180"/>
        <v>select_one yesno</v>
      </c>
      <c r="J1251" s="106" t="s">
        <v>1878</v>
      </c>
      <c r="K1251" s="116" t="s">
        <v>2443</v>
      </c>
      <c r="L1251" s="118" t="str">
        <f>IF(K1251="yes",("Sorry, question (8.01"&amp;RIGHT(B1249,1)&amp;") is required!"),"")</f>
        <v>Sorry, question (8.01p) is required!</v>
      </c>
    </row>
    <row r="1252" spans="1:24" ht="14.25" customHeight="1">
      <c r="A1252" t="s">
        <v>955</v>
      </c>
      <c r="B1252" t="s">
        <v>1683</v>
      </c>
      <c r="E1252" s="118" t="s">
        <v>1950</v>
      </c>
      <c r="F1252" s="118" t="s">
        <v>6622</v>
      </c>
      <c r="H1252" s="206" t="str">
        <f>E1252</f>
        <v>(8.02p) How many days per week is this service offered?</v>
      </c>
      <c r="I1252" s="213" t="str">
        <f t="shared" si="180"/>
        <v>integer</v>
      </c>
      <c r="J1252" s="106" t="s">
        <v>6625</v>
      </c>
      <c r="K1252" s="116" t="s">
        <v>2443</v>
      </c>
      <c r="L1252" s="118" t="str">
        <f>IF(K1252="yes",("Sorry, question "&amp;LEFT(E1252, 7)&amp;" is required!"),"")</f>
        <v>Sorry, question (8.02p) is required!</v>
      </c>
      <c r="M1252" s="113" t="s">
        <v>6618</v>
      </c>
      <c r="N1252" t="s">
        <v>3909</v>
      </c>
      <c r="O1252" s="110" t="s">
        <v>1557</v>
      </c>
    </row>
    <row r="1253" spans="1:24" ht="14.25" customHeight="1">
      <c r="A1253" t="s">
        <v>955</v>
      </c>
      <c r="B1253" t="s">
        <v>1684</v>
      </c>
      <c r="E1253" s="118" t="s">
        <v>5442</v>
      </c>
      <c r="F1253" s="118" t="s">
        <v>1885</v>
      </c>
      <c r="H1253" s="206" t="str">
        <f>E1253</f>
        <v>(8.03p) What is the total price in Dalasi charged for &lt;b&gt;Pentavalent Dose 3 (DPT, Hepatitis B, Hemophilus influenzae B)&lt;/b&gt;? INTERVIEWER: IF NO CHARGE, RECORD "0".</v>
      </c>
      <c r="I1253" s="213" t="str">
        <f t="shared" si="180"/>
        <v>integer</v>
      </c>
      <c r="J1253" s="106" t="s">
        <v>3379</v>
      </c>
      <c r="K1253" s="116" t="s">
        <v>2443</v>
      </c>
      <c r="L1253" s="118" t="str">
        <f>IF(K1253="yes",("Sorry, question "&amp;LEFT(E1253, 7)&amp;" is required!"),"")</f>
        <v>Sorry, question (8.03p) is required!</v>
      </c>
      <c r="M1253" s="113" t="s">
        <v>5398</v>
      </c>
      <c r="N1253" t="s">
        <v>3910</v>
      </c>
      <c r="O1253" s="110" t="s">
        <v>1557</v>
      </c>
    </row>
    <row r="1254" spans="1:24" ht="14.25" customHeight="1">
      <c r="A1254" t="s">
        <v>15</v>
      </c>
      <c r="E1254" s="118" t="s">
        <v>1067</v>
      </c>
      <c r="X1254" t="s">
        <v>3032</v>
      </c>
    </row>
    <row r="1255" spans="1:24" ht="14.25" customHeight="1">
      <c r="A1255" t="s">
        <v>954</v>
      </c>
      <c r="B1255" t="s">
        <v>3203</v>
      </c>
      <c r="E1255" s="118" t="s">
        <v>1067</v>
      </c>
      <c r="J1255" s="106" t="s">
        <v>3371</v>
      </c>
      <c r="L1255" s="118" t="str">
        <f>IF(K1255="yes",("Sorry, question "&amp;LEFT(E1255, 6)&amp;" is required!"),"")</f>
        <v/>
      </c>
      <c r="O1255" s="110" t="s">
        <v>1557</v>
      </c>
      <c r="X1255" t="s">
        <v>3032</v>
      </c>
    </row>
    <row r="1256" spans="1:24" ht="14.25" customHeight="1">
      <c r="A1256" t="s">
        <v>17</v>
      </c>
      <c r="B1256" t="s">
        <v>1685</v>
      </c>
      <c r="E1256" s="118" t="s">
        <v>5443</v>
      </c>
      <c r="F1256" s="117" t="s">
        <v>6662</v>
      </c>
      <c r="I1256" s="213" t="str">
        <f t="shared" si="180"/>
        <v>note</v>
      </c>
      <c r="J1256" s="106" t="s">
        <v>3370</v>
      </c>
      <c r="L1256" s="118" t="str">
        <f>IF(K1256="yes",("Sorry, question "&amp;LEFT(E1256, 6)&amp;" is required!"),"")</f>
        <v/>
      </c>
    </row>
    <row r="1257" spans="1:24" ht="14.25" customHeight="1">
      <c r="A1257" t="s">
        <v>17</v>
      </c>
      <c r="B1257" t="s">
        <v>1686</v>
      </c>
      <c r="E1257" s="118" t="s">
        <v>958</v>
      </c>
      <c r="I1257" s="213" t="str">
        <f t="shared" si="180"/>
        <v>note</v>
      </c>
      <c r="J1257" s="106" t="s">
        <v>3477</v>
      </c>
      <c r="L1257" s="118" t="str">
        <f>IF(K1257="yes",("Sorry, question "&amp;LEFT(E1257, 6)&amp;" is required!"),"")</f>
        <v/>
      </c>
    </row>
    <row r="1258" spans="1:24" ht="14.25" customHeight="1">
      <c r="A1258" t="s">
        <v>955</v>
      </c>
      <c r="B1258" t="s">
        <v>5015</v>
      </c>
      <c r="E1258" s="118" t="s">
        <v>959</v>
      </c>
      <c r="H1258" s="206" t="str">
        <f>"(8.04o) TOTAL NUMBER OF "&amp;E1257&amp;" - "&amp;E1258</f>
        <v>(8.04o) TOTAL NUMBER OF MONTH 1 - IN</v>
      </c>
      <c r="I1258" s="213" t="str">
        <f t="shared" si="180"/>
        <v>integer</v>
      </c>
      <c r="J1258" s="106" t="s">
        <v>4907</v>
      </c>
      <c r="K1258" s="116" t="s">
        <v>2443</v>
      </c>
      <c r="L1258" s="118" t="str">
        <f>IF(K1258="yes",("Sorry, question MONTH 1 is required!"),"")</f>
        <v>Sorry, question MONTH 1 is required!</v>
      </c>
      <c r="M1258" s="113" t="s">
        <v>5398</v>
      </c>
      <c r="N1258" t="s">
        <v>3911</v>
      </c>
    </row>
    <row r="1259" spans="1:24" ht="14.25" customHeight="1">
      <c r="A1259" t="s">
        <v>955</v>
      </c>
      <c r="B1259" t="s">
        <v>4994</v>
      </c>
      <c r="E1259" s="118" t="s">
        <v>960</v>
      </c>
      <c r="H1259" s="206" t="str">
        <f>"(8.04o) TOTAL NUMBER OF "&amp;E1257&amp;" - "&amp;E1259</f>
        <v>(8.04o) TOTAL NUMBER OF MONTH 1 - OUT</v>
      </c>
      <c r="I1259" s="213" t="str">
        <f t="shared" si="180"/>
        <v>integer</v>
      </c>
      <c r="J1259" s="106" t="s">
        <v>4908</v>
      </c>
      <c r="K1259" s="116" t="s">
        <v>2443</v>
      </c>
      <c r="L1259" s="118" t="str">
        <f t="shared" ref="L1259:L1263" si="184">IF(K1259="yes",("Sorry, question MONTH 1 is required!"),"")</f>
        <v>Sorry, question MONTH 1 is required!</v>
      </c>
      <c r="M1259" s="113" t="s">
        <v>5398</v>
      </c>
      <c r="N1259" t="s">
        <v>3912</v>
      </c>
    </row>
    <row r="1260" spans="1:24" ht="14.25" customHeight="1">
      <c r="A1260" t="s">
        <v>17</v>
      </c>
      <c r="B1260" t="s">
        <v>1687</v>
      </c>
      <c r="E1260" s="118" t="s">
        <v>961</v>
      </c>
      <c r="I1260" s="213" t="str">
        <f t="shared" si="180"/>
        <v>note</v>
      </c>
      <c r="J1260" s="106" t="s">
        <v>3478</v>
      </c>
      <c r="L1260" s="118" t="str">
        <f t="shared" si="184"/>
        <v/>
      </c>
    </row>
    <row r="1261" spans="1:24" ht="14.25" customHeight="1">
      <c r="A1261" t="s">
        <v>955</v>
      </c>
      <c r="B1261" t="s">
        <v>5057</v>
      </c>
      <c r="E1261" s="118" t="s">
        <v>959</v>
      </c>
      <c r="H1261" s="206" t="str">
        <f t="shared" ref="H1261:H1264" si="185">"(8.04o) TOTAL NUMBER OF "&amp;E1260&amp;" - "&amp;E1261</f>
        <v>(8.04o) TOTAL NUMBER OF MONTH 2 - IN</v>
      </c>
      <c r="I1261" s="213" t="str">
        <f t="shared" si="180"/>
        <v>integer</v>
      </c>
      <c r="J1261" s="106" t="s">
        <v>6621</v>
      </c>
      <c r="K1261" s="116" t="s">
        <v>2443</v>
      </c>
      <c r="L1261" s="118" t="str">
        <f>IF(K1261="yes",("Sorry, question MONTH 2 is required!"),"")</f>
        <v>Sorry, question MONTH 2 is required!</v>
      </c>
      <c r="M1261" s="113" t="s">
        <v>5398</v>
      </c>
      <c r="N1261" t="s">
        <v>3913</v>
      </c>
    </row>
    <row r="1262" spans="1:24" ht="14.25" customHeight="1">
      <c r="A1262" t="s">
        <v>955</v>
      </c>
      <c r="B1262" t="s">
        <v>5036</v>
      </c>
      <c r="E1262" s="118" t="s">
        <v>960</v>
      </c>
      <c r="H1262" s="206" t="str">
        <f>"(8.04o) TOTAL NUMBER OF "&amp;E1260&amp;" - "&amp;E1262</f>
        <v>(8.04o) TOTAL NUMBER OF MONTH 2 - OUT</v>
      </c>
      <c r="I1262" s="213" t="str">
        <f t="shared" si="180"/>
        <v>integer</v>
      </c>
      <c r="J1262" s="106" t="s">
        <v>6626</v>
      </c>
      <c r="K1262" s="116" t="s">
        <v>2443</v>
      </c>
      <c r="L1262" s="118" t="str">
        <f>IF(K1262="yes",("Sorry, question MONTH 2 is required!"),"")</f>
        <v>Sorry, question MONTH 2 is required!</v>
      </c>
      <c r="M1262" s="113" t="s">
        <v>5398</v>
      </c>
      <c r="N1262" t="s">
        <v>3914</v>
      </c>
    </row>
    <row r="1263" spans="1:24" ht="14.25" customHeight="1">
      <c r="A1263" t="s">
        <v>17</v>
      </c>
      <c r="B1263" t="s">
        <v>1688</v>
      </c>
      <c r="E1263" s="118" t="s">
        <v>962</v>
      </c>
      <c r="I1263" s="213" t="str">
        <f t="shared" si="180"/>
        <v>note</v>
      </c>
      <c r="J1263" s="106" t="s">
        <v>3480</v>
      </c>
      <c r="L1263" s="118" t="str">
        <f t="shared" si="184"/>
        <v/>
      </c>
    </row>
    <row r="1264" spans="1:24" ht="14.25" customHeight="1">
      <c r="A1264" t="s">
        <v>955</v>
      </c>
      <c r="B1264" t="s">
        <v>5078</v>
      </c>
      <c r="E1264" s="118" t="s">
        <v>959</v>
      </c>
      <c r="H1264" s="206" t="str">
        <f t="shared" si="185"/>
        <v>(8.04o) TOTAL NUMBER OF MONTH 3 - IN</v>
      </c>
      <c r="I1264" s="213" t="str">
        <f t="shared" si="180"/>
        <v>integer</v>
      </c>
      <c r="J1264" s="106" t="s">
        <v>6629</v>
      </c>
      <c r="K1264" s="116" t="s">
        <v>2443</v>
      </c>
      <c r="L1264" s="118" t="str">
        <f>IF(K1264="yes",("Sorry, question MONTH 3 is required!"),"")</f>
        <v>Sorry, question MONTH 3 is required!</v>
      </c>
      <c r="M1264" s="113" t="s">
        <v>5398</v>
      </c>
      <c r="N1264" t="s">
        <v>4015</v>
      </c>
    </row>
    <row r="1265" spans="1:24" ht="14.25" customHeight="1">
      <c r="A1265" t="s">
        <v>955</v>
      </c>
      <c r="B1265" t="s">
        <v>5099</v>
      </c>
      <c r="E1265" s="118" t="s">
        <v>960</v>
      </c>
      <c r="H1265" s="206" t="str">
        <f>"(8.04o) TOTAL NUMBER OF "&amp;E1263&amp;" - "&amp;E1265</f>
        <v>(8.04o) TOTAL NUMBER OF MONTH 3 - OUT</v>
      </c>
      <c r="I1265" s="213" t="str">
        <f t="shared" si="180"/>
        <v>integer</v>
      </c>
      <c r="J1265" s="106" t="s">
        <v>6630</v>
      </c>
      <c r="K1265" s="116" t="s">
        <v>2443</v>
      </c>
      <c r="L1265" s="118" t="str">
        <f>IF(K1265="yes",("Sorry, question MONTH 3 is required!"),"")</f>
        <v>Sorry, question MONTH 3 is required!</v>
      </c>
      <c r="M1265" s="113" t="s">
        <v>5398</v>
      </c>
      <c r="N1265" t="s">
        <v>4016</v>
      </c>
    </row>
    <row r="1266" spans="1:24" ht="14.25" customHeight="1">
      <c r="A1266" t="s">
        <v>15</v>
      </c>
      <c r="L1266" s="118" t="str">
        <f>IF(K1266="yes",("Sorry, question MONTH 3 is required!"),"")</f>
        <v/>
      </c>
      <c r="X1266" t="s">
        <v>3032</v>
      </c>
    </row>
    <row r="1267" spans="1:24" ht="14.25" customHeight="1">
      <c r="A1267" t="s">
        <v>954</v>
      </c>
      <c r="B1267" t="s">
        <v>4277</v>
      </c>
      <c r="E1267" s="118" t="s">
        <v>1067</v>
      </c>
      <c r="J1267" s="106" t="s">
        <v>13</v>
      </c>
      <c r="X1267" t="s">
        <v>3032</v>
      </c>
    </row>
    <row r="1268" spans="1:24" ht="14.25" customHeight="1">
      <c r="A1268" t="s">
        <v>23</v>
      </c>
      <c r="B1268" s="107" t="s">
        <v>4269</v>
      </c>
      <c r="E1268" s="118" t="s">
        <v>5444</v>
      </c>
      <c r="F1268" s="118" t="s">
        <v>3396</v>
      </c>
      <c r="I1268" s="213" t="str">
        <f t="shared" si="180"/>
        <v>select_one yesno</v>
      </c>
      <c r="J1268" s="106" t="s">
        <v>1876</v>
      </c>
    </row>
    <row r="1269" spans="1:24" ht="14.25" customHeight="1">
      <c r="A1269" t="s">
        <v>23</v>
      </c>
      <c r="B1269" t="s">
        <v>4275</v>
      </c>
      <c r="E1269" s="118" t="s">
        <v>951</v>
      </c>
      <c r="H1269" s="206" t="str">
        <f>"(8.01p_) Does this facility provide &lt;b&gt;Polio Dose 0&lt;/b&gt; within "&amp;E1269</f>
        <v>(8.01p_) Does this facility provide &lt;b&gt;Polio Dose 0&lt;/b&gt; within In-facility</v>
      </c>
      <c r="I1269" s="213" t="str">
        <f t="shared" si="180"/>
        <v>select_one yesno</v>
      </c>
      <c r="J1269" s="106" t="s">
        <v>1874</v>
      </c>
      <c r="K1269" s="116" t="s">
        <v>2443</v>
      </c>
      <c r="L1269" s="118" t="str">
        <f>IF(K1269="yes",("Sorry, question (8.01"&amp;RIGHT(B1268,2)&amp;") is required!"),"")</f>
        <v>Sorry, question (8.01p0) is required!</v>
      </c>
    </row>
    <row r="1270" spans="1:24" ht="14.25" customHeight="1">
      <c r="A1270" t="s">
        <v>23</v>
      </c>
      <c r="B1270" t="s">
        <v>4276</v>
      </c>
      <c r="E1270" s="118" t="s">
        <v>953</v>
      </c>
      <c r="H1270" s="206" t="str">
        <f>"(8.01p_) Does this facility provide &lt;b&gt;Polio Dose 0&lt;/b&gt; within "&amp;E1270</f>
        <v>(8.01p_) Does this facility provide &lt;b&gt;Polio Dose 0&lt;/b&gt; within Outreach</v>
      </c>
      <c r="I1270" s="213" t="str">
        <f t="shared" si="180"/>
        <v>select_one yesno</v>
      </c>
      <c r="J1270" s="106" t="s">
        <v>1874</v>
      </c>
      <c r="K1270" s="116" t="s">
        <v>2443</v>
      </c>
      <c r="L1270" s="118" t="str">
        <f>IF(K1270="yes",("Sorry, question (8.01"&amp;RIGHT(B1268,2)&amp;") is required!"),"")</f>
        <v>Sorry, question (8.01p0) is required!</v>
      </c>
    </row>
    <row r="1271" spans="1:24" ht="14.25" customHeight="1">
      <c r="A1271" t="s">
        <v>955</v>
      </c>
      <c r="B1271" t="s">
        <v>4267</v>
      </c>
      <c r="E1271" s="118" t="s">
        <v>4266</v>
      </c>
      <c r="F1271" s="118" t="s">
        <v>6622</v>
      </c>
      <c r="H1271" s="206" t="str">
        <f>E1271</f>
        <v>(8.02p_) How many days per week is this service offered?</v>
      </c>
      <c r="I1271" s="213" t="str">
        <f t="shared" si="180"/>
        <v>integer</v>
      </c>
      <c r="J1271" s="106" t="s">
        <v>6625</v>
      </c>
      <c r="K1271" s="116" t="s">
        <v>2443</v>
      </c>
      <c r="L1271" s="118" t="str">
        <f>IF(K1271="yes",("Sorry, question "&amp;LEFT(E1271, 8)&amp;" is required!"),"")</f>
        <v>Sorry, question (8.02p_) is required!</v>
      </c>
      <c r="M1271" s="113" t="s">
        <v>6618</v>
      </c>
      <c r="N1271" t="s">
        <v>3909</v>
      </c>
      <c r="O1271" s="110" t="s">
        <v>1557</v>
      </c>
    </row>
    <row r="1272" spans="1:24" ht="14.25" customHeight="1">
      <c r="A1272" t="s">
        <v>955</v>
      </c>
      <c r="B1272" t="s">
        <v>4268</v>
      </c>
      <c r="E1272" s="118" t="s">
        <v>5445</v>
      </c>
      <c r="F1272" s="118" t="s">
        <v>1885</v>
      </c>
      <c r="H1272" s="206" t="str">
        <f>E1272</f>
        <v>(8.03p_) What is the total price in Dalasi charged for &lt;b&gt;Polio Dose 1&lt;/b&gt;? INTERVIEWER: IF NO CHARGE, RECORD "0".</v>
      </c>
      <c r="I1272" s="213" t="str">
        <f t="shared" si="180"/>
        <v>integer</v>
      </c>
      <c r="J1272" s="106" t="s">
        <v>3379</v>
      </c>
      <c r="K1272" s="116" t="s">
        <v>2443</v>
      </c>
      <c r="L1272" s="118" t="str">
        <f>IF(K1272="yes",("Sorry, question "&amp;LEFT(E1272, 8)&amp;" is required!"),"")</f>
        <v>Sorry, question (8.03p_) is required!</v>
      </c>
      <c r="M1272" s="113" t="s">
        <v>5398</v>
      </c>
      <c r="N1272" t="s">
        <v>3910</v>
      </c>
      <c r="O1272" s="110" t="s">
        <v>1557</v>
      </c>
    </row>
    <row r="1273" spans="1:24" ht="14.25" customHeight="1">
      <c r="A1273" t="s">
        <v>15</v>
      </c>
      <c r="E1273" s="118" t="s">
        <v>1067</v>
      </c>
      <c r="I1273" s="213" t="str">
        <f t="shared" si="180"/>
        <v>end group</v>
      </c>
      <c r="X1273" t="s">
        <v>3032</v>
      </c>
    </row>
    <row r="1274" spans="1:24" ht="14.25" customHeight="1">
      <c r="A1274" t="s">
        <v>954</v>
      </c>
      <c r="B1274" t="s">
        <v>4278</v>
      </c>
      <c r="E1274" s="118" t="s">
        <v>1067</v>
      </c>
      <c r="I1274" s="213" t="str">
        <f t="shared" si="180"/>
        <v>begin group</v>
      </c>
      <c r="J1274" s="106" t="s">
        <v>3371</v>
      </c>
      <c r="L1274" s="118" t="str">
        <f>IF(K1274="yes",("Sorry, question "&amp;LEFT(E1274, 6)&amp;" is required!"),"")</f>
        <v/>
      </c>
      <c r="O1274" s="110" t="s">
        <v>4274</v>
      </c>
      <c r="X1274" t="s">
        <v>3032</v>
      </c>
    </row>
    <row r="1275" spans="1:24" ht="14.25" customHeight="1">
      <c r="A1275" t="s">
        <v>17</v>
      </c>
      <c r="B1275" t="s">
        <v>4270</v>
      </c>
      <c r="E1275" s="118" t="s">
        <v>5446</v>
      </c>
      <c r="F1275" s="117" t="s">
        <v>6662</v>
      </c>
      <c r="I1275" s="213" t="str">
        <f t="shared" si="180"/>
        <v>note</v>
      </c>
      <c r="J1275" s="106" t="s">
        <v>3370</v>
      </c>
      <c r="L1275" s="118" t="str">
        <f>IF(K1275="yes",("Sorry, question "&amp;LEFT(E1275, 6)&amp;" is required!"),"")</f>
        <v/>
      </c>
    </row>
    <row r="1276" spans="1:24" ht="14.25" customHeight="1">
      <c r="A1276" t="s">
        <v>17</v>
      </c>
      <c r="B1276" t="s">
        <v>4271</v>
      </c>
      <c r="E1276" s="118" t="s">
        <v>958</v>
      </c>
      <c r="I1276" s="213" t="str">
        <f t="shared" si="180"/>
        <v>note</v>
      </c>
      <c r="J1276" s="106" t="s">
        <v>3477</v>
      </c>
      <c r="L1276" s="118" t="str">
        <f>IF(K1276="yes",("Sorry, question "&amp;LEFT(E1276, 6)&amp;" is required!"),"")</f>
        <v/>
      </c>
    </row>
    <row r="1277" spans="1:24" ht="14.25" customHeight="1">
      <c r="A1277" t="s">
        <v>955</v>
      </c>
      <c r="B1277" t="s">
        <v>5016</v>
      </c>
      <c r="E1277" s="118" t="s">
        <v>959</v>
      </c>
      <c r="H1277" s="206" t="str">
        <f>"(8.04p) TOTAL NUMBER OF "&amp;E1276&amp;" - "&amp;E1277</f>
        <v>(8.04p) TOTAL NUMBER OF MONTH 1 - IN</v>
      </c>
      <c r="I1277" s="213" t="str">
        <f t="shared" si="180"/>
        <v>integer</v>
      </c>
      <c r="J1277" s="106" t="s">
        <v>4907</v>
      </c>
      <c r="K1277" s="116" t="s">
        <v>2443</v>
      </c>
      <c r="L1277" s="118" t="str">
        <f>IF(K1277="yes",("Sorry, question MONTH 1 is required!"),"")</f>
        <v>Sorry, question MONTH 1 is required!</v>
      </c>
      <c r="M1277" s="113" t="s">
        <v>5398</v>
      </c>
      <c r="N1277" t="s">
        <v>3911</v>
      </c>
    </row>
    <row r="1278" spans="1:24" ht="14.25" customHeight="1">
      <c r="A1278" t="s">
        <v>955</v>
      </c>
      <c r="B1278" t="s">
        <v>4995</v>
      </c>
      <c r="E1278" s="118" t="s">
        <v>960</v>
      </c>
      <c r="H1278" s="206" t="str">
        <f>"(8.04p) TOTAL NUMBER OF "&amp;E1276&amp;" - "&amp;E1278</f>
        <v>(8.04p) TOTAL NUMBER OF MONTH 1 - OUT</v>
      </c>
      <c r="I1278" s="213" t="str">
        <f t="shared" si="180"/>
        <v>integer</v>
      </c>
      <c r="J1278" s="106" t="s">
        <v>4908</v>
      </c>
      <c r="K1278" s="116" t="s">
        <v>2443</v>
      </c>
      <c r="L1278" s="118" t="str">
        <f t="shared" ref="L1278:L1279" si="186">IF(K1278="yes",("Sorry, question MONTH 1 is required!"),"")</f>
        <v>Sorry, question MONTH 1 is required!</v>
      </c>
      <c r="M1278" s="113" t="s">
        <v>5398</v>
      </c>
      <c r="N1278" t="s">
        <v>3912</v>
      </c>
    </row>
    <row r="1279" spans="1:24" ht="14.25" customHeight="1">
      <c r="A1279" t="s">
        <v>17</v>
      </c>
      <c r="B1279" t="s">
        <v>4272</v>
      </c>
      <c r="E1279" s="118" t="s">
        <v>961</v>
      </c>
      <c r="I1279" s="213" t="str">
        <f t="shared" si="180"/>
        <v>note</v>
      </c>
      <c r="J1279" s="106" t="s">
        <v>3478</v>
      </c>
      <c r="L1279" s="118" t="str">
        <f t="shared" si="186"/>
        <v/>
      </c>
    </row>
    <row r="1280" spans="1:24" ht="14.25" customHeight="1">
      <c r="A1280" t="s">
        <v>955</v>
      </c>
      <c r="B1280" t="s">
        <v>5058</v>
      </c>
      <c r="E1280" s="118" t="s">
        <v>959</v>
      </c>
      <c r="H1280" s="206" t="str">
        <f>"(8.04p) TOTAL NUMBER OF "&amp;E1279&amp;" - "&amp;E1280</f>
        <v>(8.04p) TOTAL NUMBER OF MONTH 2 - IN</v>
      </c>
      <c r="I1280" s="213" t="str">
        <f t="shared" si="180"/>
        <v>integer</v>
      </c>
      <c r="J1280" s="106" t="s">
        <v>6621</v>
      </c>
      <c r="K1280" s="116" t="s">
        <v>2443</v>
      </c>
      <c r="L1280" s="118" t="str">
        <f>IF(K1280="yes",("Sorry, question MONTH 2 is required!"),"")</f>
        <v>Sorry, question MONTH 2 is required!</v>
      </c>
      <c r="M1280" s="113" t="s">
        <v>5398</v>
      </c>
      <c r="N1280" t="s">
        <v>3913</v>
      </c>
    </row>
    <row r="1281" spans="1:24" ht="14.25" customHeight="1">
      <c r="A1281" t="s">
        <v>955</v>
      </c>
      <c r="B1281" t="s">
        <v>5037</v>
      </c>
      <c r="E1281" s="118" t="s">
        <v>960</v>
      </c>
      <c r="H1281" s="206" t="str">
        <f>"(8.04p) TOTAL NUMBER OF "&amp;E1279&amp;" - "&amp;E1281</f>
        <v>(8.04p) TOTAL NUMBER OF MONTH 2 - OUT</v>
      </c>
      <c r="I1281" s="213" t="str">
        <f t="shared" ref="I1281:I1344" si="187">A1281</f>
        <v>integer</v>
      </c>
      <c r="J1281" s="106" t="s">
        <v>6626</v>
      </c>
      <c r="K1281" s="116" t="s">
        <v>2443</v>
      </c>
      <c r="L1281" s="118" t="str">
        <f>IF(K1281="yes",("Sorry, question MONTH 2 is required!"),"")</f>
        <v>Sorry, question MONTH 2 is required!</v>
      </c>
      <c r="M1281" s="113" t="s">
        <v>5398</v>
      </c>
      <c r="N1281" t="s">
        <v>3914</v>
      </c>
    </row>
    <row r="1282" spans="1:24" ht="14.25" customHeight="1">
      <c r="A1282" t="s">
        <v>17</v>
      </c>
      <c r="B1282" t="s">
        <v>4273</v>
      </c>
      <c r="E1282" s="118" t="s">
        <v>962</v>
      </c>
      <c r="I1282" s="213" t="str">
        <f t="shared" si="187"/>
        <v>note</v>
      </c>
      <c r="J1282" s="106" t="s">
        <v>3480</v>
      </c>
      <c r="L1282" s="118" t="str">
        <f t="shared" ref="L1282" si="188">IF(K1282="yes",("Sorry, question MONTH 1 is required!"),"")</f>
        <v/>
      </c>
    </row>
    <row r="1283" spans="1:24" ht="14.25" customHeight="1">
      <c r="A1283" t="s">
        <v>955</v>
      </c>
      <c r="B1283" t="s">
        <v>5079</v>
      </c>
      <c r="E1283" s="118" t="s">
        <v>959</v>
      </c>
      <c r="H1283" s="206" t="str">
        <f>"(8.04p) TOTAL NUMBER OF "&amp;E1282&amp;" - "&amp;E1283</f>
        <v>(8.04p) TOTAL NUMBER OF MONTH 3 - IN</v>
      </c>
      <c r="I1283" s="213" t="str">
        <f t="shared" si="187"/>
        <v>integer</v>
      </c>
      <c r="J1283" s="106" t="s">
        <v>6629</v>
      </c>
      <c r="K1283" s="116" t="s">
        <v>2443</v>
      </c>
      <c r="L1283" s="118" t="str">
        <f>IF(K1283="yes",("Sorry, question MONTH 3 is required!"),"")</f>
        <v>Sorry, question MONTH 3 is required!</v>
      </c>
      <c r="M1283" s="113" t="s">
        <v>5398</v>
      </c>
      <c r="N1283" t="s">
        <v>4015</v>
      </c>
    </row>
    <row r="1284" spans="1:24" ht="14.25" customHeight="1">
      <c r="A1284" t="s">
        <v>955</v>
      </c>
      <c r="B1284" t="s">
        <v>5100</v>
      </c>
      <c r="E1284" s="118" t="s">
        <v>960</v>
      </c>
      <c r="H1284" s="206" t="str">
        <f>"(8.04p) TOTAL NUMBER OF "&amp;E1282&amp;" - "&amp;E1284</f>
        <v>(8.04p) TOTAL NUMBER OF MONTH 3 - OUT</v>
      </c>
      <c r="I1284" s="213" t="str">
        <f t="shared" si="187"/>
        <v>integer</v>
      </c>
      <c r="J1284" s="106" t="s">
        <v>6630</v>
      </c>
      <c r="K1284" s="116" t="s">
        <v>2443</v>
      </c>
      <c r="L1284" s="118" t="str">
        <f>IF(K1284="yes",("Sorry, question MONTH 3 is required!"),"")</f>
        <v>Sorry, question MONTH 3 is required!</v>
      </c>
      <c r="M1284" s="113" t="s">
        <v>5398</v>
      </c>
      <c r="N1284" t="s">
        <v>4016</v>
      </c>
    </row>
    <row r="1285" spans="1:24" ht="14.25" customHeight="1">
      <c r="A1285" t="s">
        <v>15</v>
      </c>
      <c r="E1285" s="118" t="s">
        <v>1067</v>
      </c>
      <c r="I1285" s="213" t="str">
        <f t="shared" si="187"/>
        <v>end group</v>
      </c>
      <c r="L1285" s="118" t="str">
        <f>IF(K1285="yes",("Sorry, question MONTH 3 is required!"),"")</f>
        <v/>
      </c>
      <c r="X1285" t="s">
        <v>3032</v>
      </c>
    </row>
    <row r="1286" spans="1:24" ht="14.25" customHeight="1">
      <c r="A1286" t="s">
        <v>954</v>
      </c>
      <c r="B1286" t="s">
        <v>3205</v>
      </c>
      <c r="E1286" s="118" t="s">
        <v>1067</v>
      </c>
      <c r="I1286" s="213" t="str">
        <f t="shared" si="187"/>
        <v>begin group</v>
      </c>
      <c r="J1286" s="106" t="s">
        <v>13</v>
      </c>
      <c r="X1286" t="s">
        <v>3032</v>
      </c>
    </row>
    <row r="1287" spans="1:24" ht="14.25" customHeight="1">
      <c r="A1287" t="s">
        <v>23</v>
      </c>
      <c r="B1287" s="107" t="s">
        <v>1689</v>
      </c>
      <c r="E1287" s="118" t="s">
        <v>5447</v>
      </c>
      <c r="F1287" s="118" t="s">
        <v>3396</v>
      </c>
      <c r="I1287" s="213" t="str">
        <f t="shared" si="187"/>
        <v>select_one yesno</v>
      </c>
      <c r="J1287" s="106" t="s">
        <v>1876</v>
      </c>
    </row>
    <row r="1288" spans="1:24" ht="14.25" customHeight="1">
      <c r="A1288" t="s">
        <v>23</v>
      </c>
      <c r="B1288" t="s">
        <v>1690</v>
      </c>
      <c r="E1288" s="118" t="s">
        <v>951</v>
      </c>
      <c r="H1288" s="206" t="str">
        <f>E1287&amp;E1288</f>
        <v>(8.01q) Does this facility provide &lt;b&gt;Polio Dose 1&lt;/b&gt; within the facility and/or as outreach? In-facility</v>
      </c>
      <c r="I1288" s="213" t="str">
        <f t="shared" si="187"/>
        <v>select_one yesno</v>
      </c>
      <c r="J1288" s="106" t="s">
        <v>1878</v>
      </c>
      <c r="K1288" s="116" t="s">
        <v>2443</v>
      </c>
      <c r="L1288" s="118" t="str">
        <f>IF(K1288="yes",("Sorry, question (8.01"&amp;RIGHT(B1287,1)&amp;") is required!"),"")</f>
        <v>Sorry, question (8.01q) is required!</v>
      </c>
    </row>
    <row r="1289" spans="1:24" ht="14.25" customHeight="1">
      <c r="A1289" t="s">
        <v>23</v>
      </c>
      <c r="B1289" t="s">
        <v>1691</v>
      </c>
      <c r="E1289" s="118" t="s">
        <v>953</v>
      </c>
      <c r="H1289" s="206" t="str">
        <f>E1287&amp;E1289</f>
        <v>(8.01q) Does this facility provide &lt;b&gt;Polio Dose 1&lt;/b&gt; within the facility and/or as outreach? Outreach</v>
      </c>
      <c r="I1289" s="213" t="str">
        <f t="shared" si="187"/>
        <v>select_one yesno</v>
      </c>
      <c r="J1289" s="106" t="s">
        <v>1878</v>
      </c>
      <c r="K1289" s="116" t="s">
        <v>2443</v>
      </c>
      <c r="L1289" s="118" t="str">
        <f>IF(K1289="yes",("Sorry, question (8.01"&amp;RIGHT(B1287,1)&amp;") is required!"),"")</f>
        <v>Sorry, question (8.01q) is required!</v>
      </c>
    </row>
    <row r="1290" spans="1:24" ht="14.25" customHeight="1">
      <c r="A1290" t="s">
        <v>955</v>
      </c>
      <c r="B1290" t="s">
        <v>1692</v>
      </c>
      <c r="E1290" s="118" t="s">
        <v>1951</v>
      </c>
      <c r="F1290" s="118" t="s">
        <v>6622</v>
      </c>
      <c r="H1290" s="206" t="str">
        <f>E1290</f>
        <v>(8.02q) How many days per week is this service offered?</v>
      </c>
      <c r="I1290" s="213" t="str">
        <f t="shared" si="187"/>
        <v>integer</v>
      </c>
      <c r="J1290" s="106" t="s">
        <v>6625</v>
      </c>
      <c r="K1290" s="116" t="s">
        <v>2443</v>
      </c>
      <c r="L1290" s="118" t="str">
        <f>IF(K1290="yes",("Sorry, question "&amp;LEFT(E1290, 7)&amp;" is required!"),"")</f>
        <v>Sorry, question (8.02q) is required!</v>
      </c>
      <c r="M1290" s="113" t="s">
        <v>6618</v>
      </c>
      <c r="N1290" t="s">
        <v>3915</v>
      </c>
      <c r="O1290" s="110" t="s">
        <v>1558</v>
      </c>
    </row>
    <row r="1291" spans="1:24" ht="14.25" customHeight="1">
      <c r="A1291" t="s">
        <v>955</v>
      </c>
      <c r="B1291" t="s">
        <v>1693</v>
      </c>
      <c r="E1291" s="118" t="s">
        <v>5448</v>
      </c>
      <c r="F1291" s="118" t="s">
        <v>1885</v>
      </c>
      <c r="H1291" s="206" t="str">
        <f>E1291</f>
        <v>(8.03q) What is the total price in Dalasi charged for &lt;b&gt;Polio Dose 1&lt;/b&gt;? INTERVIEWER: IF NO CHARGE, RECORD "0".</v>
      </c>
      <c r="I1291" s="213" t="str">
        <f t="shared" si="187"/>
        <v>integer</v>
      </c>
      <c r="J1291" s="106" t="s">
        <v>3379</v>
      </c>
      <c r="K1291" s="116" t="s">
        <v>2443</v>
      </c>
      <c r="L1291" s="118" t="str">
        <f>IF(K1291="yes",("Sorry, question "&amp;LEFT(E1291, 7)&amp;" is required!"),"")</f>
        <v>Sorry, question (8.03q) is required!</v>
      </c>
      <c r="M1291" s="113" t="s">
        <v>5398</v>
      </c>
      <c r="N1291" t="s">
        <v>3916</v>
      </c>
      <c r="O1291" s="110" t="s">
        <v>1558</v>
      </c>
    </row>
    <row r="1292" spans="1:24" ht="14.25" customHeight="1">
      <c r="A1292" t="s">
        <v>15</v>
      </c>
      <c r="E1292" s="118" t="s">
        <v>1067</v>
      </c>
      <c r="I1292" s="213" t="str">
        <f t="shared" si="187"/>
        <v>end group</v>
      </c>
      <c r="X1292" t="s">
        <v>3032</v>
      </c>
    </row>
    <row r="1293" spans="1:24" ht="14.25" customHeight="1">
      <c r="A1293" t="s">
        <v>954</v>
      </c>
      <c r="B1293" t="s">
        <v>3206</v>
      </c>
      <c r="E1293" s="118" t="s">
        <v>1067</v>
      </c>
      <c r="I1293" s="213" t="str">
        <f t="shared" si="187"/>
        <v>begin group</v>
      </c>
      <c r="J1293" s="106" t="s">
        <v>3371</v>
      </c>
      <c r="L1293" s="118" t="str">
        <f>IF(K1293="yes",("Sorry, question "&amp;LEFT(E1293, 6)&amp;" is required!"),"")</f>
        <v/>
      </c>
      <c r="O1293" s="110" t="s">
        <v>1558</v>
      </c>
      <c r="X1293" t="s">
        <v>3032</v>
      </c>
    </row>
    <row r="1294" spans="1:24" ht="14.25" customHeight="1">
      <c r="A1294" t="s">
        <v>17</v>
      </c>
      <c r="B1294" t="s">
        <v>1694</v>
      </c>
      <c r="E1294" s="118" t="s">
        <v>5449</v>
      </c>
      <c r="F1294" s="117" t="s">
        <v>6662</v>
      </c>
      <c r="I1294" s="213" t="str">
        <f t="shared" si="187"/>
        <v>note</v>
      </c>
      <c r="J1294" s="106" t="s">
        <v>3370</v>
      </c>
      <c r="L1294" s="118" t="str">
        <f>IF(K1294="yes",("Sorry, question "&amp;LEFT(E1294, 6)&amp;" is required!"),"")</f>
        <v/>
      </c>
    </row>
    <row r="1295" spans="1:24" ht="14.25" customHeight="1">
      <c r="A1295" t="s">
        <v>17</v>
      </c>
      <c r="B1295" t="s">
        <v>1695</v>
      </c>
      <c r="E1295" s="118" t="s">
        <v>958</v>
      </c>
      <c r="I1295" s="213" t="str">
        <f t="shared" si="187"/>
        <v>note</v>
      </c>
      <c r="J1295" s="106" t="s">
        <v>3477</v>
      </c>
      <c r="L1295" s="118" t="str">
        <f>IF(K1295="yes",("Sorry, question "&amp;LEFT(E1295, 6)&amp;" is required!"),"")</f>
        <v/>
      </c>
    </row>
    <row r="1296" spans="1:24" ht="14.25" customHeight="1">
      <c r="A1296" t="s">
        <v>955</v>
      </c>
      <c r="B1296" t="s">
        <v>5017</v>
      </c>
      <c r="E1296" s="118" t="s">
        <v>959</v>
      </c>
      <c r="H1296" s="206" t="str">
        <f>"(8.04q) TOTAL NUMBER OF "&amp;E1295&amp;" - "&amp;E1296</f>
        <v>(8.04q) TOTAL NUMBER OF MONTH 1 - IN</v>
      </c>
      <c r="I1296" s="213" t="str">
        <f t="shared" si="187"/>
        <v>integer</v>
      </c>
      <c r="J1296" s="106" t="s">
        <v>4907</v>
      </c>
      <c r="K1296" s="116" t="s">
        <v>2443</v>
      </c>
      <c r="L1296" s="118" t="str">
        <f>IF(K1296="yes",("Sorry, question MONTH 1 is required!"),"")</f>
        <v>Sorry, question MONTH 1 is required!</v>
      </c>
      <c r="M1296" s="113" t="s">
        <v>5398</v>
      </c>
      <c r="N1296" t="s">
        <v>3917</v>
      </c>
    </row>
    <row r="1297" spans="1:24" ht="14.25" customHeight="1">
      <c r="A1297" t="s">
        <v>955</v>
      </c>
      <c r="B1297" t="s">
        <v>4996</v>
      </c>
      <c r="E1297" s="118" t="s">
        <v>960</v>
      </c>
      <c r="H1297" s="206" t="str">
        <f>"(8.04q) TOTAL NUMBER OF "&amp;E1295&amp;" - "&amp;E1297</f>
        <v>(8.04q) TOTAL NUMBER OF MONTH 1 - OUT</v>
      </c>
      <c r="I1297" s="213" t="str">
        <f t="shared" si="187"/>
        <v>integer</v>
      </c>
      <c r="J1297" s="106" t="s">
        <v>4908</v>
      </c>
      <c r="K1297" s="116" t="s">
        <v>2443</v>
      </c>
      <c r="L1297" s="118" t="str">
        <f t="shared" ref="L1297:L1301" si="189">IF(K1297="yes",("Sorry, question MONTH 1 is required!"),"")</f>
        <v>Sorry, question MONTH 1 is required!</v>
      </c>
      <c r="M1297" s="113" t="s">
        <v>5398</v>
      </c>
      <c r="N1297" t="s">
        <v>3918</v>
      </c>
    </row>
    <row r="1298" spans="1:24" ht="14.25" customHeight="1">
      <c r="A1298" t="s">
        <v>17</v>
      </c>
      <c r="B1298" t="s">
        <v>1696</v>
      </c>
      <c r="E1298" s="118" t="s">
        <v>961</v>
      </c>
      <c r="I1298" s="213" t="str">
        <f t="shared" si="187"/>
        <v>note</v>
      </c>
      <c r="J1298" s="106" t="s">
        <v>3478</v>
      </c>
      <c r="L1298" s="118" t="str">
        <f t="shared" si="189"/>
        <v/>
      </c>
    </row>
    <row r="1299" spans="1:24" ht="14.25" customHeight="1">
      <c r="A1299" t="s">
        <v>955</v>
      </c>
      <c r="B1299" t="s">
        <v>5059</v>
      </c>
      <c r="E1299" s="118" t="s">
        <v>959</v>
      </c>
      <c r="H1299" s="206" t="str">
        <f t="shared" ref="H1299:H1302" si="190">"(8.04q) TOTAL NUMBER OF "&amp;E1298&amp;" - "&amp;E1299</f>
        <v>(8.04q) TOTAL NUMBER OF MONTH 2 - IN</v>
      </c>
      <c r="I1299" s="213" t="str">
        <f t="shared" si="187"/>
        <v>integer</v>
      </c>
      <c r="J1299" s="106" t="s">
        <v>6621</v>
      </c>
      <c r="K1299" s="116" t="s">
        <v>2443</v>
      </c>
      <c r="L1299" s="118" t="str">
        <f>IF(K1299="yes",("Sorry, question MONTH 2 is required!"),"")</f>
        <v>Sorry, question MONTH 2 is required!</v>
      </c>
      <c r="M1299" s="113" t="s">
        <v>5398</v>
      </c>
      <c r="N1299" t="s">
        <v>3919</v>
      </c>
    </row>
    <row r="1300" spans="1:24" ht="14.25" customHeight="1">
      <c r="A1300" t="s">
        <v>955</v>
      </c>
      <c r="B1300" t="s">
        <v>5038</v>
      </c>
      <c r="E1300" s="118" t="s">
        <v>960</v>
      </c>
      <c r="H1300" s="206" t="str">
        <f>"(8.04q) TOTAL NUMBER OF "&amp;E1298&amp;" - "&amp;E1300</f>
        <v>(8.04q) TOTAL NUMBER OF MONTH 2 - OUT</v>
      </c>
      <c r="I1300" s="213" t="str">
        <f t="shared" si="187"/>
        <v>integer</v>
      </c>
      <c r="J1300" s="106" t="s">
        <v>6626</v>
      </c>
      <c r="K1300" s="116" t="s">
        <v>2443</v>
      </c>
      <c r="L1300" s="118" t="str">
        <f>IF(K1300="yes",("Sorry, question MONTH 2 is required!"),"")</f>
        <v>Sorry, question MONTH 2 is required!</v>
      </c>
      <c r="M1300" s="113" t="s">
        <v>5398</v>
      </c>
      <c r="N1300" t="s">
        <v>3920</v>
      </c>
    </row>
    <row r="1301" spans="1:24" ht="14.25" customHeight="1">
      <c r="A1301" t="s">
        <v>17</v>
      </c>
      <c r="B1301" t="s">
        <v>1697</v>
      </c>
      <c r="E1301" s="118" t="s">
        <v>962</v>
      </c>
      <c r="I1301" s="213" t="str">
        <f t="shared" si="187"/>
        <v>note</v>
      </c>
      <c r="J1301" s="106" t="s">
        <v>3480</v>
      </c>
      <c r="L1301" s="118" t="str">
        <f t="shared" si="189"/>
        <v/>
      </c>
    </row>
    <row r="1302" spans="1:24" ht="14.25" customHeight="1">
      <c r="A1302" t="s">
        <v>955</v>
      </c>
      <c r="B1302" t="s">
        <v>5080</v>
      </c>
      <c r="E1302" s="118" t="s">
        <v>959</v>
      </c>
      <c r="H1302" s="206" t="str">
        <f t="shared" si="190"/>
        <v>(8.04q) TOTAL NUMBER OF MONTH 3 - IN</v>
      </c>
      <c r="I1302" s="213" t="str">
        <f t="shared" si="187"/>
        <v>integer</v>
      </c>
      <c r="J1302" s="106" t="s">
        <v>6629</v>
      </c>
      <c r="K1302" s="116" t="s">
        <v>2443</v>
      </c>
      <c r="L1302" s="118" t="str">
        <f>IF(K1302="yes",("Sorry, question MONTH 3 is required!"),"")</f>
        <v>Sorry, question MONTH 3 is required!</v>
      </c>
      <c r="M1302" s="113" t="s">
        <v>5398</v>
      </c>
      <c r="N1302" t="s">
        <v>4017</v>
      </c>
    </row>
    <row r="1303" spans="1:24" ht="14.25" customHeight="1">
      <c r="A1303" t="s">
        <v>955</v>
      </c>
      <c r="B1303" t="s">
        <v>5101</v>
      </c>
      <c r="E1303" s="118" t="s">
        <v>960</v>
      </c>
      <c r="H1303" s="206" t="str">
        <f>"(8.04q) TOTAL NUMBER OF "&amp;E1301&amp;" - "&amp;E1303</f>
        <v>(8.04q) TOTAL NUMBER OF MONTH 3 - OUT</v>
      </c>
      <c r="I1303" s="213" t="str">
        <f t="shared" si="187"/>
        <v>integer</v>
      </c>
      <c r="J1303" s="106" t="s">
        <v>6630</v>
      </c>
      <c r="K1303" s="116" t="s">
        <v>2443</v>
      </c>
      <c r="L1303" s="118" t="str">
        <f>IF(K1303="yes",("Sorry, question MONTH 3 is required!"),"")</f>
        <v>Sorry, question MONTH 3 is required!</v>
      </c>
      <c r="M1303" s="113" t="s">
        <v>5398</v>
      </c>
      <c r="N1303" t="s">
        <v>4018</v>
      </c>
    </row>
    <row r="1304" spans="1:24" ht="14.25" customHeight="1">
      <c r="A1304" t="s">
        <v>15</v>
      </c>
      <c r="E1304" s="118" t="s">
        <v>1067</v>
      </c>
      <c r="I1304" s="213" t="str">
        <f t="shared" si="187"/>
        <v>end group</v>
      </c>
      <c r="L1304" s="118" t="str">
        <f>IF(K1304="yes",("Sorry, question MONTH 3 is required!"),"")</f>
        <v/>
      </c>
      <c r="X1304" t="s">
        <v>3032</v>
      </c>
    </row>
    <row r="1305" spans="1:24" ht="14.25" customHeight="1">
      <c r="A1305" t="s">
        <v>954</v>
      </c>
      <c r="B1305" t="s">
        <v>3207</v>
      </c>
      <c r="E1305" s="118" t="s">
        <v>1067</v>
      </c>
      <c r="I1305" s="213" t="str">
        <f t="shared" si="187"/>
        <v>begin group</v>
      </c>
      <c r="J1305" s="106" t="s">
        <v>13</v>
      </c>
      <c r="X1305" t="s">
        <v>3032</v>
      </c>
    </row>
    <row r="1306" spans="1:24" ht="14.25" customHeight="1">
      <c r="A1306" t="s">
        <v>23</v>
      </c>
      <c r="B1306" s="107" t="s">
        <v>1698</v>
      </c>
      <c r="E1306" s="118" t="s">
        <v>3413</v>
      </c>
      <c r="F1306" s="118" t="s">
        <v>3396</v>
      </c>
      <c r="I1306" s="213" t="str">
        <f t="shared" si="187"/>
        <v>select_one yesno</v>
      </c>
      <c r="J1306" s="106" t="s">
        <v>1876</v>
      </c>
    </row>
    <row r="1307" spans="1:24" ht="14.25" customHeight="1">
      <c r="A1307" t="s">
        <v>23</v>
      </c>
      <c r="B1307" t="s">
        <v>1699</v>
      </c>
      <c r="E1307" s="118" t="s">
        <v>951</v>
      </c>
      <c r="H1307" s="206" t="str">
        <f>E1306&amp;E1307</f>
        <v>(8.01r) Does this facility provide Polio Dose 2 within the facility and/or as outreach? In-facility</v>
      </c>
      <c r="I1307" s="213" t="str">
        <f t="shared" si="187"/>
        <v>select_one yesno</v>
      </c>
      <c r="J1307" s="106" t="s">
        <v>1878</v>
      </c>
      <c r="K1307" s="116" t="s">
        <v>2443</v>
      </c>
      <c r="L1307" s="118" t="str">
        <f>IF(K1307="yes",("Sorry, question (8.01"&amp;RIGHT(B1306,1)&amp;") is required!"),"")</f>
        <v>Sorry, question (8.01r) is required!</v>
      </c>
    </row>
    <row r="1308" spans="1:24" ht="14.25" customHeight="1">
      <c r="A1308" t="s">
        <v>23</v>
      </c>
      <c r="B1308" t="s">
        <v>1700</v>
      </c>
      <c r="E1308" s="118" t="s">
        <v>953</v>
      </c>
      <c r="H1308" s="206" t="str">
        <f>E1307&amp;E1308</f>
        <v>In-facilityOutreach</v>
      </c>
      <c r="I1308" s="213" t="str">
        <f t="shared" si="187"/>
        <v>select_one yesno</v>
      </c>
      <c r="J1308" s="106" t="s">
        <v>1878</v>
      </c>
      <c r="K1308" s="116" t="s">
        <v>2443</v>
      </c>
      <c r="L1308" s="118" t="str">
        <f>IF(K1308="yes",("Sorry, question (8.01"&amp;RIGHT(B1306,1)&amp;") is required!"),"")</f>
        <v>Sorry, question (8.01r) is required!</v>
      </c>
    </row>
    <row r="1309" spans="1:24" ht="14.25" customHeight="1">
      <c r="A1309" t="s">
        <v>955</v>
      </c>
      <c r="B1309" t="s">
        <v>1701</v>
      </c>
      <c r="E1309" s="118" t="s">
        <v>1952</v>
      </c>
      <c r="F1309" s="118" t="s">
        <v>6622</v>
      </c>
      <c r="H1309" s="206" t="str">
        <f>E1309</f>
        <v>(8.02r) How many days per week is this service offered?</v>
      </c>
      <c r="I1309" s="213" t="str">
        <f t="shared" si="187"/>
        <v>integer</v>
      </c>
      <c r="J1309" s="106" t="s">
        <v>6625</v>
      </c>
      <c r="K1309" s="116" t="s">
        <v>2443</v>
      </c>
      <c r="L1309" s="118" t="str">
        <f>IF(K1309="yes",("Sorry, question "&amp;LEFT(E1309, 7)&amp;" is required!"),"")</f>
        <v>Sorry, question (8.02r) is required!</v>
      </c>
      <c r="M1309" s="113" t="s">
        <v>6618</v>
      </c>
      <c r="N1309" t="s">
        <v>3921</v>
      </c>
      <c r="O1309" s="110" t="s">
        <v>1559</v>
      </c>
    </row>
    <row r="1310" spans="1:24" ht="14.25" customHeight="1">
      <c r="A1310" t="s">
        <v>955</v>
      </c>
      <c r="B1310" t="s">
        <v>1702</v>
      </c>
      <c r="E1310" s="118" t="s">
        <v>2338</v>
      </c>
      <c r="F1310" s="118" t="s">
        <v>1885</v>
      </c>
      <c r="H1310" s="206" t="str">
        <f>E1310</f>
        <v>(8.03r) What is the total price in Dalasi charged for Polio Dose 2? INTERVIEWER: IF NO CHARGE, RECORD "0".</v>
      </c>
      <c r="I1310" s="213" t="str">
        <f t="shared" si="187"/>
        <v>integer</v>
      </c>
      <c r="J1310" s="106" t="s">
        <v>3379</v>
      </c>
      <c r="K1310" s="116" t="s">
        <v>2443</v>
      </c>
      <c r="L1310" s="118" t="str">
        <f>IF(K1310="yes",("Sorry, question "&amp;LEFT(E1310, 7)&amp;" is required!"),"")</f>
        <v>Sorry, question (8.03r) is required!</v>
      </c>
      <c r="M1310" s="113" t="s">
        <v>5398</v>
      </c>
      <c r="N1310" t="s">
        <v>3922</v>
      </c>
      <c r="O1310" s="110" t="s">
        <v>1559</v>
      </c>
    </row>
    <row r="1311" spans="1:24" ht="14.25" customHeight="1">
      <c r="A1311" t="s">
        <v>15</v>
      </c>
      <c r="E1311" s="118" t="s">
        <v>1067</v>
      </c>
      <c r="I1311" s="213" t="str">
        <f t="shared" si="187"/>
        <v>end group</v>
      </c>
      <c r="X1311" t="s">
        <v>3032</v>
      </c>
    </row>
    <row r="1312" spans="1:24" ht="14.25" customHeight="1">
      <c r="A1312" t="s">
        <v>954</v>
      </c>
      <c r="B1312" t="s">
        <v>3208</v>
      </c>
      <c r="E1312" s="118" t="s">
        <v>1067</v>
      </c>
      <c r="I1312" s="213" t="str">
        <f t="shared" si="187"/>
        <v>begin group</v>
      </c>
      <c r="J1312" s="106" t="s">
        <v>3371</v>
      </c>
      <c r="L1312" s="118" t="str">
        <f>IF(K1312="yes",("Sorry, question "&amp;LEFT(E1312, 6)&amp;" is required!"),"")</f>
        <v/>
      </c>
      <c r="O1312" s="110" t="s">
        <v>1559</v>
      </c>
      <c r="X1312" t="s">
        <v>3032</v>
      </c>
    </row>
    <row r="1313" spans="1:24" ht="14.25" customHeight="1">
      <c r="A1313" t="s">
        <v>17</v>
      </c>
      <c r="B1313" t="s">
        <v>1703</v>
      </c>
      <c r="E1313" s="118" t="s">
        <v>3210</v>
      </c>
      <c r="F1313" s="117" t="s">
        <v>6662</v>
      </c>
      <c r="I1313" s="213" t="str">
        <f t="shared" si="187"/>
        <v>note</v>
      </c>
      <c r="J1313" s="106" t="s">
        <v>3370</v>
      </c>
      <c r="L1313" s="118" t="str">
        <f>IF(K1313="yes",("Sorry, question "&amp;LEFT(E1313, 6)&amp;" is required!"),"")</f>
        <v/>
      </c>
    </row>
    <row r="1314" spans="1:24" ht="14.25" customHeight="1">
      <c r="A1314" t="s">
        <v>17</v>
      </c>
      <c r="B1314" t="s">
        <v>1704</v>
      </c>
      <c r="E1314" s="118" t="s">
        <v>958</v>
      </c>
      <c r="I1314" s="213" t="str">
        <f t="shared" si="187"/>
        <v>note</v>
      </c>
      <c r="J1314" s="106" t="s">
        <v>3477</v>
      </c>
      <c r="L1314" s="118" t="str">
        <f>IF(K1314="yes",("Sorry, question "&amp;LEFT(E1314, 6)&amp;" is required!"),"")</f>
        <v/>
      </c>
    </row>
    <row r="1315" spans="1:24" ht="14.25" customHeight="1">
      <c r="A1315" t="s">
        <v>955</v>
      </c>
      <c r="B1315" t="s">
        <v>5018</v>
      </c>
      <c r="E1315" s="118" t="s">
        <v>959</v>
      </c>
      <c r="H1315" s="206" t="str">
        <f>"(8.04r) TOTAL NUMBER OF "&amp;E1314&amp;" - "&amp;E1315</f>
        <v>(8.04r) TOTAL NUMBER OF MONTH 1 - IN</v>
      </c>
      <c r="I1315" s="213" t="str">
        <f t="shared" si="187"/>
        <v>integer</v>
      </c>
      <c r="J1315" s="106" t="s">
        <v>4907</v>
      </c>
      <c r="K1315" s="116" t="s">
        <v>2443</v>
      </c>
      <c r="L1315" s="118" t="str">
        <f>IF(K1315="yes",("Sorry, question MONTH 1 is required!"),"")</f>
        <v>Sorry, question MONTH 1 is required!</v>
      </c>
      <c r="M1315" s="113" t="s">
        <v>5398</v>
      </c>
      <c r="N1315" t="s">
        <v>3923</v>
      </c>
    </row>
    <row r="1316" spans="1:24" ht="14.25" customHeight="1">
      <c r="A1316" t="s">
        <v>955</v>
      </c>
      <c r="B1316" t="s">
        <v>4997</v>
      </c>
      <c r="E1316" s="118" t="s">
        <v>960</v>
      </c>
      <c r="H1316" s="206" t="str">
        <f>"(8.04r) TOTAL NUMBER OF "&amp;E1314&amp;" - "&amp;E1316</f>
        <v>(8.04r) TOTAL NUMBER OF MONTH 1 - OUT</v>
      </c>
      <c r="I1316" s="213" t="str">
        <f t="shared" si="187"/>
        <v>integer</v>
      </c>
      <c r="J1316" s="106" t="s">
        <v>4908</v>
      </c>
      <c r="K1316" s="116" t="s">
        <v>2443</v>
      </c>
      <c r="L1316" s="118" t="str">
        <f t="shared" ref="L1316:L1320" si="191">IF(K1316="yes",("Sorry, question MONTH 1 is required!"),"")</f>
        <v>Sorry, question MONTH 1 is required!</v>
      </c>
      <c r="M1316" s="113" t="s">
        <v>5398</v>
      </c>
      <c r="N1316" t="s">
        <v>3924</v>
      </c>
    </row>
    <row r="1317" spans="1:24" ht="14.25" customHeight="1">
      <c r="A1317" t="s">
        <v>17</v>
      </c>
      <c r="B1317" t="s">
        <v>1705</v>
      </c>
      <c r="E1317" s="118" t="s">
        <v>961</v>
      </c>
      <c r="I1317" s="213" t="str">
        <f t="shared" si="187"/>
        <v>note</v>
      </c>
      <c r="J1317" s="106" t="s">
        <v>3478</v>
      </c>
      <c r="L1317" s="118" t="str">
        <f t="shared" si="191"/>
        <v/>
      </c>
    </row>
    <row r="1318" spans="1:24" ht="14.25" customHeight="1">
      <c r="A1318" t="s">
        <v>955</v>
      </c>
      <c r="B1318" t="s">
        <v>5060</v>
      </c>
      <c r="E1318" s="118" t="s">
        <v>959</v>
      </c>
      <c r="H1318" s="206" t="str">
        <f t="shared" ref="H1318:H1321" si="192">"(8.04r) TOTAL NUMBER OF "&amp;E1317&amp;" - "&amp;E1318</f>
        <v>(8.04r) TOTAL NUMBER OF MONTH 2 - IN</v>
      </c>
      <c r="I1318" s="213" t="str">
        <f t="shared" si="187"/>
        <v>integer</v>
      </c>
      <c r="J1318" s="106" t="s">
        <v>6621</v>
      </c>
      <c r="K1318" s="116" t="s">
        <v>2443</v>
      </c>
      <c r="L1318" s="118" t="str">
        <f>IF(K1318="yes",("Sorry, question MONTH 2 is required!"),"")</f>
        <v>Sorry, question MONTH 2 is required!</v>
      </c>
      <c r="M1318" s="113" t="s">
        <v>5398</v>
      </c>
      <c r="N1318" t="s">
        <v>3925</v>
      </c>
    </row>
    <row r="1319" spans="1:24" ht="14.25" customHeight="1">
      <c r="A1319" t="s">
        <v>955</v>
      </c>
      <c r="B1319" t="s">
        <v>5039</v>
      </c>
      <c r="E1319" s="118" t="s">
        <v>960</v>
      </c>
      <c r="H1319" s="206" t="str">
        <f>"(8.04r) TOTAL NUMBER OF "&amp;E1317&amp;" - "&amp;E1319</f>
        <v>(8.04r) TOTAL NUMBER OF MONTH 2 - OUT</v>
      </c>
      <c r="I1319" s="213" t="str">
        <f t="shared" si="187"/>
        <v>integer</v>
      </c>
      <c r="J1319" s="106" t="s">
        <v>6626</v>
      </c>
      <c r="K1319" s="116" t="s">
        <v>2443</v>
      </c>
      <c r="L1319" s="118" t="str">
        <f>IF(K1319="yes",("Sorry, question MONTH 2 is required!"),"")</f>
        <v>Sorry, question MONTH 2 is required!</v>
      </c>
      <c r="M1319" s="113" t="s">
        <v>5398</v>
      </c>
      <c r="N1319" t="s">
        <v>3926</v>
      </c>
    </row>
    <row r="1320" spans="1:24" ht="14.25" customHeight="1">
      <c r="A1320" t="s">
        <v>17</v>
      </c>
      <c r="B1320" t="s">
        <v>1706</v>
      </c>
      <c r="E1320" s="118" t="s">
        <v>962</v>
      </c>
      <c r="I1320" s="213" t="str">
        <f t="shared" si="187"/>
        <v>note</v>
      </c>
      <c r="J1320" s="106" t="s">
        <v>3480</v>
      </c>
      <c r="L1320" s="118" t="str">
        <f t="shared" si="191"/>
        <v/>
      </c>
    </row>
    <row r="1321" spans="1:24" ht="14.25" customHeight="1">
      <c r="A1321" t="s">
        <v>955</v>
      </c>
      <c r="B1321" t="s">
        <v>5081</v>
      </c>
      <c r="E1321" s="118" t="s">
        <v>959</v>
      </c>
      <c r="H1321" s="206" t="str">
        <f t="shared" si="192"/>
        <v>(8.04r) TOTAL NUMBER OF MONTH 3 - IN</v>
      </c>
      <c r="I1321" s="213" t="str">
        <f t="shared" si="187"/>
        <v>integer</v>
      </c>
      <c r="J1321" s="106" t="s">
        <v>6629</v>
      </c>
      <c r="K1321" s="116" t="s">
        <v>2443</v>
      </c>
      <c r="L1321" s="118" t="str">
        <f>IF(K1321="yes",("Sorry, question MONTH 3 is required!"),"")</f>
        <v>Sorry, question MONTH 3 is required!</v>
      </c>
      <c r="M1321" s="113" t="s">
        <v>5398</v>
      </c>
      <c r="N1321" t="s">
        <v>4019</v>
      </c>
    </row>
    <row r="1322" spans="1:24" ht="14.25" customHeight="1">
      <c r="A1322" t="s">
        <v>955</v>
      </c>
      <c r="B1322" t="s">
        <v>5102</v>
      </c>
      <c r="E1322" s="118" t="s">
        <v>960</v>
      </c>
      <c r="H1322" s="206" t="str">
        <f>"(8.04r) TOTAL NUMBER OF "&amp;E1320&amp;" - "&amp;E1322</f>
        <v>(8.04r) TOTAL NUMBER OF MONTH 3 - OUT</v>
      </c>
      <c r="I1322" s="213" t="str">
        <f t="shared" si="187"/>
        <v>integer</v>
      </c>
      <c r="J1322" s="106" t="s">
        <v>6630</v>
      </c>
      <c r="K1322" s="116" t="s">
        <v>2443</v>
      </c>
      <c r="L1322" s="118" t="str">
        <f>IF(K1322="yes",("Sorry, question MONTH 3 is required!"),"")</f>
        <v>Sorry, question MONTH 3 is required!</v>
      </c>
      <c r="M1322" s="113" t="s">
        <v>5398</v>
      </c>
      <c r="N1322" t="s">
        <v>4020</v>
      </c>
    </row>
    <row r="1323" spans="1:24" ht="14.25" customHeight="1">
      <c r="A1323" t="s">
        <v>15</v>
      </c>
      <c r="E1323" s="118" t="s">
        <v>1067</v>
      </c>
      <c r="I1323" s="213" t="str">
        <f t="shared" si="187"/>
        <v>end group</v>
      </c>
      <c r="L1323" s="118" t="str">
        <f>IF(K1323="yes",("Sorry, question MONTH 3 is required!"),"")</f>
        <v/>
      </c>
      <c r="X1323" t="s">
        <v>3032</v>
      </c>
    </row>
    <row r="1324" spans="1:24" ht="14.25" customHeight="1">
      <c r="A1324" t="s">
        <v>954</v>
      </c>
      <c r="B1324" t="s">
        <v>3209</v>
      </c>
      <c r="E1324" s="118" t="s">
        <v>1067</v>
      </c>
      <c r="I1324" s="213" t="str">
        <f t="shared" si="187"/>
        <v>begin group</v>
      </c>
      <c r="J1324" s="106" t="s">
        <v>13</v>
      </c>
      <c r="X1324" t="s">
        <v>3032</v>
      </c>
    </row>
    <row r="1325" spans="1:24" ht="14.25" customHeight="1">
      <c r="A1325" t="s">
        <v>23</v>
      </c>
      <c r="B1325" s="107" t="s">
        <v>1707</v>
      </c>
      <c r="E1325" s="118" t="s">
        <v>3412</v>
      </c>
      <c r="F1325" s="118" t="s">
        <v>3396</v>
      </c>
      <c r="I1325" s="213" t="str">
        <f t="shared" si="187"/>
        <v>select_one yesno</v>
      </c>
      <c r="J1325" s="106" t="s">
        <v>1876</v>
      </c>
    </row>
    <row r="1326" spans="1:24" ht="14.25" customHeight="1">
      <c r="A1326" t="s">
        <v>23</v>
      </c>
      <c r="B1326" t="s">
        <v>1708</v>
      </c>
      <c r="E1326" s="118" t="s">
        <v>951</v>
      </c>
      <c r="H1326" s="206" t="str">
        <f>E1325&amp;E1326</f>
        <v>(8.01s) Does this facility provide Polio Dose 3 within the facility and/or as outreach? In-facility</v>
      </c>
      <c r="I1326" s="213" t="str">
        <f t="shared" si="187"/>
        <v>select_one yesno</v>
      </c>
      <c r="J1326" s="106" t="s">
        <v>1878</v>
      </c>
      <c r="K1326" s="116" t="s">
        <v>2443</v>
      </c>
      <c r="L1326" s="118" t="str">
        <f>IF(K1326="yes",("Sorry, question (8.01"&amp;RIGHT(B1325,1)&amp;") is required!"),"")</f>
        <v>Sorry, question (8.01s) is required!</v>
      </c>
    </row>
    <row r="1327" spans="1:24" ht="14.25" customHeight="1">
      <c r="A1327" t="s">
        <v>23</v>
      </c>
      <c r="B1327" t="s">
        <v>1709</v>
      </c>
      <c r="E1327" s="118" t="s">
        <v>953</v>
      </c>
      <c r="H1327" s="206" t="str">
        <f>E1325&amp;E1327</f>
        <v>(8.01s) Does this facility provide Polio Dose 3 within the facility and/or as outreach? Outreach</v>
      </c>
      <c r="I1327" s="213" t="str">
        <f t="shared" si="187"/>
        <v>select_one yesno</v>
      </c>
      <c r="J1327" s="106" t="s">
        <v>1878</v>
      </c>
      <c r="K1327" s="116" t="s">
        <v>2443</v>
      </c>
      <c r="L1327" s="118" t="str">
        <f>IF(K1327="yes",("Sorry, question (8.01"&amp;RIGHT(B1325,1)&amp;") is required!"),"")</f>
        <v>Sorry, question (8.01s) is required!</v>
      </c>
    </row>
    <row r="1328" spans="1:24" ht="14.25" customHeight="1">
      <c r="A1328" t="s">
        <v>955</v>
      </c>
      <c r="B1328" t="s">
        <v>1710</v>
      </c>
      <c r="E1328" s="118" t="s">
        <v>1953</v>
      </c>
      <c r="F1328" s="118" t="s">
        <v>6622</v>
      </c>
      <c r="H1328" s="206" t="str">
        <f>E1328</f>
        <v>(8.02s) How many days per week is this service offered?</v>
      </c>
      <c r="I1328" s="213" t="str">
        <f t="shared" si="187"/>
        <v>integer</v>
      </c>
      <c r="J1328" s="106" t="s">
        <v>6625</v>
      </c>
      <c r="K1328" s="116" t="s">
        <v>2443</v>
      </c>
      <c r="L1328" s="118" t="str">
        <f>IF(K1328="yes",("Sorry, question "&amp;LEFT(E1328, 7)&amp;" is required!"),"")</f>
        <v>Sorry, question (8.02s) is required!</v>
      </c>
      <c r="M1328" s="113" t="s">
        <v>6633</v>
      </c>
      <c r="N1328" t="s">
        <v>3927</v>
      </c>
      <c r="O1328" s="110" t="s">
        <v>1560</v>
      </c>
    </row>
    <row r="1329" spans="1:24" ht="14.25" customHeight="1">
      <c r="A1329" t="s">
        <v>955</v>
      </c>
      <c r="B1329" t="s">
        <v>1711</v>
      </c>
      <c r="E1329" s="118" t="s">
        <v>2339</v>
      </c>
      <c r="F1329" s="118" t="s">
        <v>1885</v>
      </c>
      <c r="H1329" s="206" t="str">
        <f>E1329</f>
        <v>(8.03s) What is the total price in Dalasi charged for Polio Dose 3? INTERVIEWER: IF NO CHARGE, RECORD "0".</v>
      </c>
      <c r="I1329" s="213" t="str">
        <f t="shared" si="187"/>
        <v>integer</v>
      </c>
      <c r="J1329" s="106" t="s">
        <v>3379</v>
      </c>
      <c r="K1329" s="116" t="s">
        <v>2443</v>
      </c>
      <c r="L1329" s="118" t="str">
        <f>IF(K1329="yes",("Sorry, question "&amp;LEFT(E1329, 7)&amp;" is required!"),"")</f>
        <v>Sorry, question (8.03s) is required!</v>
      </c>
      <c r="M1329" s="113" t="s">
        <v>5398</v>
      </c>
      <c r="N1329" t="s">
        <v>3928</v>
      </c>
      <c r="O1329" s="110" t="s">
        <v>1560</v>
      </c>
    </row>
    <row r="1330" spans="1:24" ht="14.25" customHeight="1">
      <c r="A1330" t="s">
        <v>15</v>
      </c>
      <c r="E1330" s="118" t="s">
        <v>1067</v>
      </c>
      <c r="I1330" s="213" t="str">
        <f t="shared" si="187"/>
        <v>end group</v>
      </c>
      <c r="X1330" t="s">
        <v>3032</v>
      </c>
    </row>
    <row r="1331" spans="1:24" ht="14.25" customHeight="1">
      <c r="A1331" t="s">
        <v>954</v>
      </c>
      <c r="B1331" t="s">
        <v>3212</v>
      </c>
      <c r="E1331" s="118" t="s">
        <v>1067</v>
      </c>
      <c r="I1331" s="213" t="str">
        <f t="shared" si="187"/>
        <v>begin group</v>
      </c>
      <c r="J1331" s="106" t="s">
        <v>3371</v>
      </c>
      <c r="L1331" s="118" t="str">
        <f>IF(K1331="yes",("Sorry, question "&amp;LEFT(E1331, 6)&amp;" is required!"),"")</f>
        <v/>
      </c>
      <c r="O1331" s="110" t="s">
        <v>1560</v>
      </c>
      <c r="X1331" t="s">
        <v>3032</v>
      </c>
    </row>
    <row r="1332" spans="1:24" ht="14.25" customHeight="1">
      <c r="A1332" t="s">
        <v>17</v>
      </c>
      <c r="B1332" t="s">
        <v>1712</v>
      </c>
      <c r="E1332" s="118" t="s">
        <v>3211</v>
      </c>
      <c r="F1332" s="117" t="s">
        <v>6662</v>
      </c>
      <c r="I1332" s="213" t="str">
        <f t="shared" si="187"/>
        <v>note</v>
      </c>
      <c r="J1332" s="106" t="s">
        <v>3370</v>
      </c>
      <c r="L1332" s="118" t="str">
        <f>IF(K1332="yes",("Sorry, question "&amp;LEFT(E1332, 6)&amp;" is required!"),"")</f>
        <v/>
      </c>
    </row>
    <row r="1333" spans="1:24" ht="14.25" customHeight="1">
      <c r="A1333" t="s">
        <v>17</v>
      </c>
      <c r="B1333" t="s">
        <v>1713</v>
      </c>
      <c r="E1333" s="118" t="s">
        <v>958</v>
      </c>
      <c r="I1333" s="213" t="str">
        <f t="shared" si="187"/>
        <v>note</v>
      </c>
      <c r="J1333" s="106" t="s">
        <v>3477</v>
      </c>
      <c r="L1333" s="118" t="str">
        <f>IF(K1333="yes",("Sorry, question "&amp;LEFT(E1333, 6)&amp;" is required!"),"")</f>
        <v/>
      </c>
    </row>
    <row r="1334" spans="1:24" ht="14.25" customHeight="1">
      <c r="A1334" t="s">
        <v>955</v>
      </c>
      <c r="B1334" t="s">
        <v>5019</v>
      </c>
      <c r="E1334" s="118" t="s">
        <v>959</v>
      </c>
      <c r="H1334" s="206" t="str">
        <f>"(8.04s) TOTAL NUMBER OF "&amp;E1333&amp;" - "&amp;E1334</f>
        <v>(8.04s) TOTAL NUMBER OF MONTH 1 - IN</v>
      </c>
      <c r="I1334" s="213" t="str">
        <f t="shared" si="187"/>
        <v>integer</v>
      </c>
      <c r="J1334" s="106" t="s">
        <v>4907</v>
      </c>
      <c r="K1334" s="116" t="s">
        <v>2443</v>
      </c>
      <c r="L1334" s="118" t="str">
        <f>IF(K1334="yes",("Sorry, question MONTH 1 is required!"),"")</f>
        <v>Sorry, question MONTH 1 is required!</v>
      </c>
      <c r="M1334" s="113" t="s">
        <v>5398</v>
      </c>
      <c r="N1334" t="s">
        <v>3929</v>
      </c>
    </row>
    <row r="1335" spans="1:24" ht="14.25" customHeight="1">
      <c r="A1335" t="s">
        <v>955</v>
      </c>
      <c r="B1335" t="s">
        <v>4998</v>
      </c>
      <c r="E1335" s="118" t="s">
        <v>960</v>
      </c>
      <c r="H1335" s="206" t="str">
        <f>"(8.04s) TOTAL NUMBER OF "&amp;E1333&amp;" - "&amp;E1335</f>
        <v>(8.04s) TOTAL NUMBER OF MONTH 1 - OUT</v>
      </c>
      <c r="I1335" s="213" t="str">
        <f t="shared" si="187"/>
        <v>integer</v>
      </c>
      <c r="J1335" s="106" t="s">
        <v>4908</v>
      </c>
      <c r="K1335" s="116" t="s">
        <v>2443</v>
      </c>
      <c r="L1335" s="118" t="str">
        <f t="shared" ref="L1335:L1339" si="193">IF(K1335="yes",("Sorry, question MONTH 1 is required!"),"")</f>
        <v>Sorry, question MONTH 1 is required!</v>
      </c>
      <c r="M1335" s="113" t="s">
        <v>5398</v>
      </c>
      <c r="N1335" t="s">
        <v>3930</v>
      </c>
    </row>
    <row r="1336" spans="1:24" ht="14.25" customHeight="1">
      <c r="A1336" t="s">
        <v>17</v>
      </c>
      <c r="B1336" t="s">
        <v>1714</v>
      </c>
      <c r="E1336" s="118" t="s">
        <v>961</v>
      </c>
      <c r="I1336" s="213" t="str">
        <f t="shared" si="187"/>
        <v>note</v>
      </c>
      <c r="J1336" s="106" t="s">
        <v>3478</v>
      </c>
      <c r="L1336" s="118" t="str">
        <f t="shared" si="193"/>
        <v/>
      </c>
    </row>
    <row r="1337" spans="1:24" ht="14.25" customHeight="1">
      <c r="A1337" t="s">
        <v>955</v>
      </c>
      <c r="B1337" t="s">
        <v>5061</v>
      </c>
      <c r="E1337" s="118" t="s">
        <v>959</v>
      </c>
      <c r="H1337" s="206" t="str">
        <f>"(8.04s) TOTAL NUMBER OF "&amp;E1336&amp;" - "&amp;E1337</f>
        <v>(8.04s) TOTAL NUMBER OF MONTH 2 - IN</v>
      </c>
      <c r="I1337" s="213" t="str">
        <f t="shared" si="187"/>
        <v>integer</v>
      </c>
      <c r="J1337" s="106" t="s">
        <v>6621</v>
      </c>
      <c r="K1337" s="116" t="s">
        <v>2443</v>
      </c>
      <c r="L1337" s="118" t="str">
        <f>IF(K1337="yes",("Sorry, question MONTH 2 is required!"),"")</f>
        <v>Sorry, question MONTH 2 is required!</v>
      </c>
      <c r="M1337" s="113" t="s">
        <v>5398</v>
      </c>
      <c r="N1337" t="s">
        <v>3931</v>
      </c>
    </row>
    <row r="1338" spans="1:24" ht="14.25" customHeight="1">
      <c r="A1338" t="s">
        <v>955</v>
      </c>
      <c r="B1338" t="s">
        <v>5040</v>
      </c>
      <c r="E1338" s="118" t="s">
        <v>960</v>
      </c>
      <c r="H1338" s="206" t="str">
        <f>"(8.04s) TOTAL NUMBER OF "&amp;E1336&amp;" - "&amp;E1338</f>
        <v>(8.04s) TOTAL NUMBER OF MONTH 2 - OUT</v>
      </c>
      <c r="I1338" s="213" t="str">
        <f t="shared" si="187"/>
        <v>integer</v>
      </c>
      <c r="J1338" s="106" t="s">
        <v>6626</v>
      </c>
      <c r="K1338" s="116" t="s">
        <v>2443</v>
      </c>
      <c r="L1338" s="118" t="str">
        <f>IF(K1338="yes",("Sorry, question MONTH 2 is required!"),"")</f>
        <v>Sorry, question MONTH 2 is required!</v>
      </c>
      <c r="M1338" s="113" t="s">
        <v>5398</v>
      </c>
      <c r="N1338" t="s">
        <v>3932</v>
      </c>
    </row>
    <row r="1339" spans="1:24" ht="14.25" customHeight="1">
      <c r="A1339" t="s">
        <v>17</v>
      </c>
      <c r="B1339" t="s">
        <v>1715</v>
      </c>
      <c r="E1339" s="118" t="s">
        <v>962</v>
      </c>
      <c r="I1339" s="213" t="str">
        <f t="shared" si="187"/>
        <v>note</v>
      </c>
      <c r="J1339" s="106" t="s">
        <v>3480</v>
      </c>
      <c r="L1339" s="118" t="str">
        <f t="shared" si="193"/>
        <v/>
      </c>
    </row>
    <row r="1340" spans="1:24" ht="14.25" customHeight="1">
      <c r="A1340" t="s">
        <v>955</v>
      </c>
      <c r="B1340" t="s">
        <v>5082</v>
      </c>
      <c r="E1340" s="118" t="s">
        <v>959</v>
      </c>
      <c r="H1340" s="206" t="str">
        <f>"(8.04s) TOTAL NUMBER OF "&amp;E1339&amp;" - "&amp;E1340</f>
        <v>(8.04s) TOTAL NUMBER OF MONTH 3 - IN</v>
      </c>
      <c r="I1340" s="213" t="str">
        <f t="shared" si="187"/>
        <v>integer</v>
      </c>
      <c r="J1340" s="106" t="s">
        <v>6629</v>
      </c>
      <c r="K1340" s="116" t="s">
        <v>2443</v>
      </c>
      <c r="L1340" s="118" t="str">
        <f>IF(K1340="yes",("Sorry, question MONTH 3 is required!"),"")</f>
        <v>Sorry, question MONTH 3 is required!</v>
      </c>
      <c r="M1340" s="113" t="s">
        <v>5398</v>
      </c>
      <c r="N1340" t="s">
        <v>4021</v>
      </c>
    </row>
    <row r="1341" spans="1:24" ht="14.25" customHeight="1">
      <c r="A1341" t="s">
        <v>955</v>
      </c>
      <c r="B1341" t="s">
        <v>5103</v>
      </c>
      <c r="E1341" s="118" t="s">
        <v>960</v>
      </c>
      <c r="H1341" s="206" t="str">
        <f>"(8.04s) TOTAL NUMBER OF "&amp;E1339&amp;" - "&amp;E1341</f>
        <v>(8.04s) TOTAL NUMBER OF MONTH 3 - OUT</v>
      </c>
      <c r="I1341" s="213" t="str">
        <f t="shared" si="187"/>
        <v>integer</v>
      </c>
      <c r="J1341" s="106" t="s">
        <v>6630</v>
      </c>
      <c r="K1341" s="116" t="s">
        <v>2443</v>
      </c>
      <c r="L1341" s="118" t="str">
        <f>IF(K1341="yes",("Sorry, question MONTH 3 is required!"),"")</f>
        <v>Sorry, question MONTH 3 is required!</v>
      </c>
      <c r="M1341" s="113" t="s">
        <v>5398</v>
      </c>
      <c r="N1341" t="s">
        <v>4022</v>
      </c>
    </row>
    <row r="1342" spans="1:24" ht="14.25" customHeight="1">
      <c r="A1342" t="s">
        <v>15</v>
      </c>
      <c r="E1342" s="118" t="s">
        <v>1067</v>
      </c>
      <c r="I1342" s="213" t="str">
        <f t="shared" si="187"/>
        <v>end group</v>
      </c>
      <c r="L1342" s="118" t="str">
        <f>IF(K1342="yes",("Sorry, question MONTH 3 is required!"),"")</f>
        <v/>
      </c>
      <c r="X1342" t="s">
        <v>3032</v>
      </c>
    </row>
    <row r="1343" spans="1:24" ht="14.25" customHeight="1">
      <c r="A1343" t="s">
        <v>954</v>
      </c>
      <c r="B1343" t="s">
        <v>3213</v>
      </c>
      <c r="E1343" s="118" t="s">
        <v>1067</v>
      </c>
      <c r="I1343" s="213" t="str">
        <f t="shared" si="187"/>
        <v>begin group</v>
      </c>
      <c r="J1343" s="106" t="s">
        <v>13</v>
      </c>
      <c r="X1343" t="s">
        <v>3032</v>
      </c>
    </row>
    <row r="1344" spans="1:24" ht="14.25" customHeight="1">
      <c r="A1344" t="s">
        <v>23</v>
      </c>
      <c r="B1344" s="107" t="s">
        <v>1716</v>
      </c>
      <c r="E1344" s="118" t="s">
        <v>3411</v>
      </c>
      <c r="F1344" s="118" t="s">
        <v>3396</v>
      </c>
      <c r="I1344" s="213" t="str">
        <f t="shared" si="187"/>
        <v>select_one yesno</v>
      </c>
      <c r="J1344" s="106" t="s">
        <v>1876</v>
      </c>
    </row>
    <row r="1345" spans="1:24" ht="14.25" customHeight="1">
      <c r="A1345" t="s">
        <v>23</v>
      </c>
      <c r="B1345" t="s">
        <v>1717</v>
      </c>
      <c r="E1345" s="118" t="s">
        <v>951</v>
      </c>
      <c r="H1345" s="206" t="str">
        <f>E1344&amp;E1345</f>
        <v>(8.01t) Does this facility provide Measles Dose 1 (&lt; 1 year) within the facility and/or as outreach? In-facility</v>
      </c>
      <c r="I1345" s="213" t="str">
        <f t="shared" ref="I1345:I1408" si="194">A1345</f>
        <v>select_one yesno</v>
      </c>
      <c r="J1345" s="106" t="s">
        <v>1878</v>
      </c>
      <c r="K1345" s="116" t="s">
        <v>2443</v>
      </c>
      <c r="L1345" s="118" t="str">
        <f>IF(K1345="yes",("Sorry, question (8.01"&amp;RIGHT(B1344,1)&amp;") is required!"),"")</f>
        <v>Sorry, question (8.01t) is required!</v>
      </c>
    </row>
    <row r="1346" spans="1:24" ht="14.25" customHeight="1">
      <c r="A1346" t="s">
        <v>23</v>
      </c>
      <c r="B1346" t="s">
        <v>1718</v>
      </c>
      <c r="E1346" s="118" t="s">
        <v>953</v>
      </c>
      <c r="H1346" s="206" t="str">
        <f>E1344&amp;E1346</f>
        <v>(8.01t) Does this facility provide Measles Dose 1 (&lt; 1 year) within the facility and/or as outreach? Outreach</v>
      </c>
      <c r="I1346" s="213" t="str">
        <f t="shared" si="194"/>
        <v>select_one yesno</v>
      </c>
      <c r="J1346" s="106" t="s">
        <v>1878</v>
      </c>
      <c r="K1346" s="116" t="s">
        <v>2443</v>
      </c>
      <c r="L1346" s="118" t="str">
        <f>IF(K1346="yes",("Sorry, question (8.01"&amp;RIGHT(B1344,1)&amp;") is required!"),"")</f>
        <v>Sorry, question (8.01t) is required!</v>
      </c>
    </row>
    <row r="1347" spans="1:24" ht="14.25" customHeight="1">
      <c r="A1347" t="s">
        <v>955</v>
      </c>
      <c r="B1347" t="s">
        <v>1719</v>
      </c>
      <c r="E1347" s="118" t="s">
        <v>1954</v>
      </c>
      <c r="F1347" s="118" t="s">
        <v>6622</v>
      </c>
      <c r="H1347" s="206" t="str">
        <f>E1347</f>
        <v>(8.02t) How many days per week is this service offered?</v>
      </c>
      <c r="I1347" s="213" t="str">
        <f t="shared" si="194"/>
        <v>integer</v>
      </c>
      <c r="J1347" s="106" t="s">
        <v>6625</v>
      </c>
      <c r="K1347" s="116" t="s">
        <v>2443</v>
      </c>
      <c r="L1347" s="118" t="str">
        <f>IF(K1347="yes",("Sorry, question "&amp;LEFT(E1347, 7)&amp;" is required!"),"")</f>
        <v>Sorry, question (8.02t) is required!</v>
      </c>
      <c r="M1347" s="113" t="s">
        <v>6618</v>
      </c>
      <c r="N1347" t="s">
        <v>3933</v>
      </c>
      <c r="O1347" s="110" t="s">
        <v>1561</v>
      </c>
    </row>
    <row r="1348" spans="1:24" ht="14.25" customHeight="1">
      <c r="A1348" t="s">
        <v>955</v>
      </c>
      <c r="B1348" t="s">
        <v>1720</v>
      </c>
      <c r="E1348" s="118" t="s">
        <v>2340</v>
      </c>
      <c r="F1348" s="118" t="s">
        <v>1885</v>
      </c>
      <c r="H1348" s="206" t="str">
        <f>E1348</f>
        <v>(8.03t) What is the total price in Dalasi charged for Measles Dose 1 (&lt;1 year)? INTERVIEWER: IF NO CHARGE, RECORD "0".</v>
      </c>
      <c r="I1348" s="213" t="str">
        <f t="shared" si="194"/>
        <v>integer</v>
      </c>
      <c r="J1348" s="106" t="s">
        <v>3379</v>
      </c>
      <c r="K1348" s="116" t="s">
        <v>2443</v>
      </c>
      <c r="L1348" s="118" t="str">
        <f>IF(K1348="yes",("Sorry, question "&amp;LEFT(E1348, 7)&amp;" is required!"),"")</f>
        <v>Sorry, question (8.03t) is required!</v>
      </c>
      <c r="M1348" s="113" t="s">
        <v>5398</v>
      </c>
      <c r="N1348" t="s">
        <v>3934</v>
      </c>
      <c r="O1348" s="110" t="s">
        <v>1561</v>
      </c>
    </row>
    <row r="1349" spans="1:24" ht="14.25" customHeight="1">
      <c r="A1349" t="s">
        <v>15</v>
      </c>
      <c r="E1349" s="118" t="s">
        <v>1067</v>
      </c>
      <c r="I1349" s="213" t="str">
        <f t="shared" si="194"/>
        <v>end group</v>
      </c>
      <c r="X1349" t="s">
        <v>3032</v>
      </c>
    </row>
    <row r="1350" spans="1:24" ht="14.25" customHeight="1">
      <c r="A1350" t="s">
        <v>954</v>
      </c>
      <c r="B1350" t="s">
        <v>3214</v>
      </c>
      <c r="E1350" s="118" t="s">
        <v>1067</v>
      </c>
      <c r="I1350" s="213" t="str">
        <f t="shared" si="194"/>
        <v>begin group</v>
      </c>
      <c r="J1350" s="106" t="s">
        <v>3371</v>
      </c>
      <c r="L1350" s="118" t="str">
        <f>IF(K1350="yes",("Sorry, question "&amp;LEFT(E1350, 6)&amp;" is required!"),"")</f>
        <v/>
      </c>
      <c r="O1350" s="110" t="s">
        <v>1561</v>
      </c>
      <c r="X1350" t="s">
        <v>3032</v>
      </c>
    </row>
    <row r="1351" spans="1:24" ht="14.25" customHeight="1">
      <c r="A1351" t="s">
        <v>17</v>
      </c>
      <c r="B1351" t="s">
        <v>1721</v>
      </c>
      <c r="E1351" s="118" t="s">
        <v>3215</v>
      </c>
      <c r="F1351" s="117" t="s">
        <v>6662</v>
      </c>
      <c r="I1351" s="213" t="str">
        <f t="shared" si="194"/>
        <v>note</v>
      </c>
      <c r="J1351" s="106" t="s">
        <v>3370</v>
      </c>
      <c r="L1351" s="118" t="str">
        <f>IF(K1351="yes",("Sorry, question "&amp;LEFT(E1351, 6)&amp;" is required!"),"")</f>
        <v/>
      </c>
    </row>
    <row r="1352" spans="1:24" ht="14.25" customHeight="1">
      <c r="A1352" t="s">
        <v>17</v>
      </c>
      <c r="B1352" t="s">
        <v>1722</v>
      </c>
      <c r="E1352" s="118" t="s">
        <v>958</v>
      </c>
      <c r="I1352" s="213" t="str">
        <f t="shared" si="194"/>
        <v>note</v>
      </c>
      <c r="J1352" s="106" t="s">
        <v>3477</v>
      </c>
      <c r="L1352" s="118" t="str">
        <f>IF(K1352="yes",("Sorry, question "&amp;LEFT(E1352, 6)&amp;" is required!"),"")</f>
        <v/>
      </c>
    </row>
    <row r="1353" spans="1:24" ht="14.25" customHeight="1">
      <c r="A1353" t="s">
        <v>955</v>
      </c>
      <c r="B1353" t="s">
        <v>5020</v>
      </c>
      <c r="E1353" s="118" t="s">
        <v>959</v>
      </c>
      <c r="H1353" s="206" t="str">
        <f>"(8.04t) TOTAL NUMBER OF "&amp;E1352&amp;" - "&amp;E1353</f>
        <v>(8.04t) TOTAL NUMBER OF MONTH 1 - IN</v>
      </c>
      <c r="I1353" s="213" t="str">
        <f t="shared" si="194"/>
        <v>integer</v>
      </c>
      <c r="J1353" s="106" t="s">
        <v>4907</v>
      </c>
      <c r="K1353" s="116" t="s">
        <v>2443</v>
      </c>
      <c r="L1353" s="118" t="str">
        <f>IF(K1353="yes",("Sorry, question MONTH 1 is required!"),"")</f>
        <v>Sorry, question MONTH 1 is required!</v>
      </c>
      <c r="M1353" s="113" t="s">
        <v>5398</v>
      </c>
      <c r="N1353" t="s">
        <v>3935</v>
      </c>
    </row>
    <row r="1354" spans="1:24" ht="14.25" customHeight="1">
      <c r="A1354" t="s">
        <v>955</v>
      </c>
      <c r="B1354" t="s">
        <v>4999</v>
      </c>
      <c r="E1354" s="118" t="s">
        <v>960</v>
      </c>
      <c r="H1354" s="206" t="str">
        <f t="shared" ref="H1354:H1359" si="195">"(8.04t) TOTAL NUMBER OF "&amp;E1353&amp;" - "&amp;E1354</f>
        <v>(8.04t) TOTAL NUMBER OF IN - OUT</v>
      </c>
      <c r="I1354" s="213" t="str">
        <f t="shared" si="194"/>
        <v>integer</v>
      </c>
      <c r="J1354" s="106" t="s">
        <v>4908</v>
      </c>
      <c r="K1354" s="116" t="s">
        <v>2443</v>
      </c>
      <c r="L1354" s="118" t="str">
        <f t="shared" ref="L1354:L1358" si="196">IF(K1354="yes",("Sorry, question MONTH 1 is required!"),"")</f>
        <v>Sorry, question MONTH 1 is required!</v>
      </c>
      <c r="M1354" s="113" t="s">
        <v>5398</v>
      </c>
      <c r="N1354" t="s">
        <v>3936</v>
      </c>
    </row>
    <row r="1355" spans="1:24" ht="14.25" customHeight="1">
      <c r="A1355" t="s">
        <v>17</v>
      </c>
      <c r="B1355" t="s">
        <v>1723</v>
      </c>
      <c r="E1355" s="118" t="s">
        <v>961</v>
      </c>
      <c r="I1355" s="213" t="str">
        <f t="shared" si="194"/>
        <v>note</v>
      </c>
      <c r="J1355" s="106" t="s">
        <v>3478</v>
      </c>
      <c r="L1355" s="118" t="str">
        <f t="shared" si="196"/>
        <v/>
      </c>
    </row>
    <row r="1356" spans="1:24" ht="14.25" customHeight="1">
      <c r="A1356" t="s">
        <v>955</v>
      </c>
      <c r="B1356" t="s">
        <v>5062</v>
      </c>
      <c r="E1356" s="118" t="s">
        <v>959</v>
      </c>
      <c r="H1356" s="206" t="str">
        <f t="shared" si="195"/>
        <v>(8.04t) TOTAL NUMBER OF MONTH 2 - IN</v>
      </c>
      <c r="I1356" s="213" t="str">
        <f t="shared" si="194"/>
        <v>integer</v>
      </c>
      <c r="J1356" s="106" t="s">
        <v>6621</v>
      </c>
      <c r="K1356" s="116" t="s">
        <v>2443</v>
      </c>
      <c r="L1356" s="118" t="str">
        <f>IF(K1356="yes",("Sorry, question MONTH 2 is required!"),"")</f>
        <v>Sorry, question MONTH 2 is required!</v>
      </c>
      <c r="M1356" s="113" t="s">
        <v>5398</v>
      </c>
      <c r="N1356" t="s">
        <v>3937</v>
      </c>
    </row>
    <row r="1357" spans="1:24" ht="14.25" customHeight="1">
      <c r="A1357" t="s">
        <v>955</v>
      </c>
      <c r="B1357" t="s">
        <v>5041</v>
      </c>
      <c r="E1357" s="118" t="s">
        <v>960</v>
      </c>
      <c r="H1357" s="206" t="str">
        <f>"(8.04t) TOTAL NUMBER OF "&amp;E1355&amp;" - "&amp;E1357</f>
        <v>(8.04t) TOTAL NUMBER OF MONTH 2 - OUT</v>
      </c>
      <c r="I1357" s="213" t="str">
        <f t="shared" si="194"/>
        <v>integer</v>
      </c>
      <c r="J1357" s="106" t="s">
        <v>6626</v>
      </c>
      <c r="K1357" s="116" t="s">
        <v>2443</v>
      </c>
      <c r="L1357" s="118" t="str">
        <f>IF(K1357="yes",("Sorry, question MONTH 2 is required!"),"")</f>
        <v>Sorry, question MONTH 2 is required!</v>
      </c>
      <c r="M1357" s="113" t="s">
        <v>5398</v>
      </c>
      <c r="N1357" t="s">
        <v>3938</v>
      </c>
    </row>
    <row r="1358" spans="1:24" ht="14.25" customHeight="1">
      <c r="A1358" t="s">
        <v>17</v>
      </c>
      <c r="B1358" t="s">
        <v>1724</v>
      </c>
      <c r="E1358" s="118" t="s">
        <v>962</v>
      </c>
      <c r="I1358" s="213" t="str">
        <f t="shared" si="194"/>
        <v>note</v>
      </c>
      <c r="J1358" s="106" t="s">
        <v>3480</v>
      </c>
      <c r="L1358" s="118" t="str">
        <f t="shared" si="196"/>
        <v/>
      </c>
    </row>
    <row r="1359" spans="1:24" ht="14.25" customHeight="1">
      <c r="A1359" t="s">
        <v>955</v>
      </c>
      <c r="B1359" t="s">
        <v>5083</v>
      </c>
      <c r="E1359" s="118" t="s">
        <v>959</v>
      </c>
      <c r="H1359" s="206" t="str">
        <f t="shared" si="195"/>
        <v>(8.04t) TOTAL NUMBER OF MONTH 3 - IN</v>
      </c>
      <c r="I1359" s="213" t="str">
        <f t="shared" si="194"/>
        <v>integer</v>
      </c>
      <c r="J1359" s="106" t="s">
        <v>6629</v>
      </c>
      <c r="K1359" s="116" t="s">
        <v>2443</v>
      </c>
      <c r="L1359" s="118" t="str">
        <f>IF(K1359="yes",("Sorry, question MONTH 3 is required!"),"")</f>
        <v>Sorry, question MONTH 3 is required!</v>
      </c>
      <c r="M1359" s="113" t="s">
        <v>5398</v>
      </c>
      <c r="N1359" t="s">
        <v>4023</v>
      </c>
    </row>
    <row r="1360" spans="1:24" ht="14.25" customHeight="1">
      <c r="A1360" t="s">
        <v>955</v>
      </c>
      <c r="B1360" t="s">
        <v>5104</v>
      </c>
      <c r="E1360" s="118" t="s">
        <v>960</v>
      </c>
      <c r="H1360" s="206" t="str">
        <f>"(8.04t) TOTAL NUMBER OF "&amp;E1358&amp;" - "&amp;E1360</f>
        <v>(8.04t) TOTAL NUMBER OF MONTH 3 - OUT</v>
      </c>
      <c r="I1360" s="213" t="str">
        <f t="shared" si="194"/>
        <v>integer</v>
      </c>
      <c r="J1360" s="106" t="s">
        <v>6630</v>
      </c>
      <c r="K1360" s="116" t="s">
        <v>2443</v>
      </c>
      <c r="L1360" s="118" t="str">
        <f>IF(K1360="yes",("Sorry, question MONTH 3 is required!"),"")</f>
        <v>Sorry, question MONTH 3 is required!</v>
      </c>
      <c r="M1360" s="113" t="s">
        <v>5398</v>
      </c>
      <c r="N1360" t="s">
        <v>4024</v>
      </c>
    </row>
    <row r="1361" spans="1:24" ht="14.25" customHeight="1">
      <c r="A1361" t="s">
        <v>15</v>
      </c>
      <c r="E1361" s="118" t="s">
        <v>1067</v>
      </c>
      <c r="I1361" s="213" t="str">
        <f t="shared" si="194"/>
        <v>end group</v>
      </c>
      <c r="L1361" s="118" t="str">
        <f>IF(K1361="yes",("Sorry, question MONTH 3 is required!"),"")</f>
        <v/>
      </c>
      <c r="X1361" t="s">
        <v>3032</v>
      </c>
    </row>
    <row r="1362" spans="1:24" ht="14.25" customHeight="1">
      <c r="A1362" t="s">
        <v>954</v>
      </c>
      <c r="B1362" t="s">
        <v>3216</v>
      </c>
      <c r="I1362" s="213" t="str">
        <f t="shared" si="194"/>
        <v>begin group</v>
      </c>
      <c r="J1362" s="106" t="s">
        <v>1879</v>
      </c>
      <c r="X1362" t="s">
        <v>3032</v>
      </c>
    </row>
    <row r="1363" spans="1:24" ht="14.25" customHeight="1">
      <c r="A1363" t="s">
        <v>23</v>
      </c>
      <c r="B1363" s="107" t="s">
        <v>1725</v>
      </c>
      <c r="E1363" s="118" t="s">
        <v>3410</v>
      </c>
      <c r="F1363" s="118" t="s">
        <v>3396</v>
      </c>
      <c r="I1363" s="213" t="str">
        <f t="shared" si="194"/>
        <v>select_one yesno</v>
      </c>
      <c r="J1363" s="106" t="s">
        <v>1876</v>
      </c>
    </row>
    <row r="1364" spans="1:24" ht="14.25" customHeight="1">
      <c r="A1364" t="s">
        <v>23</v>
      </c>
      <c r="B1364" t="s">
        <v>1726</v>
      </c>
      <c r="E1364" s="118" t="s">
        <v>951</v>
      </c>
      <c r="H1364" s="206" t="str">
        <f>E1363&amp;E1364</f>
        <v>(8.01u) Does this facility provide Rotavirus Vaccine within the facility and/or as outreach? In-facility</v>
      </c>
      <c r="I1364" s="213" t="str">
        <f t="shared" si="194"/>
        <v>select_one yesno</v>
      </c>
      <c r="J1364" s="106" t="s">
        <v>1874</v>
      </c>
      <c r="K1364" s="116" t="s">
        <v>2443</v>
      </c>
      <c r="L1364" s="118" t="str">
        <f>IF(K1364="yes",("Sorry, question (8.01"&amp;RIGHT(B1363,1)&amp;") is required!"),"")</f>
        <v>Sorry, question (8.01u) is required!</v>
      </c>
    </row>
    <row r="1365" spans="1:24" ht="14.25" customHeight="1">
      <c r="A1365" t="s">
        <v>23</v>
      </c>
      <c r="B1365" t="s">
        <v>1727</v>
      </c>
      <c r="E1365" s="118" t="s">
        <v>953</v>
      </c>
      <c r="H1365" s="206" t="str">
        <f>E1364&amp;E1365</f>
        <v>In-facilityOutreach</v>
      </c>
      <c r="I1365" s="213" t="str">
        <f t="shared" si="194"/>
        <v>select_one yesno</v>
      </c>
      <c r="J1365" s="106" t="s">
        <v>1874</v>
      </c>
      <c r="K1365" s="116" t="s">
        <v>2443</v>
      </c>
      <c r="L1365" s="118" t="str">
        <f>IF(K1365="yes",("Sorry, question (8.01"&amp;RIGHT(B1363,1)&amp;") is required!"),"")</f>
        <v>Sorry, question (8.01u) is required!</v>
      </c>
    </row>
    <row r="1366" spans="1:24" ht="14.25" customHeight="1">
      <c r="A1366" t="s">
        <v>955</v>
      </c>
      <c r="B1366" t="s">
        <v>1728</v>
      </c>
      <c r="E1366" s="118" t="s">
        <v>1955</v>
      </c>
      <c r="F1366" s="118" t="s">
        <v>6622</v>
      </c>
      <c r="H1366" s="206" t="str">
        <f>E1366</f>
        <v>(8.02u) How many days per week is this service offered?</v>
      </c>
      <c r="I1366" s="213" t="str">
        <f t="shared" si="194"/>
        <v>integer</v>
      </c>
      <c r="J1366" s="106" t="s">
        <v>6625</v>
      </c>
      <c r="K1366" s="116" t="s">
        <v>2443</v>
      </c>
      <c r="L1366" s="118" t="str">
        <f>IF(K1366="yes",("Sorry, question "&amp;LEFT(E1366, 7)&amp;" is required!"),"")</f>
        <v>Sorry, question (8.02u) is required!</v>
      </c>
      <c r="M1366" s="113" t="s">
        <v>6618</v>
      </c>
      <c r="N1366" t="s">
        <v>3939</v>
      </c>
      <c r="O1366" s="110" t="s">
        <v>1562</v>
      </c>
    </row>
    <row r="1367" spans="1:24" ht="14.25" customHeight="1">
      <c r="A1367" t="s">
        <v>955</v>
      </c>
      <c r="B1367" t="s">
        <v>1729</v>
      </c>
      <c r="E1367" s="118" t="s">
        <v>2341</v>
      </c>
      <c r="F1367" s="118" t="s">
        <v>1885</v>
      </c>
      <c r="H1367" s="206" t="str">
        <f>E1367</f>
        <v>(8.03u) What is the total price in Dalasi charged for Rotavirus Vaccine? INTERVIEWER: IF NO CHARGE, RECORD "0".</v>
      </c>
      <c r="I1367" s="213" t="str">
        <f t="shared" si="194"/>
        <v>integer</v>
      </c>
      <c r="J1367" s="106" t="s">
        <v>3379</v>
      </c>
      <c r="K1367" s="116" t="s">
        <v>2443</v>
      </c>
      <c r="L1367" s="118" t="str">
        <f>IF(K1367="yes",("Sorry, question "&amp;LEFT(E1367, 7)&amp;" is required!"),"")</f>
        <v>Sorry, question (8.03u) is required!</v>
      </c>
      <c r="M1367" s="113" t="s">
        <v>5398</v>
      </c>
      <c r="N1367" t="s">
        <v>3940</v>
      </c>
      <c r="O1367" s="110" t="s">
        <v>1562</v>
      </c>
    </row>
    <row r="1368" spans="1:24" ht="14.25" customHeight="1">
      <c r="A1368" t="s">
        <v>15</v>
      </c>
      <c r="E1368" s="118" t="s">
        <v>1067</v>
      </c>
      <c r="I1368" s="213" t="str">
        <f t="shared" si="194"/>
        <v>end group</v>
      </c>
      <c r="X1368" t="s">
        <v>3032</v>
      </c>
    </row>
    <row r="1369" spans="1:24" ht="14.25" customHeight="1">
      <c r="A1369" t="s">
        <v>954</v>
      </c>
      <c r="B1369" t="s">
        <v>3218</v>
      </c>
      <c r="E1369" s="118" t="s">
        <v>1067</v>
      </c>
      <c r="I1369" s="213" t="str">
        <f t="shared" si="194"/>
        <v>begin group</v>
      </c>
      <c r="J1369" s="106" t="s">
        <v>3371</v>
      </c>
      <c r="L1369" s="118" t="str">
        <f>IF(K1369="yes",("Sorry, question "&amp;LEFT(E1369, 6)&amp;" is required!"),"")</f>
        <v/>
      </c>
      <c r="O1369" s="110" t="s">
        <v>1562</v>
      </c>
      <c r="X1369" t="s">
        <v>3032</v>
      </c>
    </row>
    <row r="1370" spans="1:24" ht="14.25" customHeight="1">
      <c r="A1370" t="s">
        <v>17</v>
      </c>
      <c r="B1370" t="s">
        <v>1730</v>
      </c>
      <c r="E1370" s="118" t="s">
        <v>3217</v>
      </c>
      <c r="F1370" s="117" t="s">
        <v>6662</v>
      </c>
      <c r="I1370" s="213" t="str">
        <f t="shared" si="194"/>
        <v>note</v>
      </c>
      <c r="J1370" s="106" t="s">
        <v>3370</v>
      </c>
      <c r="L1370" s="118" t="str">
        <f>IF(K1370="yes",("Sorry, question "&amp;LEFT(E1370, 6)&amp;" is required!"),"")</f>
        <v/>
      </c>
    </row>
    <row r="1371" spans="1:24" ht="14.25" customHeight="1">
      <c r="A1371" t="s">
        <v>17</v>
      </c>
      <c r="B1371" t="s">
        <v>1731</v>
      </c>
      <c r="E1371" s="118" t="s">
        <v>958</v>
      </c>
      <c r="I1371" s="213" t="str">
        <f t="shared" si="194"/>
        <v>note</v>
      </c>
      <c r="J1371" s="106" t="s">
        <v>3477</v>
      </c>
      <c r="L1371" s="118" t="str">
        <f>IF(K1371="yes",("Sorry, question "&amp;LEFT(E1371, 6)&amp;" is required!"),"")</f>
        <v/>
      </c>
    </row>
    <row r="1372" spans="1:24" ht="14.25" customHeight="1">
      <c r="A1372" t="s">
        <v>955</v>
      </c>
      <c r="B1372" t="s">
        <v>5021</v>
      </c>
      <c r="E1372" s="118" t="s">
        <v>959</v>
      </c>
      <c r="H1372" s="206" t="str">
        <f>"(8.04u) TOTAL NUMBER OF "&amp;E1371&amp;" - "&amp;E1372</f>
        <v>(8.04u) TOTAL NUMBER OF MONTH 1 - IN</v>
      </c>
      <c r="I1372" s="213" t="str">
        <f t="shared" si="194"/>
        <v>integer</v>
      </c>
      <c r="J1372" s="106" t="s">
        <v>4907</v>
      </c>
      <c r="K1372" s="116" t="s">
        <v>2443</v>
      </c>
      <c r="L1372" s="118" t="str">
        <f>IF(K1372="yes",("Sorry, question MONTH 1 is required!"),"")</f>
        <v>Sorry, question MONTH 1 is required!</v>
      </c>
      <c r="M1372" s="113" t="s">
        <v>5398</v>
      </c>
      <c r="N1372" t="s">
        <v>3941</v>
      </c>
    </row>
    <row r="1373" spans="1:24" ht="14.25" customHeight="1">
      <c r="A1373" t="s">
        <v>955</v>
      </c>
      <c r="B1373" t="s">
        <v>5000</v>
      </c>
      <c r="E1373" s="118" t="s">
        <v>960</v>
      </c>
      <c r="H1373" s="206" t="str">
        <f>"(8.04u) TOTAL NUMBER OF "&amp;E1371&amp;" - "&amp;E1373</f>
        <v>(8.04u) TOTAL NUMBER OF MONTH 1 - OUT</v>
      </c>
      <c r="I1373" s="213" t="str">
        <f t="shared" si="194"/>
        <v>integer</v>
      </c>
      <c r="J1373" s="106" t="s">
        <v>4908</v>
      </c>
      <c r="K1373" s="116" t="s">
        <v>2443</v>
      </c>
      <c r="L1373" s="118" t="str">
        <f t="shared" ref="L1373:L1377" si="197">IF(K1373="yes",("Sorry, question MONTH 1 is required!"),"")</f>
        <v>Sorry, question MONTH 1 is required!</v>
      </c>
      <c r="M1373" s="113" t="s">
        <v>5398</v>
      </c>
      <c r="N1373" t="s">
        <v>3942</v>
      </c>
    </row>
    <row r="1374" spans="1:24" ht="14.25" customHeight="1">
      <c r="A1374" t="s">
        <v>17</v>
      </c>
      <c r="B1374" t="s">
        <v>1732</v>
      </c>
      <c r="E1374" s="118" t="s">
        <v>961</v>
      </c>
      <c r="I1374" s="213" t="str">
        <f t="shared" si="194"/>
        <v>note</v>
      </c>
      <c r="J1374" s="106" t="s">
        <v>3478</v>
      </c>
      <c r="L1374" s="118" t="str">
        <f t="shared" si="197"/>
        <v/>
      </c>
    </row>
    <row r="1375" spans="1:24" ht="14.25" customHeight="1">
      <c r="A1375" t="s">
        <v>955</v>
      </c>
      <c r="B1375" t="s">
        <v>5063</v>
      </c>
      <c r="E1375" s="118" t="s">
        <v>959</v>
      </c>
      <c r="H1375" s="206" t="str">
        <f t="shared" ref="H1375:H1378" si="198">"(8.04u) TOTAL NUMBER OF "&amp;E1374&amp;" - "&amp;E1375</f>
        <v>(8.04u) TOTAL NUMBER OF MONTH 2 - IN</v>
      </c>
      <c r="I1375" s="213" t="str">
        <f t="shared" si="194"/>
        <v>integer</v>
      </c>
      <c r="J1375" s="106" t="s">
        <v>6621</v>
      </c>
      <c r="K1375" s="116" t="s">
        <v>2443</v>
      </c>
      <c r="L1375" s="118" t="str">
        <f>IF(K1375="yes",("Sorry, question MONTH 2 is required!"),"")</f>
        <v>Sorry, question MONTH 2 is required!</v>
      </c>
      <c r="M1375" s="113" t="s">
        <v>5398</v>
      </c>
      <c r="N1375" t="s">
        <v>3943</v>
      </c>
    </row>
    <row r="1376" spans="1:24" ht="14.25" customHeight="1">
      <c r="A1376" t="s">
        <v>955</v>
      </c>
      <c r="B1376" t="s">
        <v>5042</v>
      </c>
      <c r="E1376" s="118" t="s">
        <v>960</v>
      </c>
      <c r="H1376" s="206" t="str">
        <f>"(8.04u) TOTAL NUMBER OF "&amp;E1374&amp;" - "&amp;E1376</f>
        <v>(8.04u) TOTAL NUMBER OF MONTH 2 - OUT</v>
      </c>
      <c r="I1376" s="213" t="str">
        <f t="shared" si="194"/>
        <v>integer</v>
      </c>
      <c r="J1376" s="106" t="s">
        <v>6626</v>
      </c>
      <c r="K1376" s="116" t="s">
        <v>2443</v>
      </c>
      <c r="L1376" s="118" t="str">
        <f>IF(K1376="yes",("Sorry, question MONTH 2 is required!"),"")</f>
        <v>Sorry, question MONTH 2 is required!</v>
      </c>
      <c r="M1376" s="113" t="s">
        <v>5398</v>
      </c>
      <c r="N1376" t="s">
        <v>3944</v>
      </c>
    </row>
    <row r="1377" spans="1:24" ht="14.25" customHeight="1">
      <c r="A1377" t="s">
        <v>17</v>
      </c>
      <c r="B1377" t="s">
        <v>1733</v>
      </c>
      <c r="E1377" s="118" t="s">
        <v>962</v>
      </c>
      <c r="I1377" s="213" t="str">
        <f t="shared" si="194"/>
        <v>note</v>
      </c>
      <c r="J1377" s="106" t="s">
        <v>3480</v>
      </c>
      <c r="L1377" s="118" t="str">
        <f t="shared" si="197"/>
        <v/>
      </c>
    </row>
    <row r="1378" spans="1:24" ht="14.25" customHeight="1">
      <c r="A1378" t="s">
        <v>955</v>
      </c>
      <c r="B1378" t="s">
        <v>5084</v>
      </c>
      <c r="E1378" s="118" t="s">
        <v>959</v>
      </c>
      <c r="H1378" s="206" t="str">
        <f t="shared" si="198"/>
        <v>(8.04u) TOTAL NUMBER OF MONTH 3 - IN</v>
      </c>
      <c r="I1378" s="213" t="str">
        <f t="shared" si="194"/>
        <v>integer</v>
      </c>
      <c r="J1378" s="106" t="s">
        <v>6629</v>
      </c>
      <c r="K1378" s="116" t="s">
        <v>2443</v>
      </c>
      <c r="L1378" s="118" t="str">
        <f>IF(K1378="yes",("Sorry, question MONTH 3 is required!"),"")</f>
        <v>Sorry, question MONTH 3 is required!</v>
      </c>
      <c r="M1378" s="113" t="s">
        <v>5398</v>
      </c>
      <c r="N1378" t="s">
        <v>4025</v>
      </c>
    </row>
    <row r="1379" spans="1:24" ht="14.25" customHeight="1">
      <c r="A1379" t="s">
        <v>955</v>
      </c>
      <c r="B1379" t="s">
        <v>5105</v>
      </c>
      <c r="E1379" s="118" t="s">
        <v>960</v>
      </c>
      <c r="H1379" s="206" t="str">
        <f>"(8.04u) TOTAL NUMBER OF "&amp;E1377&amp;" - "&amp;E1379</f>
        <v>(8.04u) TOTAL NUMBER OF MONTH 3 - OUT</v>
      </c>
      <c r="I1379" s="213" t="str">
        <f t="shared" si="194"/>
        <v>integer</v>
      </c>
      <c r="J1379" s="106" t="s">
        <v>6630</v>
      </c>
      <c r="K1379" s="116" t="s">
        <v>2443</v>
      </c>
      <c r="L1379" s="118" t="str">
        <f>IF(K1379="yes",("Sorry, question MONTH 3 is required!"),"")</f>
        <v>Sorry, question MONTH 3 is required!</v>
      </c>
      <c r="M1379" s="113" t="s">
        <v>5398</v>
      </c>
      <c r="N1379" t="s">
        <v>4026</v>
      </c>
    </row>
    <row r="1380" spans="1:24" ht="14.25" customHeight="1">
      <c r="A1380" t="s">
        <v>15</v>
      </c>
      <c r="I1380" s="213" t="str">
        <f t="shared" si="194"/>
        <v>end group</v>
      </c>
      <c r="L1380" s="118" t="str">
        <f>IF(K1380="yes",("Sorry, question MONTH 3 is required!"),"")</f>
        <v/>
      </c>
      <c r="X1380" t="s">
        <v>3032</v>
      </c>
    </row>
    <row r="1381" spans="1:24" ht="14.25" customHeight="1">
      <c r="A1381" t="s">
        <v>954</v>
      </c>
      <c r="B1381" t="s">
        <v>3219</v>
      </c>
      <c r="I1381" s="213" t="str">
        <f t="shared" si="194"/>
        <v>begin group</v>
      </c>
      <c r="J1381" s="106" t="s">
        <v>1879</v>
      </c>
      <c r="X1381" t="s">
        <v>3032</v>
      </c>
    </row>
    <row r="1382" spans="1:24" ht="14.25" customHeight="1">
      <c r="A1382" t="s">
        <v>23</v>
      </c>
      <c r="B1382" s="107" t="s">
        <v>1734</v>
      </c>
      <c r="E1382" s="118" t="s">
        <v>3409</v>
      </c>
      <c r="F1382" s="118" t="s">
        <v>3396</v>
      </c>
      <c r="I1382" s="213" t="str">
        <f t="shared" si="194"/>
        <v>select_one yesno</v>
      </c>
      <c r="J1382" s="106" t="s">
        <v>1876</v>
      </c>
    </row>
    <row r="1383" spans="1:24" ht="14.25" customHeight="1">
      <c r="A1383" t="s">
        <v>23</v>
      </c>
      <c r="B1383" t="s">
        <v>1735</v>
      </c>
      <c r="E1383" s="118" t="s">
        <v>951</v>
      </c>
      <c r="H1383" s="206" t="str">
        <f>E1382&amp;E1383</f>
        <v>(8.01v) Does this facility provide Pneumococcal Vaccine within the facility and/or as outreach? In-facility</v>
      </c>
      <c r="I1383" s="213" t="str">
        <f t="shared" si="194"/>
        <v>select_one yesno</v>
      </c>
      <c r="J1383" s="106" t="s">
        <v>1874</v>
      </c>
      <c r="K1383" s="116" t="s">
        <v>2443</v>
      </c>
      <c r="L1383" s="118" t="str">
        <f>IF(K1383="yes",("Sorry, question (8.01"&amp;RIGHT(B1382,1)&amp;") is required!"),"")</f>
        <v>Sorry, question (8.01v) is required!</v>
      </c>
    </row>
    <row r="1384" spans="1:24" ht="14.25" customHeight="1">
      <c r="A1384" t="s">
        <v>23</v>
      </c>
      <c r="B1384" t="s">
        <v>1736</v>
      </c>
      <c r="E1384" s="118" t="s">
        <v>953</v>
      </c>
      <c r="H1384" s="206" t="str">
        <f>E1382&amp;E1384</f>
        <v>(8.01v) Does this facility provide Pneumococcal Vaccine within the facility and/or as outreach? Outreach</v>
      </c>
      <c r="I1384" s="213" t="str">
        <f t="shared" si="194"/>
        <v>select_one yesno</v>
      </c>
      <c r="J1384" s="106" t="s">
        <v>1874</v>
      </c>
      <c r="K1384" s="116" t="s">
        <v>2443</v>
      </c>
      <c r="L1384" s="118" t="str">
        <f>IF(K1384="yes",("Sorry, question (8.01"&amp;RIGHT(B1382,1)&amp;") is required!"),"")</f>
        <v>Sorry, question (8.01v) is required!</v>
      </c>
    </row>
    <row r="1385" spans="1:24" ht="14.25" customHeight="1">
      <c r="A1385" t="s">
        <v>955</v>
      </c>
      <c r="B1385" t="s">
        <v>1737</v>
      </c>
      <c r="E1385" s="118" t="s">
        <v>1956</v>
      </c>
      <c r="F1385" s="118" t="s">
        <v>6622</v>
      </c>
      <c r="H1385" s="206" t="str">
        <f>E1385</f>
        <v>(8.02v) How many days per week is this service offered?</v>
      </c>
      <c r="I1385" s="213" t="str">
        <f t="shared" si="194"/>
        <v>integer</v>
      </c>
      <c r="J1385" s="106" t="s">
        <v>6625</v>
      </c>
      <c r="K1385" s="116" t="s">
        <v>2443</v>
      </c>
      <c r="L1385" s="118" t="str">
        <f>IF(K1385="yes",("Sorry, question "&amp;LEFT(E1385, 7)&amp;" is required!"),"")</f>
        <v>Sorry, question (8.02v) is required!</v>
      </c>
      <c r="M1385" s="113" t="s">
        <v>6618</v>
      </c>
      <c r="N1385" t="str">
        <f xml:space="preserve"> LEFT(E1385,7) &amp; " MAXIMUM 7"</f>
        <v>(8.02v) MAXIMUM 7</v>
      </c>
      <c r="O1385" s="110" t="s">
        <v>1563</v>
      </c>
    </row>
    <row r="1386" spans="1:24" ht="14.25" customHeight="1">
      <c r="A1386" t="s">
        <v>955</v>
      </c>
      <c r="B1386" t="s">
        <v>1738</v>
      </c>
      <c r="E1386" s="118" t="s">
        <v>2342</v>
      </c>
      <c r="F1386" s="118" t="s">
        <v>1885</v>
      </c>
      <c r="H1386" s="206" t="str">
        <f>E1386</f>
        <v>(8.03v) What is the total price in Dalasi charged for Pneumococcal Vaccine? INTERVIEWER: IF NO CHARGE, RECORD "0".</v>
      </c>
      <c r="I1386" s="213" t="str">
        <f t="shared" si="194"/>
        <v>integer</v>
      </c>
      <c r="J1386" s="106" t="s">
        <v>3379</v>
      </c>
      <c r="K1386" s="116" t="s">
        <v>2443</v>
      </c>
      <c r="L1386" s="118" t="str">
        <f>IF(K1386="yes",("Sorry, question "&amp;LEFT(E1386, 7)&amp;" is required!"),"")</f>
        <v>Sorry, question (8.03v) is required!</v>
      </c>
      <c r="M1386" s="113" t="s">
        <v>5398</v>
      </c>
      <c r="N1386" t="str">
        <f xml:space="preserve"> LEFT(E1385,7) &amp; " MINIMUM 0"</f>
        <v>(8.02v) MINIMUM 0</v>
      </c>
      <c r="O1386" s="110" t="s">
        <v>1563</v>
      </c>
    </row>
    <row r="1387" spans="1:24" ht="14.25" customHeight="1">
      <c r="A1387" t="s">
        <v>15</v>
      </c>
      <c r="E1387" s="118" t="s">
        <v>1067</v>
      </c>
      <c r="I1387" s="213" t="str">
        <f t="shared" si="194"/>
        <v>end group</v>
      </c>
      <c r="X1387" t="s">
        <v>3032</v>
      </c>
    </row>
    <row r="1388" spans="1:24" ht="14.25" customHeight="1">
      <c r="A1388" t="s">
        <v>954</v>
      </c>
      <c r="B1388" t="s">
        <v>3221</v>
      </c>
      <c r="E1388" s="118" t="s">
        <v>1067</v>
      </c>
      <c r="I1388" s="213" t="str">
        <f t="shared" si="194"/>
        <v>begin group</v>
      </c>
      <c r="J1388" s="106" t="s">
        <v>3371</v>
      </c>
      <c r="L1388" s="118" t="str">
        <f>IF(K1388="yes",("Sorry, question "&amp;LEFT(E1388, 6)&amp;" is required!"),"")</f>
        <v/>
      </c>
      <c r="O1388" s="110" t="s">
        <v>1563</v>
      </c>
      <c r="X1388" t="s">
        <v>3032</v>
      </c>
    </row>
    <row r="1389" spans="1:24" ht="14.25" customHeight="1">
      <c r="A1389" t="s">
        <v>17</v>
      </c>
      <c r="B1389" t="s">
        <v>1739</v>
      </c>
      <c r="E1389" s="118" t="s">
        <v>3220</v>
      </c>
      <c r="F1389" s="117" t="s">
        <v>6662</v>
      </c>
      <c r="I1389" s="213" t="str">
        <f t="shared" si="194"/>
        <v>note</v>
      </c>
      <c r="J1389" s="106" t="s">
        <v>3370</v>
      </c>
      <c r="L1389" s="118" t="str">
        <f>IF(K1389="yes",("Sorry, question "&amp;LEFT(E1389, 6)&amp;" is required!"),"")</f>
        <v/>
      </c>
    </row>
    <row r="1390" spans="1:24" ht="14.25" customHeight="1">
      <c r="A1390" t="s">
        <v>17</v>
      </c>
      <c r="B1390" t="s">
        <v>1740</v>
      </c>
      <c r="E1390" s="118" t="s">
        <v>958</v>
      </c>
      <c r="I1390" s="213" t="str">
        <f t="shared" si="194"/>
        <v>note</v>
      </c>
      <c r="J1390" s="106" t="s">
        <v>3477</v>
      </c>
      <c r="L1390" s="118" t="str">
        <f>IF(K1390="yes",("Sorry, question "&amp;LEFT(E1390, 6)&amp;" is required!"),"")</f>
        <v/>
      </c>
    </row>
    <row r="1391" spans="1:24" ht="14.25" customHeight="1">
      <c r="A1391" t="s">
        <v>955</v>
      </c>
      <c r="B1391" t="s">
        <v>5022</v>
      </c>
      <c r="E1391" s="118" t="s">
        <v>959</v>
      </c>
      <c r="H1391" s="206" t="str">
        <f>"(8.04v) TOTAL NUMBER OF "&amp;E1390&amp;" - "&amp;E1391</f>
        <v>(8.04v) TOTAL NUMBER OF MONTH 1 - IN</v>
      </c>
      <c r="I1391" s="213" t="str">
        <f t="shared" si="194"/>
        <v>integer</v>
      </c>
      <c r="J1391" s="106" t="s">
        <v>4907</v>
      </c>
      <c r="K1391" s="116" t="s">
        <v>2443</v>
      </c>
      <c r="L1391" s="118" t="str">
        <f>IF(K1391="yes",("Sorry, question MONTH 1 is required!"),"")</f>
        <v>Sorry, question MONTH 1 is required!</v>
      </c>
      <c r="M1391" s="113" t="s">
        <v>5398</v>
      </c>
      <c r="N1391" t="str">
        <f xml:space="preserve"> LEFT($E$1389,7) &amp;" MONTH 1 - IN: MINIMUM 0"</f>
        <v>(8.04v) MONTH 1 - IN: MINIMUM 0</v>
      </c>
    </row>
    <row r="1392" spans="1:24" ht="14.25" customHeight="1">
      <c r="A1392" t="s">
        <v>955</v>
      </c>
      <c r="B1392" t="s">
        <v>5001</v>
      </c>
      <c r="E1392" s="118" t="s">
        <v>960</v>
      </c>
      <c r="H1392" s="206" t="str">
        <f>"(8.04v) TOTAL NUMBER OF "&amp;E1390&amp;" - "&amp;E1392</f>
        <v>(8.04v) TOTAL NUMBER OF MONTH 1 - OUT</v>
      </c>
      <c r="I1392" s="213" t="str">
        <f t="shared" si="194"/>
        <v>integer</v>
      </c>
      <c r="J1392" s="106" t="s">
        <v>4908</v>
      </c>
      <c r="K1392" s="116" t="s">
        <v>2443</v>
      </c>
      <c r="L1392" s="118" t="str">
        <f t="shared" ref="L1392:L1396" si="199">IF(K1392="yes",("Sorry, question MONTH 1 is required!"),"")</f>
        <v>Sorry, question MONTH 1 is required!</v>
      </c>
      <c r="M1392" s="113" t="s">
        <v>5398</v>
      </c>
      <c r="N1392" t="str">
        <f xml:space="preserve"> LEFT($E$1389,7) &amp;" MONTH 1 - OUT: MINIMUM 0"</f>
        <v>(8.04v) MONTH 1 - OUT: MINIMUM 0</v>
      </c>
    </row>
    <row r="1393" spans="1:24" ht="14.25" customHeight="1">
      <c r="A1393" t="s">
        <v>17</v>
      </c>
      <c r="B1393" t="s">
        <v>1741</v>
      </c>
      <c r="E1393" s="118" t="s">
        <v>961</v>
      </c>
      <c r="I1393" s="213" t="str">
        <f t="shared" si="194"/>
        <v>note</v>
      </c>
      <c r="J1393" s="106" t="s">
        <v>3478</v>
      </c>
      <c r="L1393" s="118" t="str">
        <f t="shared" si="199"/>
        <v/>
      </c>
    </row>
    <row r="1394" spans="1:24" ht="14.25" customHeight="1">
      <c r="A1394" t="s">
        <v>955</v>
      </c>
      <c r="B1394" t="s">
        <v>5064</v>
      </c>
      <c r="E1394" s="118" t="s">
        <v>959</v>
      </c>
      <c r="H1394" s="206" t="str">
        <f t="shared" ref="H1394:H1397" si="200">"(8.04v) TOTAL NUMBER OF "&amp;E1393&amp;" - "&amp;E1394</f>
        <v>(8.04v) TOTAL NUMBER OF MONTH 2 - IN</v>
      </c>
      <c r="I1394" s="213" t="str">
        <f t="shared" si="194"/>
        <v>integer</v>
      </c>
      <c r="J1394" s="106" t="s">
        <v>6621</v>
      </c>
      <c r="K1394" s="116" t="s">
        <v>2443</v>
      </c>
      <c r="L1394" s="118" t="str">
        <f>IF(K1394="yes",("Sorry, question MONTH 2 is required!"),"")</f>
        <v>Sorry, question MONTH 2 is required!</v>
      </c>
      <c r="M1394" s="113" t="s">
        <v>5398</v>
      </c>
      <c r="N1394" t="str">
        <f xml:space="preserve"> LEFT($E$1389,7) &amp;" MONTH 2 - IN: MINIMUM 0"</f>
        <v>(8.04v) MONTH 2 - IN: MINIMUM 0</v>
      </c>
    </row>
    <row r="1395" spans="1:24" ht="14.25" customHeight="1">
      <c r="A1395" t="s">
        <v>955</v>
      </c>
      <c r="B1395" t="s">
        <v>5043</v>
      </c>
      <c r="E1395" s="118" t="s">
        <v>960</v>
      </c>
      <c r="H1395" s="206" t="str">
        <f>"(8.04v) TOTAL NUMBER OF "&amp;E1393&amp;" - "&amp;E1395</f>
        <v>(8.04v) TOTAL NUMBER OF MONTH 2 - OUT</v>
      </c>
      <c r="I1395" s="213" t="str">
        <f t="shared" si="194"/>
        <v>integer</v>
      </c>
      <c r="J1395" s="106" t="s">
        <v>6626</v>
      </c>
      <c r="K1395" s="116" t="s">
        <v>2443</v>
      </c>
      <c r="L1395" s="118" t="str">
        <f>IF(K1395="yes",("Sorry, question MONTH 2 is required!"),"")</f>
        <v>Sorry, question MONTH 2 is required!</v>
      </c>
      <c r="M1395" s="113" t="s">
        <v>5398</v>
      </c>
      <c r="N1395" t="str">
        <f xml:space="preserve"> LEFT($E$1389,7) &amp;" MONTH 2 - OUT: MINIMUM 0"</f>
        <v>(8.04v) MONTH 2 - OUT: MINIMUM 0</v>
      </c>
    </row>
    <row r="1396" spans="1:24" ht="14.25" customHeight="1">
      <c r="A1396" t="s">
        <v>17</v>
      </c>
      <c r="B1396" t="s">
        <v>1742</v>
      </c>
      <c r="E1396" s="118" t="s">
        <v>962</v>
      </c>
      <c r="I1396" s="213" t="str">
        <f t="shared" si="194"/>
        <v>note</v>
      </c>
      <c r="J1396" s="106" t="s">
        <v>3480</v>
      </c>
      <c r="L1396" s="118" t="str">
        <f t="shared" si="199"/>
        <v/>
      </c>
    </row>
    <row r="1397" spans="1:24" ht="14.25" customHeight="1">
      <c r="A1397" t="s">
        <v>955</v>
      </c>
      <c r="B1397" t="s">
        <v>5085</v>
      </c>
      <c r="E1397" s="118" t="s">
        <v>959</v>
      </c>
      <c r="H1397" s="206" t="str">
        <f t="shared" si="200"/>
        <v>(8.04v) TOTAL NUMBER OF MONTH 3 - IN</v>
      </c>
      <c r="I1397" s="213" t="str">
        <f t="shared" si="194"/>
        <v>integer</v>
      </c>
      <c r="J1397" s="106" t="s">
        <v>6629</v>
      </c>
      <c r="K1397" s="116" t="s">
        <v>2443</v>
      </c>
      <c r="L1397" s="118" t="str">
        <f>IF(K1397="yes",("Sorry, question MONTH 3 is required!"),"")</f>
        <v>Sorry, question MONTH 3 is required!</v>
      </c>
      <c r="M1397" s="113" t="s">
        <v>5398</v>
      </c>
      <c r="N1397" t="str">
        <f xml:space="preserve"> LEFT($E$1389,7) &amp;" MONTH 3 - IN: MINIMUM 0"</f>
        <v>(8.04v) MONTH 3 - IN: MINIMUM 0</v>
      </c>
    </row>
    <row r="1398" spans="1:24" ht="14.25" customHeight="1">
      <c r="A1398" t="s">
        <v>955</v>
      </c>
      <c r="B1398" t="s">
        <v>5106</v>
      </c>
      <c r="E1398" s="118" t="s">
        <v>960</v>
      </c>
      <c r="H1398" s="206" t="str">
        <f>"(8.04v) TOTAL NUMBER OF "&amp;E1396&amp;" - "&amp;E1398</f>
        <v>(8.04v) TOTAL NUMBER OF MONTH 3 - OUT</v>
      </c>
      <c r="I1398" s="213" t="str">
        <f t="shared" si="194"/>
        <v>integer</v>
      </c>
      <c r="J1398" s="106" t="s">
        <v>6630</v>
      </c>
      <c r="K1398" s="116" t="s">
        <v>2443</v>
      </c>
      <c r="L1398" s="118" t="str">
        <f>IF(K1398="yes",("Sorry, question MONTH 3 is required!"),"")</f>
        <v>Sorry, question MONTH 3 is required!</v>
      </c>
      <c r="M1398" s="113" t="s">
        <v>5398</v>
      </c>
      <c r="N1398" t="str">
        <f xml:space="preserve"> LEFT($E$1389,7) &amp;" MONTH 3 - OUT: MINIMUM 0"</f>
        <v>(8.04v) MONTH 3 - OUT: MINIMUM 0</v>
      </c>
    </row>
    <row r="1399" spans="1:24" ht="14.25" customHeight="1">
      <c r="A1399" t="s">
        <v>15</v>
      </c>
      <c r="I1399" s="213" t="str">
        <f t="shared" si="194"/>
        <v>end group</v>
      </c>
      <c r="L1399" s="118" t="str">
        <f>IF(K1399="yes",("Sorry, question MONTH 3 is required!"),"")</f>
        <v/>
      </c>
      <c r="X1399" t="s">
        <v>3032</v>
      </c>
    </row>
    <row r="1400" spans="1:24" ht="14.25" customHeight="1">
      <c r="A1400" t="s">
        <v>954</v>
      </c>
      <c r="B1400" t="s">
        <v>3222</v>
      </c>
      <c r="E1400" s="118" t="s">
        <v>1067</v>
      </c>
      <c r="I1400" s="213" t="str">
        <f t="shared" si="194"/>
        <v>begin group</v>
      </c>
      <c r="J1400" s="106" t="s">
        <v>13</v>
      </c>
      <c r="X1400" t="s">
        <v>3032</v>
      </c>
    </row>
    <row r="1401" spans="1:24" ht="14.25" customHeight="1">
      <c r="A1401" t="s">
        <v>23</v>
      </c>
      <c r="B1401" s="107" t="s">
        <v>1743</v>
      </c>
      <c r="E1401" s="118" t="s">
        <v>3408</v>
      </c>
      <c r="F1401" s="118" t="s">
        <v>3396</v>
      </c>
      <c r="I1401" s="213" t="str">
        <f t="shared" si="194"/>
        <v>select_one yesno</v>
      </c>
      <c r="J1401" s="106" t="s">
        <v>1876</v>
      </c>
    </row>
    <row r="1402" spans="1:24" ht="14.25" customHeight="1">
      <c r="A1402" t="s">
        <v>23</v>
      </c>
      <c r="B1402" t="s">
        <v>1744</v>
      </c>
      <c r="E1402" s="118" t="s">
        <v>951</v>
      </c>
      <c r="H1402" s="206" t="str">
        <f>E1401&amp;E1402</f>
        <v>(8.01w) Does this facility provide Tetanus Toxoid to pregnant women within the facility and/or as outreach? In-facility</v>
      </c>
      <c r="I1402" s="213" t="str">
        <f t="shared" si="194"/>
        <v>select_one yesno</v>
      </c>
      <c r="J1402" s="106" t="s">
        <v>1878</v>
      </c>
      <c r="K1402" s="116" t="s">
        <v>2443</v>
      </c>
      <c r="L1402" s="118" t="str">
        <f>IF(K1402="yes",("Sorry, question (8.01"&amp;RIGHT(B1401,1)&amp;") is required!"),"")</f>
        <v>Sorry, question (8.01w) is required!</v>
      </c>
    </row>
    <row r="1403" spans="1:24" ht="14.25" customHeight="1">
      <c r="A1403" t="s">
        <v>23</v>
      </c>
      <c r="B1403" t="s">
        <v>1745</v>
      </c>
      <c r="E1403" s="118" t="s">
        <v>953</v>
      </c>
      <c r="H1403" s="206" t="str">
        <f>E1401&amp;E1403</f>
        <v>(8.01w) Does this facility provide Tetanus Toxoid to pregnant women within the facility and/or as outreach? Outreach</v>
      </c>
      <c r="I1403" s="213" t="str">
        <f t="shared" si="194"/>
        <v>select_one yesno</v>
      </c>
      <c r="J1403" s="106" t="s">
        <v>1878</v>
      </c>
      <c r="K1403" s="116" t="s">
        <v>2443</v>
      </c>
      <c r="L1403" s="118" t="str">
        <f>IF(K1403="yes",("Sorry, question (8.01"&amp;RIGHT(B1401,1)&amp;") is required!"),"")</f>
        <v>Sorry, question (8.01w) is required!</v>
      </c>
    </row>
    <row r="1404" spans="1:24" ht="14.25" customHeight="1">
      <c r="A1404" t="s">
        <v>955</v>
      </c>
      <c r="B1404" t="s">
        <v>1746</v>
      </c>
      <c r="E1404" s="118" t="s">
        <v>1957</v>
      </c>
      <c r="F1404" s="118" t="s">
        <v>6622</v>
      </c>
      <c r="H1404" s="206" t="str">
        <f>E1404</f>
        <v>(8.02w) How many days per week is this service offered?</v>
      </c>
      <c r="I1404" s="213" t="str">
        <f t="shared" si="194"/>
        <v>integer</v>
      </c>
      <c r="J1404" s="106" t="s">
        <v>6625</v>
      </c>
      <c r="K1404" s="116" t="s">
        <v>2443</v>
      </c>
      <c r="L1404" s="118" t="str">
        <f>IF(K1404="yes",("Sorry, question "&amp;LEFT(E1404, 7)&amp;" is required!"),"")</f>
        <v>Sorry, question (8.02w) is required!</v>
      </c>
      <c r="M1404" s="113" t="s">
        <v>6618</v>
      </c>
      <c r="N1404" t="str">
        <f xml:space="preserve"> LEFT(E1404,7) &amp; " MAXIMUM 7"</f>
        <v>(8.02w) MAXIMUM 7</v>
      </c>
      <c r="O1404" s="110" t="s">
        <v>1564</v>
      </c>
    </row>
    <row r="1405" spans="1:24" ht="14.25" customHeight="1">
      <c r="A1405" t="s">
        <v>955</v>
      </c>
      <c r="B1405" t="s">
        <v>1747</v>
      </c>
      <c r="E1405" s="118" t="s">
        <v>2343</v>
      </c>
      <c r="F1405" s="118" t="s">
        <v>1885</v>
      </c>
      <c r="H1405" s="206" t="str">
        <f>E1405</f>
        <v>(8.03w) What is the total price in Dalasi charged for Tetanus Toxoid to pregnant women? INTERVIEWER: IF NO CHARGE, RECORD "0".</v>
      </c>
      <c r="I1405" s="213" t="str">
        <f t="shared" si="194"/>
        <v>integer</v>
      </c>
      <c r="J1405" s="106" t="s">
        <v>3379</v>
      </c>
      <c r="K1405" s="116" t="s">
        <v>2443</v>
      </c>
      <c r="L1405" s="118" t="str">
        <f>IF(K1405="yes",("Sorry, question "&amp;LEFT(E1405, 7)&amp;" is required!"),"")</f>
        <v>Sorry, question (8.03w) is required!</v>
      </c>
      <c r="M1405" s="113" t="s">
        <v>5398</v>
      </c>
      <c r="N1405" t="str">
        <f xml:space="preserve"> LEFT(E1404,7) &amp; " MINIMUM 0"</f>
        <v>(8.02w) MINIMUM 0</v>
      </c>
      <c r="O1405" s="110" t="s">
        <v>1564</v>
      </c>
    </row>
    <row r="1406" spans="1:24" ht="14.25" customHeight="1">
      <c r="A1406" t="s">
        <v>15</v>
      </c>
      <c r="E1406" s="118" t="s">
        <v>1067</v>
      </c>
      <c r="I1406" s="213" t="str">
        <f t="shared" si="194"/>
        <v>end group</v>
      </c>
      <c r="X1406" t="s">
        <v>3032</v>
      </c>
    </row>
    <row r="1407" spans="1:24" ht="14.25" customHeight="1">
      <c r="A1407" t="s">
        <v>954</v>
      </c>
      <c r="B1407" t="s">
        <v>3223</v>
      </c>
      <c r="E1407" s="118" t="s">
        <v>1067</v>
      </c>
      <c r="I1407" s="213" t="str">
        <f t="shared" si="194"/>
        <v>begin group</v>
      </c>
      <c r="J1407" s="106" t="s">
        <v>3371</v>
      </c>
      <c r="L1407" s="118" t="str">
        <f>IF(K1407="yes",("Sorry, question "&amp;LEFT(E1407, 6)&amp;" is required!"),"")</f>
        <v/>
      </c>
      <c r="O1407" s="110" t="s">
        <v>1564</v>
      </c>
      <c r="X1407" t="s">
        <v>3032</v>
      </c>
    </row>
    <row r="1408" spans="1:24" ht="14.25" customHeight="1">
      <c r="A1408" t="s">
        <v>17</v>
      </c>
      <c r="B1408" t="s">
        <v>1748</v>
      </c>
      <c r="E1408" s="118" t="s">
        <v>3224</v>
      </c>
      <c r="F1408" s="117" t="s">
        <v>6662</v>
      </c>
      <c r="I1408" s="213" t="str">
        <f t="shared" si="194"/>
        <v>note</v>
      </c>
      <c r="J1408" s="106" t="s">
        <v>3370</v>
      </c>
      <c r="L1408" s="118" t="str">
        <f>IF(K1408="yes",("Sorry, question "&amp;LEFT(E1408, 6)&amp;" is required!"),"")</f>
        <v/>
      </c>
    </row>
    <row r="1409" spans="1:24" ht="14.25" customHeight="1">
      <c r="A1409" t="s">
        <v>17</v>
      </c>
      <c r="B1409" t="s">
        <v>1749</v>
      </c>
      <c r="E1409" s="118" t="s">
        <v>958</v>
      </c>
      <c r="I1409" s="213" t="str">
        <f t="shared" ref="I1409:I1472" si="201">A1409</f>
        <v>note</v>
      </c>
      <c r="J1409" s="106" t="s">
        <v>3477</v>
      </c>
      <c r="L1409" s="118" t="str">
        <f>IF(K1409="yes",("Sorry, question "&amp;LEFT(E1409, 6)&amp;" is required!"),"")</f>
        <v/>
      </c>
    </row>
    <row r="1410" spans="1:24" ht="14.25" customHeight="1">
      <c r="A1410" t="s">
        <v>955</v>
      </c>
      <c r="B1410" t="s">
        <v>5023</v>
      </c>
      <c r="E1410" s="118" t="s">
        <v>959</v>
      </c>
      <c r="H1410" s="206" t="str">
        <f>"(8.04w) TOTAL NUMBER OF "&amp;E1409&amp;" - "&amp;E1410</f>
        <v>(8.04w) TOTAL NUMBER OF MONTH 1 - IN</v>
      </c>
      <c r="I1410" s="213" t="str">
        <f t="shared" si="201"/>
        <v>integer</v>
      </c>
      <c r="J1410" s="106" t="s">
        <v>4907</v>
      </c>
      <c r="K1410" s="116" t="s">
        <v>2443</v>
      </c>
      <c r="L1410" s="118" t="str">
        <f>IF(K1410="yes",("Sorry, question MONTH 1 is required!"),"")</f>
        <v>Sorry, question MONTH 1 is required!</v>
      </c>
      <c r="M1410" s="113" t="s">
        <v>5398</v>
      </c>
      <c r="N1410" t="s">
        <v>3945</v>
      </c>
    </row>
    <row r="1411" spans="1:24" ht="14.25" customHeight="1">
      <c r="A1411" t="s">
        <v>955</v>
      </c>
      <c r="B1411" t="s">
        <v>5002</v>
      </c>
      <c r="E1411" s="118" t="s">
        <v>960</v>
      </c>
      <c r="H1411" s="206" t="str">
        <f>"(8.04w) TOTAL NUMBER OF "&amp;E1409&amp;" - "&amp;E1411</f>
        <v>(8.04w) TOTAL NUMBER OF MONTH 1 - OUT</v>
      </c>
      <c r="I1411" s="213" t="str">
        <f t="shared" si="201"/>
        <v>integer</v>
      </c>
      <c r="J1411" s="106" t="s">
        <v>4908</v>
      </c>
      <c r="K1411" s="116" t="s">
        <v>2443</v>
      </c>
      <c r="L1411" s="118" t="str">
        <f t="shared" ref="L1411:L1415" si="202">IF(K1411="yes",("Sorry, question MONTH 1 is required!"),"")</f>
        <v>Sorry, question MONTH 1 is required!</v>
      </c>
      <c r="M1411" s="113" t="s">
        <v>5398</v>
      </c>
      <c r="N1411" t="s">
        <v>3946</v>
      </c>
    </row>
    <row r="1412" spans="1:24" ht="14.25" customHeight="1">
      <c r="A1412" t="s">
        <v>17</v>
      </c>
      <c r="B1412" t="s">
        <v>1750</v>
      </c>
      <c r="E1412" s="118" t="s">
        <v>961</v>
      </c>
      <c r="I1412" s="213" t="str">
        <f t="shared" si="201"/>
        <v>note</v>
      </c>
      <c r="J1412" s="106" t="s">
        <v>3478</v>
      </c>
      <c r="L1412" s="118" t="str">
        <f t="shared" si="202"/>
        <v/>
      </c>
    </row>
    <row r="1413" spans="1:24" ht="14.25" customHeight="1">
      <c r="A1413" t="s">
        <v>955</v>
      </c>
      <c r="B1413" t="s">
        <v>5065</v>
      </c>
      <c r="E1413" s="118" t="s">
        <v>959</v>
      </c>
      <c r="H1413" s="206" t="str">
        <f t="shared" ref="H1413:H1416" si="203">"(8.04w) TOTAL NUMBER OF "&amp;E1412&amp;" - "&amp;E1413</f>
        <v>(8.04w) TOTAL NUMBER OF MONTH 2 - IN</v>
      </c>
      <c r="I1413" s="213" t="str">
        <f t="shared" si="201"/>
        <v>integer</v>
      </c>
      <c r="J1413" s="106" t="s">
        <v>6621</v>
      </c>
      <c r="K1413" s="116" t="s">
        <v>2443</v>
      </c>
      <c r="L1413" s="118" t="str">
        <f>IF(K1413="yes",("Sorry, question MONTH 2 is required!"),"")</f>
        <v>Sorry, question MONTH 2 is required!</v>
      </c>
      <c r="M1413" s="113" t="s">
        <v>5398</v>
      </c>
      <c r="N1413" t="s">
        <v>3947</v>
      </c>
    </row>
    <row r="1414" spans="1:24" ht="14.25" customHeight="1">
      <c r="A1414" t="s">
        <v>955</v>
      </c>
      <c r="B1414" t="s">
        <v>5044</v>
      </c>
      <c r="E1414" s="118" t="s">
        <v>960</v>
      </c>
      <c r="H1414" s="206" t="str">
        <f>"(8.04w) TOTAL NUMBER OF "&amp;E1412&amp;" - "&amp;E1414</f>
        <v>(8.04w) TOTAL NUMBER OF MONTH 2 - OUT</v>
      </c>
      <c r="I1414" s="213" t="str">
        <f t="shared" si="201"/>
        <v>integer</v>
      </c>
      <c r="J1414" s="106" t="s">
        <v>6626</v>
      </c>
      <c r="K1414" s="116" t="s">
        <v>2443</v>
      </c>
      <c r="L1414" s="118" t="str">
        <f>IF(K1414="yes",("Sorry, question MONTH 2 is required!"),"")</f>
        <v>Sorry, question MONTH 2 is required!</v>
      </c>
      <c r="M1414" s="113" t="s">
        <v>5398</v>
      </c>
      <c r="N1414" t="s">
        <v>3948</v>
      </c>
    </row>
    <row r="1415" spans="1:24" ht="14.25" customHeight="1">
      <c r="A1415" t="s">
        <v>17</v>
      </c>
      <c r="B1415" t="s">
        <v>1751</v>
      </c>
      <c r="E1415" s="118" t="s">
        <v>962</v>
      </c>
      <c r="I1415" s="213" t="str">
        <f t="shared" si="201"/>
        <v>note</v>
      </c>
      <c r="J1415" s="106" t="s">
        <v>3480</v>
      </c>
      <c r="L1415" s="118" t="str">
        <f t="shared" si="202"/>
        <v/>
      </c>
    </row>
    <row r="1416" spans="1:24" ht="14.25" customHeight="1">
      <c r="A1416" t="s">
        <v>955</v>
      </c>
      <c r="B1416" t="s">
        <v>5086</v>
      </c>
      <c r="E1416" s="118" t="s">
        <v>959</v>
      </c>
      <c r="H1416" s="206" t="str">
        <f t="shared" si="203"/>
        <v>(8.04w) TOTAL NUMBER OF MONTH 3 - IN</v>
      </c>
      <c r="I1416" s="213" t="str">
        <f t="shared" si="201"/>
        <v>integer</v>
      </c>
      <c r="J1416" s="106" t="s">
        <v>6629</v>
      </c>
      <c r="K1416" s="116" t="s">
        <v>2443</v>
      </c>
      <c r="L1416" s="118" t="str">
        <f>IF(K1416="yes",("Sorry, question MONTH 3 is required!"),"")</f>
        <v>Sorry, question MONTH 3 is required!</v>
      </c>
      <c r="M1416" s="113" t="s">
        <v>5398</v>
      </c>
      <c r="N1416" t="s">
        <v>4027</v>
      </c>
    </row>
    <row r="1417" spans="1:24" ht="14.25" customHeight="1">
      <c r="A1417" t="s">
        <v>955</v>
      </c>
      <c r="B1417" t="s">
        <v>5107</v>
      </c>
      <c r="E1417" s="118" t="s">
        <v>960</v>
      </c>
      <c r="H1417" s="206" t="str">
        <f>"(8.04w) TOTAL NUMBER OF "&amp;E1415&amp;" - "&amp;E1417</f>
        <v>(8.04w) TOTAL NUMBER OF MONTH 3 - OUT</v>
      </c>
      <c r="I1417" s="213" t="str">
        <f t="shared" si="201"/>
        <v>integer</v>
      </c>
      <c r="J1417" s="106" t="s">
        <v>6630</v>
      </c>
      <c r="K1417" s="116" t="s">
        <v>2443</v>
      </c>
      <c r="L1417" s="118" t="str">
        <f>IF(K1417="yes",("Sorry, question MONTH 3 is required!"),"")</f>
        <v>Sorry, question MONTH 3 is required!</v>
      </c>
      <c r="M1417" s="113" t="s">
        <v>5398</v>
      </c>
      <c r="N1417" t="s">
        <v>4028</v>
      </c>
    </row>
    <row r="1418" spans="1:24" ht="14.25" customHeight="1">
      <c r="A1418" t="s">
        <v>15</v>
      </c>
      <c r="E1418" s="118" t="s">
        <v>1067</v>
      </c>
      <c r="I1418" s="213" t="str">
        <f t="shared" si="201"/>
        <v>end group</v>
      </c>
      <c r="L1418" s="118" t="str">
        <f>IF(K1418="yes",("Sorry, question MONTH 3 is required!"),"")</f>
        <v/>
      </c>
      <c r="X1418" t="s">
        <v>3032</v>
      </c>
    </row>
    <row r="1419" spans="1:24" ht="14.25" customHeight="1">
      <c r="A1419" t="s">
        <v>954</v>
      </c>
      <c r="B1419" t="s">
        <v>3225</v>
      </c>
      <c r="E1419" s="118" t="s">
        <v>1067</v>
      </c>
      <c r="I1419" s="213" t="str">
        <f t="shared" si="201"/>
        <v>begin group</v>
      </c>
      <c r="J1419" s="106" t="s">
        <v>13</v>
      </c>
      <c r="X1419" t="s">
        <v>3032</v>
      </c>
    </row>
    <row r="1420" spans="1:24" ht="14.25" customHeight="1">
      <c r="A1420" t="s">
        <v>23</v>
      </c>
      <c r="B1420" s="107" t="s">
        <v>1752</v>
      </c>
      <c r="E1420" s="118" t="s">
        <v>3407</v>
      </c>
      <c r="F1420" s="118" t="s">
        <v>3396</v>
      </c>
      <c r="I1420" s="213" t="str">
        <f t="shared" si="201"/>
        <v>select_one yesno</v>
      </c>
      <c r="J1420" s="106" t="s">
        <v>1876</v>
      </c>
    </row>
    <row r="1421" spans="1:24" ht="14.25" customHeight="1">
      <c r="A1421" t="s">
        <v>23</v>
      </c>
      <c r="B1421" t="s">
        <v>1753</v>
      </c>
      <c r="E1421" s="118" t="s">
        <v>951</v>
      </c>
      <c r="H1421" s="206" t="str">
        <f>E1420&amp;E1421</f>
        <v>(8.01x) Does this facility provide Vitamin A Supplement within the facility and/or as outreach?In-facility</v>
      </c>
      <c r="I1421" s="213" t="str">
        <f t="shared" si="201"/>
        <v>select_one yesno</v>
      </c>
      <c r="J1421" s="106" t="s">
        <v>1878</v>
      </c>
      <c r="K1421" s="116" t="s">
        <v>2443</v>
      </c>
      <c r="L1421" s="118" t="str">
        <f>IF(K1421="yes",("Sorry, question (8.01"&amp;RIGHT(B1420,1)&amp;") is required!"),"")</f>
        <v>Sorry, question (8.01x) is required!</v>
      </c>
    </row>
    <row r="1422" spans="1:24" ht="14.25" customHeight="1">
      <c r="A1422" t="s">
        <v>23</v>
      </c>
      <c r="B1422" t="s">
        <v>1754</v>
      </c>
      <c r="E1422" s="118" t="s">
        <v>953</v>
      </c>
      <c r="H1422" s="206" t="str">
        <f>E1420&amp;E1422</f>
        <v>(8.01x) Does this facility provide Vitamin A Supplement within the facility and/or as outreach?Outreach</v>
      </c>
      <c r="I1422" s="213" t="str">
        <f t="shared" si="201"/>
        <v>select_one yesno</v>
      </c>
      <c r="J1422" s="106" t="s">
        <v>1878</v>
      </c>
      <c r="K1422" s="116" t="s">
        <v>2443</v>
      </c>
      <c r="L1422" s="118" t="str">
        <f>IF(K1422="yes",("Sorry, question (8.01"&amp;RIGHT(B1420,1)&amp;") is required!"),"")</f>
        <v>Sorry, question (8.01x) is required!</v>
      </c>
    </row>
    <row r="1423" spans="1:24" ht="14.25" customHeight="1">
      <c r="A1423" t="s">
        <v>955</v>
      </c>
      <c r="B1423" t="s">
        <v>1755</v>
      </c>
      <c r="E1423" s="118" t="s">
        <v>1958</v>
      </c>
      <c r="F1423" s="118" t="s">
        <v>6622</v>
      </c>
      <c r="H1423" s="206" t="str">
        <f>E1423</f>
        <v>(8.02x) How many days per week is this service offered?</v>
      </c>
      <c r="I1423" s="213" t="str">
        <f t="shared" si="201"/>
        <v>integer</v>
      </c>
      <c r="J1423" s="106" t="s">
        <v>6625</v>
      </c>
      <c r="K1423" s="116" t="s">
        <v>2443</v>
      </c>
      <c r="L1423" s="118" t="str">
        <f>IF(K1423="yes",("Sorry, question "&amp;LEFT(E1423, 7)&amp;" is required!"),"")</f>
        <v>Sorry, question (8.02x) is required!</v>
      </c>
      <c r="M1423" s="113" t="s">
        <v>6618</v>
      </c>
      <c r="N1423" t="str">
        <f xml:space="preserve"> LEFT(E1423,7) &amp; " MAXIMUM 7"</f>
        <v>(8.02x) MAXIMUM 7</v>
      </c>
      <c r="O1423" s="110" t="s">
        <v>1565</v>
      </c>
    </row>
    <row r="1424" spans="1:24" ht="14.25" customHeight="1">
      <c r="A1424" t="s">
        <v>955</v>
      </c>
      <c r="B1424" t="s">
        <v>1756</v>
      </c>
      <c r="E1424" s="118" t="s">
        <v>2344</v>
      </c>
      <c r="F1424" s="118" t="s">
        <v>1885</v>
      </c>
      <c r="H1424" s="206" t="str">
        <f>E1424</f>
        <v>(8.03x) What is the total price in Dalasi charged for Vitamin A Supplement? INTERVIEWER: IF NO CHARGE, RECORD "0".</v>
      </c>
      <c r="I1424" s="213" t="str">
        <f t="shared" si="201"/>
        <v>integer</v>
      </c>
      <c r="J1424" s="106" t="s">
        <v>3379</v>
      </c>
      <c r="K1424" s="116" t="s">
        <v>2443</v>
      </c>
      <c r="L1424" s="118" t="str">
        <f>IF(K1424="yes",("Sorry, question "&amp;LEFT(E1424, 7)&amp;" is required!"),"")</f>
        <v>Sorry, question (8.03x) is required!</v>
      </c>
      <c r="M1424" s="113" t="s">
        <v>5398</v>
      </c>
      <c r="N1424" t="str">
        <f xml:space="preserve"> LEFT(E1423,7) &amp; " MINIMUM 0"</f>
        <v>(8.02x) MINIMUM 0</v>
      </c>
      <c r="O1424" s="110" t="s">
        <v>1565</v>
      </c>
    </row>
    <row r="1425" spans="1:24" ht="14.25" customHeight="1">
      <c r="A1425" t="s">
        <v>15</v>
      </c>
      <c r="E1425" s="118" t="s">
        <v>1067</v>
      </c>
      <c r="I1425" s="213" t="str">
        <f t="shared" si="201"/>
        <v>end group</v>
      </c>
      <c r="X1425" t="s">
        <v>3032</v>
      </c>
    </row>
    <row r="1426" spans="1:24" ht="14.25" customHeight="1">
      <c r="A1426" t="s">
        <v>954</v>
      </c>
      <c r="B1426" t="s">
        <v>3226</v>
      </c>
      <c r="E1426" s="118" t="s">
        <v>1067</v>
      </c>
      <c r="I1426" s="213" t="str">
        <f t="shared" si="201"/>
        <v>begin group</v>
      </c>
      <c r="J1426" s="106" t="s">
        <v>3371</v>
      </c>
      <c r="L1426" s="118" t="str">
        <f>IF(K1426="yes",("Sorry, question "&amp;LEFT(E1426, 6)&amp;" is required!"),"")</f>
        <v/>
      </c>
      <c r="O1426" s="110" t="s">
        <v>1565</v>
      </c>
      <c r="X1426" t="s">
        <v>3032</v>
      </c>
    </row>
    <row r="1427" spans="1:24" ht="14.25" customHeight="1">
      <c r="A1427" t="s">
        <v>17</v>
      </c>
      <c r="B1427" t="s">
        <v>1757</v>
      </c>
      <c r="E1427" s="118" t="s">
        <v>3227</v>
      </c>
      <c r="F1427" s="117" t="s">
        <v>6662</v>
      </c>
      <c r="I1427" s="213" t="str">
        <f t="shared" si="201"/>
        <v>note</v>
      </c>
      <c r="J1427" s="106" t="s">
        <v>3370</v>
      </c>
      <c r="L1427" s="118" t="str">
        <f>IF(K1427="yes",("Sorry, question "&amp;LEFT(E1427, 6)&amp;" is required!"),"")</f>
        <v/>
      </c>
    </row>
    <row r="1428" spans="1:24" ht="14.25" customHeight="1">
      <c r="A1428" t="s">
        <v>17</v>
      </c>
      <c r="B1428" t="s">
        <v>1758</v>
      </c>
      <c r="E1428" s="118" t="s">
        <v>958</v>
      </c>
      <c r="I1428" s="213" t="str">
        <f t="shared" si="201"/>
        <v>note</v>
      </c>
      <c r="J1428" s="106" t="s">
        <v>3477</v>
      </c>
      <c r="L1428" s="118" t="str">
        <f>IF(K1428="yes",("Sorry, question "&amp;LEFT(E1428, 6)&amp;" is required!"),"")</f>
        <v/>
      </c>
    </row>
    <row r="1429" spans="1:24" ht="14.25" customHeight="1">
      <c r="A1429" t="s">
        <v>955</v>
      </c>
      <c r="B1429" t="s">
        <v>5024</v>
      </c>
      <c r="E1429" s="118" t="s">
        <v>959</v>
      </c>
      <c r="H1429" s="206" t="str">
        <f>"(8.04x) TOTAL NUMBER OF "&amp;E1428&amp;" - "&amp;E1429</f>
        <v>(8.04x) TOTAL NUMBER OF MONTH 1 - IN</v>
      </c>
      <c r="I1429" s="213" t="str">
        <f t="shared" si="201"/>
        <v>integer</v>
      </c>
      <c r="J1429" s="106" t="s">
        <v>4907</v>
      </c>
      <c r="K1429" s="116" t="s">
        <v>2443</v>
      </c>
      <c r="L1429" s="118" t="str">
        <f>IF(K1429="yes",("Sorry, question MONTH 1 is required!"),"")</f>
        <v>Sorry, question MONTH 1 is required!</v>
      </c>
      <c r="M1429" s="113" t="s">
        <v>5398</v>
      </c>
      <c r="N1429" t="s">
        <v>3949</v>
      </c>
    </row>
    <row r="1430" spans="1:24" ht="14.25" customHeight="1">
      <c r="A1430" t="s">
        <v>955</v>
      </c>
      <c r="B1430" t="s">
        <v>5003</v>
      </c>
      <c r="E1430" s="118" t="s">
        <v>960</v>
      </c>
      <c r="H1430" s="206" t="str">
        <f>"(8.04x) TOTAL NUMBER OF "&amp;E1428&amp;" - "&amp;E1430</f>
        <v>(8.04x) TOTAL NUMBER OF MONTH 1 - OUT</v>
      </c>
      <c r="I1430" s="213" t="str">
        <f t="shared" si="201"/>
        <v>integer</v>
      </c>
      <c r="J1430" s="106" t="s">
        <v>4908</v>
      </c>
      <c r="K1430" s="116" t="s">
        <v>2443</v>
      </c>
      <c r="L1430" s="118" t="str">
        <f t="shared" ref="L1430:L1434" si="204">IF(K1430="yes",("Sorry, question MONTH 1 is required!"),"")</f>
        <v>Sorry, question MONTH 1 is required!</v>
      </c>
      <c r="M1430" s="113" t="s">
        <v>5398</v>
      </c>
      <c r="N1430" t="s">
        <v>3950</v>
      </c>
    </row>
    <row r="1431" spans="1:24" ht="14.25" customHeight="1">
      <c r="A1431" t="s">
        <v>17</v>
      </c>
      <c r="B1431" t="s">
        <v>1759</v>
      </c>
      <c r="E1431" s="118" t="s">
        <v>961</v>
      </c>
      <c r="I1431" s="213" t="str">
        <f t="shared" si="201"/>
        <v>note</v>
      </c>
      <c r="J1431" s="106" t="s">
        <v>3478</v>
      </c>
      <c r="L1431" s="118" t="str">
        <f t="shared" si="204"/>
        <v/>
      </c>
    </row>
    <row r="1432" spans="1:24" ht="14.25" customHeight="1">
      <c r="A1432" t="s">
        <v>955</v>
      </c>
      <c r="B1432" t="s">
        <v>5066</v>
      </c>
      <c r="E1432" s="118" t="s">
        <v>959</v>
      </c>
      <c r="H1432" s="206" t="str">
        <f t="shared" ref="H1432:H1435" si="205">"(8.04x) TOTAL NUMBER OF "&amp;E1431&amp;" - "&amp;E1432</f>
        <v>(8.04x) TOTAL NUMBER OF MONTH 2 - IN</v>
      </c>
      <c r="I1432" s="213" t="str">
        <f t="shared" si="201"/>
        <v>integer</v>
      </c>
      <c r="J1432" s="106" t="s">
        <v>6621</v>
      </c>
      <c r="K1432" s="116" t="s">
        <v>2443</v>
      </c>
      <c r="L1432" s="118" t="str">
        <f>IF(K1432="yes",("Sorry, question MONTH 2 is required!"),"")</f>
        <v>Sorry, question MONTH 2 is required!</v>
      </c>
      <c r="M1432" s="113" t="s">
        <v>5398</v>
      </c>
      <c r="N1432" t="s">
        <v>3951</v>
      </c>
    </row>
    <row r="1433" spans="1:24" ht="14.25" customHeight="1">
      <c r="A1433" t="s">
        <v>955</v>
      </c>
      <c r="B1433" t="s">
        <v>5045</v>
      </c>
      <c r="E1433" s="118" t="s">
        <v>960</v>
      </c>
      <c r="H1433" s="206" t="str">
        <f>"(8.04x) TOTAL NUMBER OF "&amp;E1431&amp;" - "&amp;E1433</f>
        <v>(8.04x) TOTAL NUMBER OF MONTH 2 - OUT</v>
      </c>
      <c r="I1433" s="213" t="str">
        <f t="shared" si="201"/>
        <v>integer</v>
      </c>
      <c r="J1433" s="106" t="s">
        <v>6626</v>
      </c>
      <c r="K1433" s="116" t="s">
        <v>2443</v>
      </c>
      <c r="L1433" s="118" t="str">
        <f>IF(K1433="yes",("Sorry, question MONTH 2 is required!"),"")</f>
        <v>Sorry, question MONTH 2 is required!</v>
      </c>
      <c r="M1433" s="113" t="s">
        <v>5398</v>
      </c>
      <c r="N1433" t="s">
        <v>3952</v>
      </c>
    </row>
    <row r="1434" spans="1:24" ht="14.25" customHeight="1">
      <c r="A1434" t="s">
        <v>17</v>
      </c>
      <c r="B1434" t="s">
        <v>1760</v>
      </c>
      <c r="E1434" s="118" t="s">
        <v>962</v>
      </c>
      <c r="I1434" s="213" t="str">
        <f t="shared" si="201"/>
        <v>note</v>
      </c>
      <c r="J1434" s="106" t="s">
        <v>3480</v>
      </c>
      <c r="L1434" s="118" t="str">
        <f t="shared" si="204"/>
        <v/>
      </c>
    </row>
    <row r="1435" spans="1:24" ht="14.25" customHeight="1">
      <c r="A1435" t="s">
        <v>955</v>
      </c>
      <c r="B1435" t="s">
        <v>5087</v>
      </c>
      <c r="E1435" s="118" t="s">
        <v>959</v>
      </c>
      <c r="H1435" s="206" t="str">
        <f t="shared" si="205"/>
        <v>(8.04x) TOTAL NUMBER OF MONTH 3 - IN</v>
      </c>
      <c r="I1435" s="213" t="str">
        <f t="shared" si="201"/>
        <v>integer</v>
      </c>
      <c r="J1435" s="106" t="s">
        <v>6629</v>
      </c>
      <c r="K1435" s="116" t="s">
        <v>2443</v>
      </c>
      <c r="L1435" s="118" t="str">
        <f>IF(K1435="yes",("Sorry, question MONTH 3 is required!"),"")</f>
        <v>Sorry, question MONTH 3 is required!</v>
      </c>
      <c r="M1435" s="113" t="s">
        <v>5398</v>
      </c>
      <c r="N1435" t="s">
        <v>4029</v>
      </c>
    </row>
    <row r="1436" spans="1:24" ht="14.25" customHeight="1">
      <c r="A1436" t="s">
        <v>955</v>
      </c>
      <c r="B1436" t="s">
        <v>5108</v>
      </c>
      <c r="E1436" s="118" t="s">
        <v>960</v>
      </c>
      <c r="H1436" s="206" t="str">
        <f>"(8.04x) TOTAL NUMBER OF "&amp;E1434&amp;" - "&amp;E1436</f>
        <v>(8.04x) TOTAL NUMBER OF MONTH 3 - OUT</v>
      </c>
      <c r="I1436" s="213" t="str">
        <f t="shared" si="201"/>
        <v>integer</v>
      </c>
      <c r="J1436" s="106" t="s">
        <v>6630</v>
      </c>
      <c r="K1436" s="116" t="s">
        <v>2443</v>
      </c>
      <c r="L1436" s="118" t="str">
        <f>IF(K1436="yes",("Sorry, question MONTH 3 is required!"),"")</f>
        <v>Sorry, question MONTH 3 is required!</v>
      </c>
      <c r="M1436" s="113" t="s">
        <v>5398</v>
      </c>
      <c r="N1436" t="s">
        <v>4030</v>
      </c>
    </row>
    <row r="1437" spans="1:24" ht="14.25" customHeight="1">
      <c r="A1437" t="s">
        <v>15</v>
      </c>
      <c r="E1437" s="118" t="s">
        <v>1067</v>
      </c>
      <c r="I1437" s="213" t="str">
        <f t="shared" si="201"/>
        <v>end group</v>
      </c>
      <c r="L1437" s="118" t="str">
        <f>IF(K1437="yes",("Sorry, question MONTH 3 is required!"),"")</f>
        <v/>
      </c>
      <c r="X1437" t="s">
        <v>3032</v>
      </c>
    </row>
    <row r="1438" spans="1:24" ht="14.25" customHeight="1">
      <c r="A1438" t="s">
        <v>954</v>
      </c>
      <c r="B1438" t="s">
        <v>3229</v>
      </c>
      <c r="E1438" s="118" t="s">
        <v>1067</v>
      </c>
      <c r="I1438" s="213" t="str">
        <f t="shared" si="201"/>
        <v>begin group</v>
      </c>
      <c r="J1438" s="106" t="s">
        <v>13</v>
      </c>
      <c r="X1438" t="s">
        <v>3032</v>
      </c>
    </row>
    <row r="1439" spans="1:24" ht="14.25" customHeight="1">
      <c r="A1439" t="s">
        <v>23</v>
      </c>
      <c r="B1439" s="107" t="s">
        <v>1761</v>
      </c>
      <c r="E1439" s="118" t="s">
        <v>3406</v>
      </c>
      <c r="F1439" s="118" t="s">
        <v>3396</v>
      </c>
      <c r="I1439" s="213" t="str">
        <f t="shared" si="201"/>
        <v>select_one yesno</v>
      </c>
      <c r="J1439" s="106" t="s">
        <v>1876</v>
      </c>
    </row>
    <row r="1440" spans="1:24" ht="14.25" customHeight="1">
      <c r="A1440" t="s">
        <v>23</v>
      </c>
      <c r="B1440" t="s">
        <v>1762</v>
      </c>
      <c r="E1440" s="118" t="s">
        <v>951</v>
      </c>
      <c r="H1440" s="206" t="str">
        <f>E1439&amp;E1440</f>
        <v>(8.01y) Does this facility provide Deworming within the facility and/or as outreach? In-facility</v>
      </c>
      <c r="I1440" s="213" t="str">
        <f t="shared" si="201"/>
        <v>select_one yesno</v>
      </c>
      <c r="J1440" s="106" t="s">
        <v>1878</v>
      </c>
      <c r="K1440" s="116" t="s">
        <v>2443</v>
      </c>
      <c r="L1440" s="118" t="str">
        <f>IF(K1440="yes",("Sorry, question (8.01"&amp;RIGHT(B1439,1)&amp;") is required!"),"")</f>
        <v>Sorry, question (8.01y) is required!</v>
      </c>
    </row>
    <row r="1441" spans="1:24" ht="14.25" customHeight="1">
      <c r="A1441" t="s">
        <v>23</v>
      </c>
      <c r="B1441" t="s">
        <v>1763</v>
      </c>
      <c r="E1441" s="118" t="s">
        <v>953</v>
      </c>
      <c r="H1441" s="206" t="str">
        <f>E1439&amp;E1441</f>
        <v>(8.01y) Does this facility provide Deworming within the facility and/or as outreach? Outreach</v>
      </c>
      <c r="I1441" s="213" t="str">
        <f t="shared" si="201"/>
        <v>select_one yesno</v>
      </c>
      <c r="J1441" s="106" t="s">
        <v>1878</v>
      </c>
      <c r="K1441" s="116" t="s">
        <v>2443</v>
      </c>
      <c r="L1441" s="118" t="str">
        <f>IF(K1441="yes",("Sorry, question (8.01"&amp;RIGHT(B1439,1)&amp;") is required!"),"")</f>
        <v>Sorry, question (8.01y) is required!</v>
      </c>
    </row>
    <row r="1442" spans="1:24" ht="14.25" customHeight="1">
      <c r="A1442" t="s">
        <v>955</v>
      </c>
      <c r="B1442" t="s">
        <v>1764</v>
      </c>
      <c r="E1442" s="118" t="s">
        <v>3008</v>
      </c>
      <c r="F1442" s="118" t="s">
        <v>6622</v>
      </c>
      <c r="H1442" s="206" t="str">
        <f>E1442</f>
        <v>(8.02y) How many days per week is this service offered?</v>
      </c>
      <c r="I1442" s="213" t="str">
        <f t="shared" si="201"/>
        <v>integer</v>
      </c>
      <c r="J1442" s="106" t="s">
        <v>6625</v>
      </c>
      <c r="K1442" s="116" t="s">
        <v>2443</v>
      </c>
      <c r="L1442" s="118" t="str">
        <f>IF(K1442="yes",("Sorry, question "&amp;LEFT(E1442, 7)&amp;" is required!"),"")</f>
        <v>Sorry, question (8.02y) is required!</v>
      </c>
      <c r="M1442" s="113" t="s">
        <v>6618</v>
      </c>
      <c r="N1442" t="str">
        <f xml:space="preserve"> LEFT(E1442,7) &amp; " MAXIMUM 7"</f>
        <v>(8.02y) MAXIMUM 7</v>
      </c>
      <c r="O1442" s="110" t="s">
        <v>1566</v>
      </c>
    </row>
    <row r="1443" spans="1:24" ht="14.25" customHeight="1">
      <c r="A1443" t="s">
        <v>955</v>
      </c>
      <c r="B1443" t="s">
        <v>1765</v>
      </c>
      <c r="E1443" s="118" t="s">
        <v>3009</v>
      </c>
      <c r="F1443" s="118" t="s">
        <v>1885</v>
      </c>
      <c r="H1443" s="206" t="str">
        <f>E1443</f>
        <v>(8.03y) What is the total price in Dalasi charged for Deworming? INTERVIEWER: IF NO CHARGE, RECORD "0".</v>
      </c>
      <c r="I1443" s="213" t="str">
        <f t="shared" si="201"/>
        <v>integer</v>
      </c>
      <c r="J1443" s="106" t="s">
        <v>3379</v>
      </c>
      <c r="K1443" s="116" t="s">
        <v>2443</v>
      </c>
      <c r="L1443" s="118" t="str">
        <f>IF(K1443="yes",("Sorry, question "&amp;LEFT(E1443, 7)&amp;" is required!"),"")</f>
        <v>Sorry, question (8.03y) is required!</v>
      </c>
      <c r="M1443" s="113" t="s">
        <v>5398</v>
      </c>
      <c r="N1443" t="str">
        <f xml:space="preserve"> LEFT(E1442,7) &amp; " MINIMUM 0"</f>
        <v>(8.02y) MINIMUM 0</v>
      </c>
      <c r="O1443" s="110" t="s">
        <v>1566</v>
      </c>
    </row>
    <row r="1444" spans="1:24" ht="14.25" customHeight="1">
      <c r="A1444" t="s">
        <v>15</v>
      </c>
      <c r="E1444" s="118" t="s">
        <v>1067</v>
      </c>
      <c r="I1444" s="213" t="str">
        <f t="shared" si="201"/>
        <v>end group</v>
      </c>
      <c r="X1444" t="s">
        <v>3032</v>
      </c>
    </row>
    <row r="1445" spans="1:24" ht="14.25" customHeight="1">
      <c r="A1445" t="s">
        <v>954</v>
      </c>
      <c r="B1445" t="s">
        <v>3230</v>
      </c>
      <c r="E1445" s="118" t="s">
        <v>1067</v>
      </c>
      <c r="I1445" s="213" t="str">
        <f t="shared" si="201"/>
        <v>begin group</v>
      </c>
      <c r="J1445" s="106" t="s">
        <v>3371</v>
      </c>
      <c r="L1445" s="118" t="str">
        <f>IF(K1445="yes",("Sorry, question "&amp;LEFT(E1445, 6)&amp;" is required!"),"")</f>
        <v/>
      </c>
      <c r="O1445" s="110" t="s">
        <v>1566</v>
      </c>
      <c r="X1445" t="s">
        <v>3032</v>
      </c>
    </row>
    <row r="1446" spans="1:24" ht="14.25" customHeight="1">
      <c r="A1446" t="s">
        <v>17</v>
      </c>
      <c r="B1446" t="s">
        <v>1766</v>
      </c>
      <c r="E1446" s="118" t="s">
        <v>3228</v>
      </c>
      <c r="F1446" s="117" t="s">
        <v>6662</v>
      </c>
      <c r="I1446" s="213" t="str">
        <f t="shared" si="201"/>
        <v>note</v>
      </c>
      <c r="J1446" s="106" t="s">
        <v>3370</v>
      </c>
      <c r="L1446" s="118" t="str">
        <f>IF(K1446="yes",("Sorry, question "&amp;LEFT(E1446, 6)&amp;" is required!"),"")</f>
        <v/>
      </c>
    </row>
    <row r="1447" spans="1:24" ht="14.25" customHeight="1">
      <c r="A1447" t="s">
        <v>17</v>
      </c>
      <c r="B1447" t="s">
        <v>1767</v>
      </c>
      <c r="E1447" s="118" t="s">
        <v>958</v>
      </c>
      <c r="I1447" s="213" t="str">
        <f t="shared" si="201"/>
        <v>note</v>
      </c>
      <c r="J1447" s="106" t="s">
        <v>3477</v>
      </c>
      <c r="L1447" s="118" t="str">
        <f>IF(K1447="yes",("Sorry, question "&amp;LEFT(E1447, 6)&amp;" is required!"),"")</f>
        <v/>
      </c>
    </row>
    <row r="1448" spans="1:24" ht="14.25" customHeight="1">
      <c r="A1448" t="s">
        <v>955</v>
      </c>
      <c r="B1448" t="s">
        <v>5025</v>
      </c>
      <c r="E1448" s="118" t="s">
        <v>959</v>
      </c>
      <c r="H1448" s="206" t="str">
        <f>"(8.04y) TOTAL NUMBER OF "&amp;E1447&amp;" - "&amp;E1448</f>
        <v>(8.04y) TOTAL NUMBER OF MONTH 1 - IN</v>
      </c>
      <c r="I1448" s="213" t="str">
        <f t="shared" si="201"/>
        <v>integer</v>
      </c>
      <c r="J1448" s="106" t="s">
        <v>4907</v>
      </c>
      <c r="K1448" s="116" t="s">
        <v>2443</v>
      </c>
      <c r="L1448" s="118" t="str">
        <f>IF(K1448="yes",("Sorry, question MONTH 1 is required!"),"")</f>
        <v>Sorry, question MONTH 1 is required!</v>
      </c>
      <c r="M1448" s="113" t="s">
        <v>5398</v>
      </c>
      <c r="N1448" t="s">
        <v>3953</v>
      </c>
    </row>
    <row r="1449" spans="1:24" ht="14.25" customHeight="1">
      <c r="A1449" t="s">
        <v>955</v>
      </c>
      <c r="B1449" t="s">
        <v>5004</v>
      </c>
      <c r="E1449" s="118" t="s">
        <v>960</v>
      </c>
      <c r="H1449" s="206" t="str">
        <f>"(8.04y) TOTAL NUMBER OF "&amp;E1447&amp;" - "&amp;E1449</f>
        <v>(8.04y) TOTAL NUMBER OF MONTH 1 - OUT</v>
      </c>
      <c r="I1449" s="213" t="str">
        <f t="shared" si="201"/>
        <v>integer</v>
      </c>
      <c r="J1449" s="106" t="s">
        <v>4908</v>
      </c>
      <c r="K1449" s="116" t="s">
        <v>2443</v>
      </c>
      <c r="L1449" s="118" t="str">
        <f t="shared" ref="L1449:L1453" si="206">IF(K1449="yes",("Sorry, question MONTH 1 is required!"),"")</f>
        <v>Sorry, question MONTH 1 is required!</v>
      </c>
      <c r="M1449" s="113" t="s">
        <v>5398</v>
      </c>
      <c r="N1449" t="s">
        <v>3954</v>
      </c>
    </row>
    <row r="1450" spans="1:24" ht="14.25" customHeight="1">
      <c r="A1450" t="s">
        <v>17</v>
      </c>
      <c r="B1450" t="s">
        <v>1768</v>
      </c>
      <c r="E1450" s="118" t="s">
        <v>961</v>
      </c>
      <c r="I1450" s="213" t="str">
        <f t="shared" si="201"/>
        <v>note</v>
      </c>
      <c r="J1450" s="106" t="s">
        <v>3478</v>
      </c>
      <c r="L1450" s="118" t="str">
        <f t="shared" si="206"/>
        <v/>
      </c>
    </row>
    <row r="1451" spans="1:24" ht="14.25" customHeight="1">
      <c r="A1451" t="s">
        <v>955</v>
      </c>
      <c r="B1451" t="s">
        <v>5067</v>
      </c>
      <c r="E1451" s="118" t="s">
        <v>959</v>
      </c>
      <c r="H1451" s="206" t="str">
        <f t="shared" ref="H1451:H1454" si="207">"(8.04y) TOTAL NUMBER OF "&amp;E1450&amp;" - "&amp;E1451</f>
        <v>(8.04y) TOTAL NUMBER OF MONTH 2 - IN</v>
      </c>
      <c r="I1451" s="213" t="str">
        <f t="shared" si="201"/>
        <v>integer</v>
      </c>
      <c r="J1451" s="106" t="s">
        <v>6621</v>
      </c>
      <c r="K1451" s="116" t="s">
        <v>2443</v>
      </c>
      <c r="L1451" s="118" t="str">
        <f>IF(K1451="yes",("Sorry, question MONTH 2 is required!"),"")</f>
        <v>Sorry, question MONTH 2 is required!</v>
      </c>
      <c r="M1451" s="113" t="s">
        <v>5398</v>
      </c>
      <c r="N1451" t="s">
        <v>3955</v>
      </c>
    </row>
    <row r="1452" spans="1:24" ht="14.25" customHeight="1">
      <c r="A1452" t="s">
        <v>955</v>
      </c>
      <c r="B1452" t="s">
        <v>5046</v>
      </c>
      <c r="E1452" s="118" t="s">
        <v>960</v>
      </c>
      <c r="H1452" s="206" t="str">
        <f>"(8.04y) TOTAL NUMBER OF "&amp;E1450&amp;" - "&amp;E1452</f>
        <v>(8.04y) TOTAL NUMBER OF MONTH 2 - OUT</v>
      </c>
      <c r="I1452" s="213" t="str">
        <f t="shared" si="201"/>
        <v>integer</v>
      </c>
      <c r="J1452" s="106" t="s">
        <v>6626</v>
      </c>
      <c r="K1452" s="116" t="s">
        <v>2443</v>
      </c>
      <c r="L1452" s="118" t="str">
        <f>IF(K1452="yes",("Sorry, question MONTH 2 is required!"),"")</f>
        <v>Sorry, question MONTH 2 is required!</v>
      </c>
      <c r="M1452" s="113" t="s">
        <v>5398</v>
      </c>
      <c r="N1452" t="s">
        <v>3956</v>
      </c>
    </row>
    <row r="1453" spans="1:24" ht="14.25" customHeight="1">
      <c r="A1453" t="s">
        <v>17</v>
      </c>
      <c r="B1453" t="s">
        <v>1769</v>
      </c>
      <c r="E1453" s="118" t="s">
        <v>962</v>
      </c>
      <c r="I1453" s="213" t="str">
        <f t="shared" si="201"/>
        <v>note</v>
      </c>
      <c r="J1453" s="106" t="s">
        <v>3480</v>
      </c>
      <c r="L1453" s="118" t="str">
        <f t="shared" si="206"/>
        <v/>
      </c>
    </row>
    <row r="1454" spans="1:24" ht="14.25" customHeight="1">
      <c r="A1454" t="s">
        <v>955</v>
      </c>
      <c r="B1454" t="s">
        <v>5088</v>
      </c>
      <c r="E1454" s="118" t="s">
        <v>959</v>
      </c>
      <c r="H1454" s="206" t="str">
        <f t="shared" si="207"/>
        <v>(8.04y) TOTAL NUMBER OF MONTH 3 - IN</v>
      </c>
      <c r="I1454" s="213" t="str">
        <f t="shared" si="201"/>
        <v>integer</v>
      </c>
      <c r="J1454" s="106" t="s">
        <v>6629</v>
      </c>
      <c r="K1454" s="116" t="s">
        <v>2443</v>
      </c>
      <c r="L1454" s="118" t="str">
        <f>IF(K1454="yes",("Sorry, question MONTH 3 is required!"),"")</f>
        <v>Sorry, question MONTH 3 is required!</v>
      </c>
      <c r="M1454" s="113" t="s">
        <v>5398</v>
      </c>
      <c r="N1454" t="s">
        <v>4031</v>
      </c>
    </row>
    <row r="1455" spans="1:24" ht="14.25" customHeight="1">
      <c r="A1455" t="s">
        <v>955</v>
      </c>
      <c r="B1455" t="s">
        <v>5109</v>
      </c>
      <c r="E1455" s="118" t="s">
        <v>960</v>
      </c>
      <c r="H1455" s="206" t="str">
        <f>"(8.04y) TOTAL NUMBER OF "&amp;E1453&amp;" - "&amp;E1455</f>
        <v>(8.04y) TOTAL NUMBER OF MONTH 3 - OUT</v>
      </c>
      <c r="I1455" s="213" t="str">
        <f t="shared" si="201"/>
        <v>integer</v>
      </c>
      <c r="J1455" s="106" t="s">
        <v>6630</v>
      </c>
      <c r="K1455" s="116" t="s">
        <v>2443</v>
      </c>
      <c r="L1455" s="118" t="str">
        <f>IF(K1455="yes",("Sorry, question MONTH 3 is required!"),"")</f>
        <v>Sorry, question MONTH 3 is required!</v>
      </c>
      <c r="M1455" s="113" t="s">
        <v>5398</v>
      </c>
      <c r="N1455" t="s">
        <v>4032</v>
      </c>
    </row>
    <row r="1456" spans="1:24" ht="14.25" customHeight="1">
      <c r="A1456" t="s">
        <v>15</v>
      </c>
      <c r="I1456" s="213" t="str">
        <f t="shared" si="201"/>
        <v>end group</v>
      </c>
      <c r="L1456" s="118" t="str">
        <f>IF(K1456="yes",("Sorry, question MONTH 3 is required!"),"")</f>
        <v/>
      </c>
      <c r="X1456" t="s">
        <v>3032</v>
      </c>
    </row>
    <row r="1457" spans="1:24" ht="14.25" customHeight="1">
      <c r="A1457" t="s">
        <v>954</v>
      </c>
      <c r="B1457" t="s">
        <v>3231</v>
      </c>
      <c r="E1457" s="118" t="s">
        <v>1067</v>
      </c>
      <c r="I1457" s="213" t="str">
        <f t="shared" si="201"/>
        <v>begin group</v>
      </c>
      <c r="J1457" s="106" t="s">
        <v>3526</v>
      </c>
      <c r="X1457" t="s">
        <v>3032</v>
      </c>
    </row>
    <row r="1458" spans="1:24" ht="14.25" customHeight="1">
      <c r="A1458" t="s">
        <v>17</v>
      </c>
      <c r="B1458" t="s">
        <v>2959</v>
      </c>
      <c r="E1458" s="118" t="s">
        <v>4212</v>
      </c>
      <c r="I1458" s="213" t="str">
        <f t="shared" si="201"/>
        <v>note</v>
      </c>
      <c r="J1458" s="106" t="s">
        <v>3528</v>
      </c>
    </row>
    <row r="1459" spans="1:24" ht="14.25" customHeight="1">
      <c r="A1459" t="s">
        <v>23</v>
      </c>
      <c r="B1459" s="107" t="s">
        <v>1770</v>
      </c>
      <c r="E1459" s="118" t="s">
        <v>3405</v>
      </c>
      <c r="F1459" s="118" t="s">
        <v>3396</v>
      </c>
      <c r="I1459" s="213" t="str">
        <f t="shared" si="201"/>
        <v>select_one yesno</v>
      </c>
      <c r="J1459" s="106" t="s">
        <v>3540</v>
      </c>
    </row>
    <row r="1460" spans="1:24" ht="14.25" customHeight="1">
      <c r="A1460" t="s">
        <v>23</v>
      </c>
      <c r="B1460" t="s">
        <v>1771</v>
      </c>
      <c r="E1460" s="118" t="s">
        <v>951</v>
      </c>
      <c r="H1460" s="206" t="str">
        <f>E1459&amp;E1460</f>
        <v>(8.01aa) Does this facility provide Curative care for children &lt; 5 years within the facility and/or as outreach? In-facility</v>
      </c>
      <c r="I1460" s="213" t="str">
        <f t="shared" si="201"/>
        <v>select_one yesno</v>
      </c>
      <c r="J1460" s="106" t="s">
        <v>6632</v>
      </c>
      <c r="K1460" s="116" t="s">
        <v>2443</v>
      </c>
      <c r="L1460" s="118" t="str">
        <f>IF(K1460="yes",("Sorry, question (8.01"&amp;RIGHT(B1459,1)&amp;") is required!"),"")</f>
        <v>Sorry, question (8.01a) is required!</v>
      </c>
    </row>
    <row r="1461" spans="1:24" ht="14.25" customHeight="1">
      <c r="A1461" t="s">
        <v>23</v>
      </c>
      <c r="B1461" t="s">
        <v>1772</v>
      </c>
      <c r="E1461" s="118" t="s">
        <v>953</v>
      </c>
      <c r="H1461" s="206" t="str">
        <f>E1459&amp;E1461</f>
        <v>(8.01aa) Does this facility provide Curative care for children &lt; 5 years within the facility and/or as outreach? Outreach</v>
      </c>
      <c r="I1461" s="213" t="str">
        <f t="shared" si="201"/>
        <v>select_one yesno</v>
      </c>
      <c r="J1461" s="106" t="s">
        <v>3539</v>
      </c>
      <c r="K1461" s="116" t="s">
        <v>2443</v>
      </c>
      <c r="L1461" s="118" t="str">
        <f>IF(K1461="yes",("Sorry, question (8.01"&amp;RIGHT(B1459,1)&amp;") is required!"),"")</f>
        <v>Sorry, question (8.01a) is required!</v>
      </c>
    </row>
    <row r="1462" spans="1:24" ht="14.25" customHeight="1">
      <c r="A1462" t="s">
        <v>955</v>
      </c>
      <c r="B1462" t="s">
        <v>1773</v>
      </c>
      <c r="E1462" s="118" t="s">
        <v>1959</v>
      </c>
      <c r="F1462" s="118" t="s">
        <v>6622</v>
      </c>
      <c r="H1462" s="206" t="str">
        <f>E1462</f>
        <v>(8.02aa) How many days per week is this service offered?</v>
      </c>
      <c r="I1462" s="213" t="str">
        <f t="shared" si="201"/>
        <v>integer</v>
      </c>
      <c r="J1462" s="106" t="s">
        <v>6624</v>
      </c>
      <c r="K1462" s="116" t="s">
        <v>2443</v>
      </c>
      <c r="L1462" s="118" t="str">
        <f>IF(K1462="yes",("Sorry, question "&amp;LEFT(E1462, 7)&amp;" is required!"),"")</f>
        <v>Sorry, question (8.02aa is required!</v>
      </c>
      <c r="M1462" s="113" t="s">
        <v>6618</v>
      </c>
      <c r="N1462" t="str">
        <f xml:space="preserve"> LEFT(E1462,8) &amp; " MAXIMUM 7"</f>
        <v>(8.02aa) MAXIMUM 7</v>
      </c>
      <c r="O1462" s="110" t="s">
        <v>1567</v>
      </c>
    </row>
    <row r="1463" spans="1:24" ht="14.25" customHeight="1">
      <c r="A1463" t="s">
        <v>955</v>
      </c>
      <c r="B1463" t="s">
        <v>1774</v>
      </c>
      <c r="E1463" s="118" t="s">
        <v>2345</v>
      </c>
      <c r="F1463" s="118" t="s">
        <v>1881</v>
      </c>
      <c r="H1463" s="206" t="str">
        <f>E1463</f>
        <v>(8.03aa) What is the total price in Dalasi charged for Curative care for children &lt;5 years? INTERVIEWER: IF NO CHARGE, RECORD "0".</v>
      </c>
      <c r="I1463" s="213" t="str">
        <f t="shared" si="201"/>
        <v>integer</v>
      </c>
      <c r="J1463" s="106" t="s">
        <v>3534</v>
      </c>
      <c r="K1463" s="116" t="s">
        <v>2443</v>
      </c>
      <c r="L1463" s="118" t="str">
        <f>IF(K1463="yes",("Sorry, question "&amp;LEFT(E1463, 7)&amp;" is required!"),"")</f>
        <v>Sorry, question (8.03aa is required!</v>
      </c>
      <c r="M1463" s="113" t="s">
        <v>5398</v>
      </c>
      <c r="N1463" t="str">
        <f xml:space="preserve"> LEFT(E1462,8) &amp; " MINIMUM 0"</f>
        <v>(8.02aa) MINIMUM 0</v>
      </c>
      <c r="O1463" s="110" t="s">
        <v>1567</v>
      </c>
    </row>
    <row r="1464" spans="1:24" ht="14.25" customHeight="1">
      <c r="A1464" t="s">
        <v>15</v>
      </c>
      <c r="E1464" s="118" t="s">
        <v>1067</v>
      </c>
      <c r="I1464" s="213" t="str">
        <f t="shared" si="201"/>
        <v>end group</v>
      </c>
      <c r="X1464" t="s">
        <v>3032</v>
      </c>
    </row>
    <row r="1465" spans="1:24" ht="14.25" customHeight="1">
      <c r="A1465" t="s">
        <v>954</v>
      </c>
      <c r="B1465" t="s">
        <v>3233</v>
      </c>
      <c r="E1465" s="118" t="s">
        <v>1067</v>
      </c>
      <c r="I1465" s="213" t="str">
        <f t="shared" si="201"/>
        <v>begin group</v>
      </c>
      <c r="J1465" s="106" t="s">
        <v>3371</v>
      </c>
      <c r="L1465" s="118" t="str">
        <f>IF(K1465="yes",("Sorry, question "&amp;LEFT(E1465, 6)&amp;" is required!"),"")</f>
        <v/>
      </c>
      <c r="O1465" s="110" t="s">
        <v>1567</v>
      </c>
      <c r="X1465" t="s">
        <v>3032</v>
      </c>
    </row>
    <row r="1466" spans="1:24" ht="14.25" customHeight="1">
      <c r="A1466" t="s">
        <v>17</v>
      </c>
      <c r="B1466" t="s">
        <v>1775</v>
      </c>
      <c r="E1466" s="118" t="s">
        <v>3232</v>
      </c>
      <c r="F1466" s="117" t="s">
        <v>6662</v>
      </c>
      <c r="I1466" s="213" t="str">
        <f t="shared" si="201"/>
        <v>note</v>
      </c>
      <c r="J1466" s="106" t="s">
        <v>3370</v>
      </c>
      <c r="L1466" s="118" t="str">
        <f>IF(K1466="yes",("Sorry, question "&amp;LEFT(E1466, 6)&amp;" is required!"),"")</f>
        <v/>
      </c>
    </row>
    <row r="1467" spans="1:24" ht="14.25" customHeight="1">
      <c r="A1467" t="s">
        <v>17</v>
      </c>
      <c r="B1467" t="s">
        <v>1776</v>
      </c>
      <c r="E1467" s="118" t="s">
        <v>958</v>
      </c>
      <c r="I1467" s="213" t="str">
        <f t="shared" si="201"/>
        <v>note</v>
      </c>
      <c r="J1467" s="106" t="s">
        <v>3477</v>
      </c>
      <c r="L1467" s="118" t="str">
        <f>IF(K1467="yes",("Sorry, question "&amp;LEFT(E1467, 6)&amp;" is required!"),"")</f>
        <v/>
      </c>
    </row>
    <row r="1468" spans="1:24" ht="14.25" customHeight="1">
      <c r="A1468" t="s">
        <v>955</v>
      </c>
      <c r="B1468" t="s">
        <v>5170</v>
      </c>
      <c r="E1468" s="118" t="s">
        <v>959</v>
      </c>
      <c r="H1468" s="206" t="str">
        <f>"(8.04aa) TOTAL NUMBER OF "&amp;E1467&amp;" - "&amp;E1468</f>
        <v>(8.04aa) TOTAL NUMBER OF MONTH 1 - IN</v>
      </c>
      <c r="I1468" s="213" t="str">
        <f t="shared" si="201"/>
        <v>integer</v>
      </c>
      <c r="J1468" s="106" t="s">
        <v>4907</v>
      </c>
      <c r="K1468" s="116" t="s">
        <v>2443</v>
      </c>
      <c r="L1468" s="118" t="str">
        <f>IF(K1468="yes",("Sorry, question MONTH 1 is required!"),"")</f>
        <v>Sorry, question MONTH 1 is required!</v>
      </c>
      <c r="M1468" s="113" t="s">
        <v>5398</v>
      </c>
      <c r="N1468" t="s">
        <v>3957</v>
      </c>
    </row>
    <row r="1469" spans="1:24" ht="14.25" customHeight="1">
      <c r="A1469" t="s">
        <v>955</v>
      </c>
      <c r="B1469" t="s">
        <v>5158</v>
      </c>
      <c r="E1469" s="118" t="s">
        <v>960</v>
      </c>
      <c r="H1469" s="206" t="str">
        <f>"(8.04aa) TOTAL NUMBER OF "&amp;E1467&amp;" - "&amp;E1469</f>
        <v>(8.04aa) TOTAL NUMBER OF MONTH 1 - OUT</v>
      </c>
      <c r="I1469" s="213" t="str">
        <f t="shared" si="201"/>
        <v>integer</v>
      </c>
      <c r="J1469" s="106" t="s">
        <v>4908</v>
      </c>
      <c r="K1469" s="116" t="s">
        <v>2443</v>
      </c>
      <c r="L1469" s="118" t="str">
        <f t="shared" ref="L1469:L1473" si="208">IF(K1469="yes",("Sorry, question MONTH 1 is required!"),"")</f>
        <v>Sorry, question MONTH 1 is required!</v>
      </c>
      <c r="M1469" s="113" t="s">
        <v>5398</v>
      </c>
      <c r="N1469" t="s">
        <v>3958</v>
      </c>
    </row>
    <row r="1470" spans="1:24" ht="14.25" customHeight="1">
      <c r="A1470" t="s">
        <v>17</v>
      </c>
      <c r="B1470" t="s">
        <v>1777</v>
      </c>
      <c r="E1470" s="118" t="s">
        <v>961</v>
      </c>
      <c r="I1470" s="213" t="str">
        <f t="shared" si="201"/>
        <v>note</v>
      </c>
      <c r="J1470" s="106" t="s">
        <v>3478</v>
      </c>
      <c r="L1470" s="118" t="str">
        <f t="shared" si="208"/>
        <v/>
      </c>
    </row>
    <row r="1471" spans="1:24" ht="14.25" customHeight="1">
      <c r="A1471" t="s">
        <v>955</v>
      </c>
      <c r="B1471" t="s">
        <v>5134</v>
      </c>
      <c r="E1471" s="118" t="s">
        <v>959</v>
      </c>
      <c r="H1471" s="206" t="str">
        <f t="shared" ref="H1471:H1474" si="209">"(8.04aa) TOTAL NUMBER OF "&amp;E1470&amp;" - "&amp;E1471</f>
        <v>(8.04aa) TOTAL NUMBER OF MONTH 2 - IN</v>
      </c>
      <c r="I1471" s="213" t="str">
        <f t="shared" si="201"/>
        <v>integer</v>
      </c>
      <c r="J1471" s="106" t="s">
        <v>6621</v>
      </c>
      <c r="K1471" s="116" t="s">
        <v>2443</v>
      </c>
      <c r="L1471" s="118" t="str">
        <f>IF(K1471="yes",("Sorry, question MONTH 2 is required!"),"")</f>
        <v>Sorry, question MONTH 2 is required!</v>
      </c>
      <c r="M1471" s="113" t="s">
        <v>5398</v>
      </c>
      <c r="N1471" t="s">
        <v>3959</v>
      </c>
    </row>
    <row r="1472" spans="1:24" ht="14.25" customHeight="1">
      <c r="A1472" t="s">
        <v>955</v>
      </c>
      <c r="B1472" t="s">
        <v>5146</v>
      </c>
      <c r="E1472" s="118" t="s">
        <v>960</v>
      </c>
      <c r="H1472" s="206" t="str">
        <f>"(8.04aa) TOTAL NUMBER OF "&amp;E1470&amp;" - "&amp;E1472</f>
        <v>(8.04aa) TOTAL NUMBER OF MONTH 2 - OUT</v>
      </c>
      <c r="I1472" s="213" t="str">
        <f t="shared" si="201"/>
        <v>integer</v>
      </c>
      <c r="J1472" s="106" t="s">
        <v>6626</v>
      </c>
      <c r="K1472" s="116" t="s">
        <v>2443</v>
      </c>
      <c r="L1472" s="118" t="str">
        <f>IF(K1472="yes",("Sorry, question MONTH 2 is required!"),"")</f>
        <v>Sorry, question MONTH 2 is required!</v>
      </c>
      <c r="M1472" s="113" t="s">
        <v>5398</v>
      </c>
      <c r="N1472" t="s">
        <v>3960</v>
      </c>
    </row>
    <row r="1473" spans="1:24" ht="14.25" customHeight="1">
      <c r="A1473" t="s">
        <v>17</v>
      </c>
      <c r="B1473" t="s">
        <v>1778</v>
      </c>
      <c r="E1473" s="118" t="s">
        <v>962</v>
      </c>
      <c r="I1473" s="213" t="str">
        <f t="shared" ref="I1473:I1536" si="210">A1473</f>
        <v>note</v>
      </c>
      <c r="J1473" s="106" t="s">
        <v>3480</v>
      </c>
      <c r="L1473" s="118" t="str">
        <f t="shared" si="208"/>
        <v/>
      </c>
    </row>
    <row r="1474" spans="1:24" ht="14.25" customHeight="1">
      <c r="A1474" t="s">
        <v>955</v>
      </c>
      <c r="B1474" t="s">
        <v>5122</v>
      </c>
      <c r="E1474" s="118" t="s">
        <v>959</v>
      </c>
      <c r="H1474" s="206" t="str">
        <f t="shared" si="209"/>
        <v>(8.04aa) TOTAL NUMBER OF MONTH 3 - IN</v>
      </c>
      <c r="I1474" s="213" t="str">
        <f t="shared" si="210"/>
        <v>integer</v>
      </c>
      <c r="J1474" s="106" t="s">
        <v>6629</v>
      </c>
      <c r="K1474" s="116" t="s">
        <v>2443</v>
      </c>
      <c r="L1474" s="118" t="str">
        <f>IF(K1474="yes",("Sorry, question MONTH 3 is required!"),"")</f>
        <v>Sorry, question MONTH 3 is required!</v>
      </c>
      <c r="M1474" s="113" t="s">
        <v>5398</v>
      </c>
      <c r="N1474" t="s">
        <v>4033</v>
      </c>
    </row>
    <row r="1475" spans="1:24" ht="14.25" customHeight="1">
      <c r="A1475" t="s">
        <v>955</v>
      </c>
      <c r="B1475" t="s">
        <v>5110</v>
      </c>
      <c r="E1475" s="118" t="s">
        <v>960</v>
      </c>
      <c r="H1475" s="206" t="str">
        <f>"(8.04aa) TOTAL NUMBER OF "&amp;E1473&amp;" - "&amp;E1475</f>
        <v>(8.04aa) TOTAL NUMBER OF MONTH 3 - OUT</v>
      </c>
      <c r="I1475" s="213" t="str">
        <f t="shared" si="210"/>
        <v>integer</v>
      </c>
      <c r="J1475" s="106" t="s">
        <v>6630</v>
      </c>
      <c r="K1475" s="116" t="s">
        <v>2443</v>
      </c>
      <c r="L1475" s="118" t="str">
        <f>IF(K1475="yes",("Sorry, question MONTH 3 is required!"),"")</f>
        <v>Sorry, question MONTH 3 is required!</v>
      </c>
      <c r="M1475" s="113" t="s">
        <v>5398</v>
      </c>
      <c r="N1475" t="s">
        <v>4034</v>
      </c>
    </row>
    <row r="1476" spans="1:24" ht="14.25" customHeight="1">
      <c r="A1476" t="s">
        <v>956</v>
      </c>
      <c r="E1476" s="118" t="s">
        <v>1067</v>
      </c>
      <c r="I1476" s="213" t="str">
        <f t="shared" si="210"/>
        <v>end group</v>
      </c>
      <c r="L1476" s="118" t="str">
        <f>IF(K1476="yes",("Sorry, question MONTH 3 is required!"),"")</f>
        <v/>
      </c>
      <c r="X1476" t="s">
        <v>3032</v>
      </c>
    </row>
    <row r="1477" spans="1:24" ht="14.25" customHeight="1">
      <c r="A1477" t="s">
        <v>954</v>
      </c>
      <c r="B1477" t="s">
        <v>3234</v>
      </c>
      <c r="E1477" s="118" t="s">
        <v>1067</v>
      </c>
      <c r="I1477" s="213" t="str">
        <f t="shared" si="210"/>
        <v>begin group</v>
      </c>
      <c r="J1477" s="106" t="s">
        <v>13</v>
      </c>
      <c r="X1477" t="s">
        <v>3032</v>
      </c>
    </row>
    <row r="1478" spans="1:24" ht="14.25" customHeight="1">
      <c r="A1478" t="s">
        <v>23</v>
      </c>
      <c r="B1478" s="107" t="s">
        <v>1779</v>
      </c>
      <c r="E1478" s="118" t="s">
        <v>3404</v>
      </c>
      <c r="F1478" s="118" t="s">
        <v>3396</v>
      </c>
      <c r="I1478" s="213" t="str">
        <f t="shared" si="210"/>
        <v>select_one yesno</v>
      </c>
      <c r="J1478" s="106" t="s">
        <v>1876</v>
      </c>
    </row>
    <row r="1479" spans="1:24" ht="14.25" customHeight="1">
      <c r="A1479" t="s">
        <v>23</v>
      </c>
      <c r="B1479" t="s">
        <v>1780</v>
      </c>
      <c r="E1479" s="118" t="s">
        <v>951</v>
      </c>
      <c r="H1479" s="206" t="str">
        <f>E1478&amp;E1479</f>
        <v>(8.01ab) Does this facility provide Curative care for children &gt;5 years and adults within the facility and/or as outreach? In-facility</v>
      </c>
      <c r="I1479" s="213" t="str">
        <f t="shared" si="210"/>
        <v>select_one yesno</v>
      </c>
      <c r="J1479" s="106" t="s">
        <v>1878</v>
      </c>
      <c r="K1479" s="116" t="s">
        <v>2443</v>
      </c>
      <c r="L1479" s="118" t="str">
        <f>IF(K1479="yes",("Sorry, question (8.01"&amp;RIGHT(B1478,2)&amp;") is required!"),"")</f>
        <v>Sorry, question (8.01ab) is required!</v>
      </c>
    </row>
    <row r="1480" spans="1:24" ht="14.25" customHeight="1">
      <c r="A1480" t="s">
        <v>23</v>
      </c>
      <c r="B1480" t="s">
        <v>1781</v>
      </c>
      <c r="E1480" s="118" t="s">
        <v>953</v>
      </c>
      <c r="H1480" s="206" t="str">
        <f>E1478&amp;E1480</f>
        <v>(8.01ab) Does this facility provide Curative care for children &gt;5 years and adults within the facility and/or as outreach? Outreach</v>
      </c>
      <c r="I1480" s="213" t="str">
        <f t="shared" si="210"/>
        <v>select_one yesno</v>
      </c>
      <c r="J1480" s="106" t="s">
        <v>1878</v>
      </c>
      <c r="K1480" s="116" t="s">
        <v>2443</v>
      </c>
      <c r="L1480" s="118" t="str">
        <f>IF(K1480="yes",("Sorry, question (8.01"&amp;RIGHT(B1478,2)&amp;") is required!"),"")</f>
        <v>Sorry, question (8.01ab) is required!</v>
      </c>
    </row>
    <row r="1481" spans="1:24" ht="14.25" customHeight="1">
      <c r="A1481" t="s">
        <v>955</v>
      </c>
      <c r="B1481" t="s">
        <v>1782</v>
      </c>
      <c r="E1481" s="118" t="s">
        <v>1960</v>
      </c>
      <c r="F1481" s="118" t="s">
        <v>6622</v>
      </c>
      <c r="H1481" s="206" t="str">
        <f>E1481</f>
        <v>(8.02ab) How many days per week is this service offered?</v>
      </c>
      <c r="I1481" s="213" t="str">
        <f t="shared" si="210"/>
        <v>integer</v>
      </c>
      <c r="J1481" s="106" t="s">
        <v>6625</v>
      </c>
      <c r="K1481" s="116" t="s">
        <v>2443</v>
      </c>
      <c r="L1481" s="118" t="str">
        <f>IF(K1481="yes",("Sorry, question "&amp;LEFT(E1481, 8)&amp;" is required!"),"")</f>
        <v>Sorry, question (8.02ab) is required!</v>
      </c>
      <c r="M1481" s="113" t="s">
        <v>6618</v>
      </c>
      <c r="N1481" t="str">
        <f xml:space="preserve"> LEFT(E1481,8) &amp; " MAXIMUM 7"</f>
        <v>(8.02ab) MAXIMUM 7</v>
      </c>
      <c r="O1481" s="110" t="s">
        <v>1568</v>
      </c>
    </row>
    <row r="1482" spans="1:24" ht="14.25" customHeight="1">
      <c r="A1482" t="s">
        <v>955</v>
      </c>
      <c r="B1482" t="s">
        <v>1783</v>
      </c>
      <c r="E1482" s="118" t="s">
        <v>2346</v>
      </c>
      <c r="F1482" s="118" t="s">
        <v>1881</v>
      </c>
      <c r="H1482" s="206" t="str">
        <f>E1482</f>
        <v>(8.03ab) What is the total price in Dalasi charged for Curative care for children &gt;5 years and adults? INTERVIEWER: IF NO CHARGE, RECORD "0".</v>
      </c>
      <c r="I1482" s="213" t="str">
        <f t="shared" si="210"/>
        <v>integer</v>
      </c>
      <c r="J1482" s="106" t="s">
        <v>3379</v>
      </c>
      <c r="K1482" s="116" t="s">
        <v>2443</v>
      </c>
      <c r="L1482" s="118" t="str">
        <f>IF(K1482="yes",("Sorry, question "&amp;LEFT(E1482, 8)&amp;" is required!"),"")</f>
        <v>Sorry, question (8.03ab) is required!</v>
      </c>
      <c r="M1482" s="113" t="s">
        <v>5398</v>
      </c>
      <c r="N1482" t="str">
        <f xml:space="preserve"> LEFT(E1481,8) &amp; " MINIMUM 0"</f>
        <v>(8.02ab) MINIMUM 0</v>
      </c>
      <c r="O1482" s="110" t="s">
        <v>1568</v>
      </c>
    </row>
    <row r="1483" spans="1:24" ht="14.25" customHeight="1">
      <c r="A1483" t="s">
        <v>15</v>
      </c>
      <c r="E1483" s="118" t="s">
        <v>1067</v>
      </c>
      <c r="I1483" s="213" t="str">
        <f t="shared" si="210"/>
        <v>end group</v>
      </c>
      <c r="X1483" t="s">
        <v>3032</v>
      </c>
    </row>
    <row r="1484" spans="1:24" ht="14.25" customHeight="1">
      <c r="A1484" t="s">
        <v>954</v>
      </c>
      <c r="B1484" t="s">
        <v>3235</v>
      </c>
      <c r="E1484" s="118" t="s">
        <v>1067</v>
      </c>
      <c r="I1484" s="213" t="str">
        <f t="shared" si="210"/>
        <v>begin group</v>
      </c>
      <c r="J1484" s="106" t="s">
        <v>3371</v>
      </c>
      <c r="L1484" s="118" t="str">
        <f>IF(K1484="yes",("Sorry, question "&amp;LEFT(E1484, 6)&amp;" is required!"),"")</f>
        <v/>
      </c>
      <c r="O1484" s="110" t="s">
        <v>1568</v>
      </c>
      <c r="X1484" t="s">
        <v>3032</v>
      </c>
    </row>
    <row r="1485" spans="1:24" ht="14.25" customHeight="1">
      <c r="A1485" t="s">
        <v>17</v>
      </c>
      <c r="B1485" t="s">
        <v>1784</v>
      </c>
      <c r="E1485" s="118" t="s">
        <v>3237</v>
      </c>
      <c r="F1485" s="117" t="s">
        <v>6662</v>
      </c>
      <c r="I1485" s="213" t="str">
        <f t="shared" si="210"/>
        <v>note</v>
      </c>
      <c r="J1485" s="106" t="s">
        <v>3370</v>
      </c>
      <c r="L1485" s="118" t="str">
        <f>IF(K1485="yes",("Sorry, question "&amp;LEFT(E1485, 6)&amp;" is required!"),"")</f>
        <v/>
      </c>
    </row>
    <row r="1486" spans="1:24" ht="14.25" customHeight="1">
      <c r="A1486" t="s">
        <v>17</v>
      </c>
      <c r="B1486" t="s">
        <v>1785</v>
      </c>
      <c r="E1486" s="118" t="s">
        <v>958</v>
      </c>
      <c r="I1486" s="213" t="str">
        <f t="shared" si="210"/>
        <v>note</v>
      </c>
      <c r="J1486" s="106" t="s">
        <v>3477</v>
      </c>
      <c r="L1486" s="118" t="str">
        <f>IF(K1486="yes",("Sorry, question "&amp;LEFT(E1486, 6)&amp;" is required!"),"")</f>
        <v/>
      </c>
    </row>
    <row r="1487" spans="1:24" ht="14.25" customHeight="1">
      <c r="A1487" t="s">
        <v>955</v>
      </c>
      <c r="B1487" t="s">
        <v>5171</v>
      </c>
      <c r="E1487" s="118" t="s">
        <v>959</v>
      </c>
      <c r="H1487" s="206" t="str">
        <f>"(8.04ab) TOTAL NUMBER OF "&amp;E1486&amp;" - "&amp;E1487</f>
        <v>(8.04ab) TOTAL NUMBER OF MONTH 1 - IN</v>
      </c>
      <c r="I1487" s="213" t="str">
        <f t="shared" si="210"/>
        <v>integer</v>
      </c>
      <c r="J1487" s="106" t="s">
        <v>4907</v>
      </c>
      <c r="K1487" s="116" t="s">
        <v>2443</v>
      </c>
      <c r="L1487" s="118" t="str">
        <f>IF(K1487="yes",("Sorry, question MONTH 1 is required!"),"")</f>
        <v>Sorry, question MONTH 1 is required!</v>
      </c>
      <c r="M1487" s="113" t="s">
        <v>5398</v>
      </c>
      <c r="N1487" t="s">
        <v>3961</v>
      </c>
    </row>
    <row r="1488" spans="1:24" ht="14.25" customHeight="1">
      <c r="A1488" t="s">
        <v>955</v>
      </c>
      <c r="B1488" t="s">
        <v>5159</v>
      </c>
      <c r="E1488" s="118" t="s">
        <v>960</v>
      </c>
      <c r="H1488" s="206" t="str">
        <f>"(8.04ab) TOTAL NUMBER OF "&amp;E1486&amp;" - "&amp;E1488</f>
        <v>(8.04ab) TOTAL NUMBER OF MONTH 1 - OUT</v>
      </c>
      <c r="I1488" s="213" t="str">
        <f t="shared" si="210"/>
        <v>integer</v>
      </c>
      <c r="J1488" s="106" t="s">
        <v>4908</v>
      </c>
      <c r="K1488" s="116" t="s">
        <v>2443</v>
      </c>
      <c r="L1488" s="118" t="str">
        <f t="shared" ref="L1488:L1492" si="211">IF(K1488="yes",("Sorry, question MONTH 1 is required!"),"")</f>
        <v>Sorry, question MONTH 1 is required!</v>
      </c>
      <c r="M1488" s="113" t="s">
        <v>5398</v>
      </c>
      <c r="N1488" t="s">
        <v>3962</v>
      </c>
    </row>
    <row r="1489" spans="1:24" ht="14.25" customHeight="1">
      <c r="A1489" t="s">
        <v>17</v>
      </c>
      <c r="B1489" t="s">
        <v>1786</v>
      </c>
      <c r="E1489" s="118" t="s">
        <v>961</v>
      </c>
      <c r="I1489" s="213" t="str">
        <f t="shared" si="210"/>
        <v>note</v>
      </c>
      <c r="J1489" s="106" t="s">
        <v>3478</v>
      </c>
      <c r="L1489" s="118" t="str">
        <f t="shared" si="211"/>
        <v/>
      </c>
    </row>
    <row r="1490" spans="1:24" ht="14.25" customHeight="1">
      <c r="A1490" t="s">
        <v>955</v>
      </c>
      <c r="B1490" t="s">
        <v>5135</v>
      </c>
      <c r="E1490" s="118" t="s">
        <v>959</v>
      </c>
      <c r="H1490" s="206" t="str">
        <f t="shared" ref="H1490:H1493" si="212">"(8.04ab) TOTAL NUMBER OF "&amp;E1489&amp;" - "&amp;E1490</f>
        <v>(8.04ab) TOTAL NUMBER OF MONTH 2 - IN</v>
      </c>
      <c r="I1490" s="213" t="str">
        <f t="shared" si="210"/>
        <v>integer</v>
      </c>
      <c r="J1490" s="106" t="s">
        <v>6621</v>
      </c>
      <c r="K1490" s="116" t="s">
        <v>2443</v>
      </c>
      <c r="L1490" s="118" t="str">
        <f>IF(K1490="yes",("Sorry, question MONTH 2 is required!"),"")</f>
        <v>Sorry, question MONTH 2 is required!</v>
      </c>
      <c r="M1490" s="113" t="s">
        <v>5398</v>
      </c>
      <c r="N1490" t="s">
        <v>3963</v>
      </c>
    </row>
    <row r="1491" spans="1:24" ht="14.25" customHeight="1">
      <c r="A1491" t="s">
        <v>955</v>
      </c>
      <c r="B1491" t="s">
        <v>5147</v>
      </c>
      <c r="E1491" s="118" t="s">
        <v>960</v>
      </c>
      <c r="H1491" s="206" t="str">
        <f>"(8.04ab) TOTAL NUMBER OF "&amp;E1489&amp;" - "&amp;E1491</f>
        <v>(8.04ab) TOTAL NUMBER OF MONTH 2 - OUT</v>
      </c>
      <c r="I1491" s="213" t="str">
        <f t="shared" si="210"/>
        <v>integer</v>
      </c>
      <c r="J1491" s="106" t="s">
        <v>6626</v>
      </c>
      <c r="K1491" s="116" t="s">
        <v>2443</v>
      </c>
      <c r="L1491" s="118" t="str">
        <f>IF(K1491="yes",("Sorry, question MONTH 2 is required!"),"")</f>
        <v>Sorry, question MONTH 2 is required!</v>
      </c>
      <c r="M1491" s="113" t="s">
        <v>5398</v>
      </c>
      <c r="N1491" t="s">
        <v>3964</v>
      </c>
    </row>
    <row r="1492" spans="1:24" ht="14.25" customHeight="1">
      <c r="A1492" t="s">
        <v>17</v>
      </c>
      <c r="B1492" t="s">
        <v>1787</v>
      </c>
      <c r="E1492" s="118" t="s">
        <v>962</v>
      </c>
      <c r="I1492" s="213" t="str">
        <f t="shared" si="210"/>
        <v>note</v>
      </c>
      <c r="J1492" s="106" t="s">
        <v>3480</v>
      </c>
      <c r="L1492" s="118" t="str">
        <f t="shared" si="211"/>
        <v/>
      </c>
    </row>
    <row r="1493" spans="1:24" ht="14.25" customHeight="1">
      <c r="A1493" t="s">
        <v>955</v>
      </c>
      <c r="B1493" t="s">
        <v>5123</v>
      </c>
      <c r="E1493" s="118" t="s">
        <v>959</v>
      </c>
      <c r="H1493" s="206" t="str">
        <f t="shared" si="212"/>
        <v>(8.04ab) TOTAL NUMBER OF MONTH 3 - IN</v>
      </c>
      <c r="I1493" s="213" t="str">
        <f t="shared" si="210"/>
        <v>integer</v>
      </c>
      <c r="J1493" s="106" t="s">
        <v>6629</v>
      </c>
      <c r="K1493" s="116" t="s">
        <v>2443</v>
      </c>
      <c r="L1493" s="118" t="str">
        <f>IF(K1493="yes",("Sorry, question MONTH 3 is required!"),"")</f>
        <v>Sorry, question MONTH 3 is required!</v>
      </c>
      <c r="M1493" s="113" t="s">
        <v>5398</v>
      </c>
      <c r="N1493" t="s">
        <v>4035</v>
      </c>
    </row>
    <row r="1494" spans="1:24" ht="14.25" customHeight="1">
      <c r="A1494" t="s">
        <v>955</v>
      </c>
      <c r="B1494" t="s">
        <v>5111</v>
      </c>
      <c r="E1494" s="118" t="s">
        <v>960</v>
      </c>
      <c r="H1494" s="206" t="str">
        <f>"(8.04ab) TOTAL NUMBER OF "&amp;E1492&amp;" - "&amp;E1494</f>
        <v>(8.04ab) TOTAL NUMBER OF MONTH 3 - OUT</v>
      </c>
      <c r="I1494" s="213" t="str">
        <f t="shared" si="210"/>
        <v>integer</v>
      </c>
      <c r="J1494" s="106" t="s">
        <v>6630</v>
      </c>
      <c r="K1494" s="116" t="s">
        <v>2443</v>
      </c>
      <c r="L1494" s="118" t="str">
        <f>IF(K1494="yes",("Sorry, question MONTH 3 is required!"),"")</f>
        <v>Sorry, question MONTH 3 is required!</v>
      </c>
      <c r="M1494" s="113" t="s">
        <v>5398</v>
      </c>
      <c r="N1494" t="s">
        <v>4036</v>
      </c>
    </row>
    <row r="1495" spans="1:24" ht="14.25" customHeight="1">
      <c r="A1495" t="s">
        <v>956</v>
      </c>
      <c r="E1495" s="118" t="s">
        <v>1067</v>
      </c>
      <c r="I1495" s="213" t="str">
        <f t="shared" si="210"/>
        <v>end group</v>
      </c>
      <c r="L1495" s="118" t="str">
        <f>IF(K1495="yes",("Sorry, question MONTH 3 is required!"),"")</f>
        <v/>
      </c>
      <c r="X1495" t="s">
        <v>3032</v>
      </c>
    </row>
    <row r="1496" spans="1:24" ht="14.25" customHeight="1">
      <c r="A1496" t="s">
        <v>954</v>
      </c>
      <c r="B1496" t="s">
        <v>3236</v>
      </c>
      <c r="E1496" s="118" t="s">
        <v>1067</v>
      </c>
      <c r="I1496" s="213" t="str">
        <f t="shared" si="210"/>
        <v>begin group</v>
      </c>
      <c r="J1496" s="106" t="s">
        <v>13</v>
      </c>
      <c r="X1496" t="s">
        <v>3032</v>
      </c>
    </row>
    <row r="1497" spans="1:24" ht="14.25" customHeight="1">
      <c r="A1497" t="s">
        <v>23</v>
      </c>
      <c r="B1497" s="107" t="s">
        <v>1788</v>
      </c>
      <c r="E1497" s="118" t="s">
        <v>3403</v>
      </c>
      <c r="F1497" s="118" t="s">
        <v>3396</v>
      </c>
      <c r="I1497" s="213" t="str">
        <f t="shared" si="210"/>
        <v>select_one yesno</v>
      </c>
      <c r="J1497" s="106" t="s">
        <v>1876</v>
      </c>
    </row>
    <row r="1498" spans="1:24" ht="14.25" customHeight="1">
      <c r="A1498" t="s">
        <v>23</v>
      </c>
      <c r="B1498" t="s">
        <v>1789</v>
      </c>
      <c r="E1498" s="118" t="s">
        <v>951</v>
      </c>
      <c r="H1498" s="206" t="str">
        <f>E1497&amp;E1498</f>
        <v>(8.01ac) Does this facility provide Child growth monitoring and nutritional advice within the facility and/or as outreach? In-facility</v>
      </c>
      <c r="I1498" s="213" t="str">
        <f t="shared" si="210"/>
        <v>select_one yesno</v>
      </c>
      <c r="J1498" s="106" t="s">
        <v>1878</v>
      </c>
      <c r="K1498" s="116" t="s">
        <v>2443</v>
      </c>
      <c r="L1498" s="118" t="str">
        <f>IF(K1498="yes",("Sorry, question (8.01"&amp;RIGHT(B1497,2)&amp;") is required!"),"")</f>
        <v>Sorry, question (8.01ac) is required!</v>
      </c>
    </row>
    <row r="1499" spans="1:24" ht="15">
      <c r="A1499" t="s">
        <v>23</v>
      </c>
      <c r="B1499" t="s">
        <v>1790</v>
      </c>
      <c r="E1499" s="118" t="s">
        <v>953</v>
      </c>
      <c r="H1499" s="206" t="str">
        <f>E1497&amp;E1499</f>
        <v>(8.01ac) Does this facility provide Child growth monitoring and nutritional advice within the facility and/or as outreach? Outreach</v>
      </c>
      <c r="I1499" s="213" t="str">
        <f t="shared" si="210"/>
        <v>select_one yesno</v>
      </c>
      <c r="J1499" s="106" t="s">
        <v>1878</v>
      </c>
      <c r="K1499" s="116" t="s">
        <v>2443</v>
      </c>
      <c r="L1499" s="118" t="str">
        <f>IF(K1499="yes",("Sorry, question (8.01"&amp;RIGHT(B1497,2)&amp;") is required!"),"")</f>
        <v>Sorry, question (8.01ac) is required!</v>
      </c>
    </row>
    <row r="1500" spans="1:24" ht="14.25" customHeight="1">
      <c r="A1500" t="s">
        <v>955</v>
      </c>
      <c r="B1500" t="s">
        <v>1791</v>
      </c>
      <c r="E1500" s="118" t="s">
        <v>1961</v>
      </c>
      <c r="F1500" s="118" t="s">
        <v>6622</v>
      </c>
      <c r="H1500" s="206" t="str">
        <f>E1500</f>
        <v>(8.02ac) How many days per week is this service offered?</v>
      </c>
      <c r="I1500" s="213" t="str">
        <f t="shared" si="210"/>
        <v>integer</v>
      </c>
      <c r="J1500" s="106" t="s">
        <v>6625</v>
      </c>
      <c r="K1500" s="116" t="s">
        <v>2443</v>
      </c>
      <c r="L1500" s="118" t="str">
        <f>IF(K1500="yes",("Sorry, question "&amp;LEFT(E1500, 8)&amp;" is required!"),"")</f>
        <v>Sorry, question (8.02ac) is required!</v>
      </c>
      <c r="M1500" s="113" t="s">
        <v>6618</v>
      </c>
      <c r="N1500" t="str">
        <f xml:space="preserve"> LEFT(E1500,8) &amp; " MAXIMUM 7"</f>
        <v>(8.02ac) MAXIMUM 7</v>
      </c>
      <c r="O1500" s="110" t="s">
        <v>1569</v>
      </c>
    </row>
    <row r="1501" spans="1:24" ht="14.25" customHeight="1">
      <c r="A1501" t="s">
        <v>955</v>
      </c>
      <c r="B1501" t="s">
        <v>1792</v>
      </c>
      <c r="E1501" s="118" t="s">
        <v>2347</v>
      </c>
      <c r="F1501" s="118" t="s">
        <v>1881</v>
      </c>
      <c r="H1501" s="206" t="str">
        <f>E1501</f>
        <v>(8.03ac) What is the total price in Dalasi charged for Child growth monitoring and nutritional advice? INTERVIEWER: IF NO CHARGE, RECORD "0".</v>
      </c>
      <c r="I1501" s="213" t="str">
        <f t="shared" si="210"/>
        <v>integer</v>
      </c>
      <c r="J1501" s="106" t="s">
        <v>3379</v>
      </c>
      <c r="K1501" s="116" t="s">
        <v>2443</v>
      </c>
      <c r="L1501" s="118" t="str">
        <f>IF(K1501="yes",("Sorry, question "&amp;LEFT(E1501, 8)&amp;" is required!"),"")</f>
        <v>Sorry, question (8.03ac) is required!</v>
      </c>
      <c r="M1501" s="113" t="s">
        <v>5398</v>
      </c>
      <c r="N1501" t="str">
        <f xml:space="preserve"> LEFT(E1500,8) &amp; " MINIMUM 0"</f>
        <v>(8.02ac) MINIMUM 0</v>
      </c>
      <c r="O1501" s="110" t="s">
        <v>1569</v>
      </c>
    </row>
    <row r="1502" spans="1:24" ht="14.25" customHeight="1">
      <c r="A1502" t="s">
        <v>15</v>
      </c>
      <c r="E1502" s="118" t="s">
        <v>1067</v>
      </c>
      <c r="I1502" s="213" t="str">
        <f t="shared" si="210"/>
        <v>end group</v>
      </c>
      <c r="X1502" t="s">
        <v>3032</v>
      </c>
    </row>
    <row r="1503" spans="1:24" ht="14.25" customHeight="1">
      <c r="A1503" t="s">
        <v>954</v>
      </c>
      <c r="B1503" t="s">
        <v>3239</v>
      </c>
      <c r="E1503" s="118" t="s">
        <v>1067</v>
      </c>
      <c r="I1503" s="213" t="str">
        <f t="shared" si="210"/>
        <v>begin group</v>
      </c>
      <c r="J1503" s="106" t="s">
        <v>3371</v>
      </c>
      <c r="L1503" s="118" t="str">
        <f>IF(K1503="yes",("Sorry, question "&amp;LEFT(E1503, 6)&amp;" is required!"),"")</f>
        <v/>
      </c>
      <c r="O1503" s="110" t="s">
        <v>1569</v>
      </c>
      <c r="X1503" t="s">
        <v>3032</v>
      </c>
    </row>
    <row r="1504" spans="1:24" ht="14.25" customHeight="1">
      <c r="A1504" t="s">
        <v>17</v>
      </c>
      <c r="B1504" t="s">
        <v>1793</v>
      </c>
      <c r="E1504" s="118" t="s">
        <v>3238</v>
      </c>
      <c r="F1504" s="117" t="s">
        <v>6662</v>
      </c>
      <c r="I1504" s="213" t="str">
        <f t="shared" si="210"/>
        <v>note</v>
      </c>
      <c r="J1504" s="106" t="s">
        <v>3370</v>
      </c>
      <c r="L1504" s="118" t="str">
        <f>IF(K1504="yes",("Sorry, question "&amp;LEFT(E1504, 6)&amp;" is required!"),"")</f>
        <v/>
      </c>
    </row>
    <row r="1505" spans="1:24" ht="14.25" customHeight="1">
      <c r="A1505" t="s">
        <v>17</v>
      </c>
      <c r="B1505" t="s">
        <v>1794</v>
      </c>
      <c r="E1505" s="118" t="s">
        <v>958</v>
      </c>
      <c r="I1505" s="213" t="str">
        <f t="shared" si="210"/>
        <v>note</v>
      </c>
      <c r="J1505" s="106" t="s">
        <v>3477</v>
      </c>
      <c r="L1505" s="118" t="str">
        <f>IF(K1505="yes",("Sorry, question "&amp;LEFT(E1505, 6)&amp;" is required!"),"")</f>
        <v/>
      </c>
    </row>
    <row r="1506" spans="1:24" ht="14.25" customHeight="1">
      <c r="A1506" t="s">
        <v>955</v>
      </c>
      <c r="B1506" t="s">
        <v>5172</v>
      </c>
      <c r="E1506" s="118" t="s">
        <v>959</v>
      </c>
      <c r="H1506" s="206" t="str">
        <f>"(8.04ac) TOTAL NUMBER OF "&amp;E1505&amp;" - "&amp;E1506</f>
        <v>(8.04ac) TOTAL NUMBER OF MONTH 1 - IN</v>
      </c>
      <c r="I1506" s="213" t="str">
        <f t="shared" si="210"/>
        <v>integer</v>
      </c>
      <c r="J1506" s="106" t="s">
        <v>4907</v>
      </c>
      <c r="K1506" s="116" t="s">
        <v>2443</v>
      </c>
      <c r="L1506" s="118" t="str">
        <f>IF(K1506="yes",("Sorry, question MONTH 1 is required!"),"")</f>
        <v>Sorry, question MONTH 1 is required!</v>
      </c>
      <c r="M1506" s="113" t="s">
        <v>5398</v>
      </c>
      <c r="N1506" t="s">
        <v>3965</v>
      </c>
    </row>
    <row r="1507" spans="1:24" ht="14.25" customHeight="1">
      <c r="A1507" t="s">
        <v>955</v>
      </c>
      <c r="B1507" t="s">
        <v>5160</v>
      </c>
      <c r="E1507" s="118" t="s">
        <v>960</v>
      </c>
      <c r="H1507" s="206" t="str">
        <f>"(8.04ac) TOTAL NUMBER OF "&amp;E1505&amp;" - "&amp;E1507</f>
        <v>(8.04ac) TOTAL NUMBER OF MONTH 1 - OUT</v>
      </c>
      <c r="I1507" s="213" t="str">
        <f t="shared" si="210"/>
        <v>integer</v>
      </c>
      <c r="J1507" s="106" t="s">
        <v>4908</v>
      </c>
      <c r="K1507" s="116" t="s">
        <v>2443</v>
      </c>
      <c r="L1507" s="118" t="str">
        <f t="shared" ref="L1507:L1511" si="213">IF(K1507="yes",("Sorry, question MONTH 1 is required!"),"")</f>
        <v>Sorry, question MONTH 1 is required!</v>
      </c>
      <c r="M1507" s="113" t="s">
        <v>5398</v>
      </c>
      <c r="N1507" t="s">
        <v>3966</v>
      </c>
    </row>
    <row r="1508" spans="1:24" ht="14.25" customHeight="1">
      <c r="A1508" t="s">
        <v>17</v>
      </c>
      <c r="B1508" t="s">
        <v>1795</v>
      </c>
      <c r="E1508" s="118" t="s">
        <v>961</v>
      </c>
      <c r="I1508" s="213" t="str">
        <f t="shared" si="210"/>
        <v>note</v>
      </c>
      <c r="J1508" s="106" t="s">
        <v>3478</v>
      </c>
      <c r="L1508" s="118" t="str">
        <f t="shared" si="213"/>
        <v/>
      </c>
    </row>
    <row r="1509" spans="1:24" ht="14.25" customHeight="1">
      <c r="A1509" t="s">
        <v>955</v>
      </c>
      <c r="B1509" t="s">
        <v>5136</v>
      </c>
      <c r="E1509" s="118" t="s">
        <v>959</v>
      </c>
      <c r="H1509" s="206" t="str">
        <f t="shared" ref="H1509:H1512" si="214">"(8.04ac) TOTAL NUMBER OF "&amp;E1508&amp;" - "&amp;E1509</f>
        <v>(8.04ac) TOTAL NUMBER OF MONTH 2 - IN</v>
      </c>
      <c r="I1509" s="213" t="str">
        <f t="shared" si="210"/>
        <v>integer</v>
      </c>
      <c r="J1509" s="106" t="s">
        <v>6621</v>
      </c>
      <c r="K1509" s="116" t="s">
        <v>2443</v>
      </c>
      <c r="L1509" s="118" t="str">
        <f>IF(K1509="yes",("Sorry, question MONTH 2 is required!"),"")</f>
        <v>Sorry, question MONTH 2 is required!</v>
      </c>
      <c r="M1509" s="113" t="s">
        <v>5398</v>
      </c>
      <c r="N1509" t="s">
        <v>3967</v>
      </c>
    </row>
    <row r="1510" spans="1:24" ht="14.25" customHeight="1">
      <c r="A1510" t="s">
        <v>955</v>
      </c>
      <c r="B1510" t="s">
        <v>5148</v>
      </c>
      <c r="E1510" s="118" t="s">
        <v>960</v>
      </c>
      <c r="H1510" s="206" t="str">
        <f>"(8.04ac) TOTAL NUMBER OF "&amp;E1508&amp;" - "&amp;E1510</f>
        <v>(8.04ac) TOTAL NUMBER OF MONTH 2 - OUT</v>
      </c>
      <c r="I1510" s="213" t="str">
        <f t="shared" si="210"/>
        <v>integer</v>
      </c>
      <c r="J1510" s="106" t="s">
        <v>6626</v>
      </c>
      <c r="K1510" s="116" t="s">
        <v>2443</v>
      </c>
      <c r="L1510" s="118" t="str">
        <f>IF(K1510="yes",("Sorry, question MONTH 2 is required!"),"")</f>
        <v>Sorry, question MONTH 2 is required!</v>
      </c>
      <c r="M1510" s="113" t="s">
        <v>5398</v>
      </c>
      <c r="N1510" t="s">
        <v>3968</v>
      </c>
    </row>
    <row r="1511" spans="1:24" ht="14.25" customHeight="1">
      <c r="A1511" t="s">
        <v>17</v>
      </c>
      <c r="B1511" t="s">
        <v>1796</v>
      </c>
      <c r="E1511" s="118" t="s">
        <v>962</v>
      </c>
      <c r="I1511" s="213" t="str">
        <f t="shared" si="210"/>
        <v>note</v>
      </c>
      <c r="J1511" s="106" t="s">
        <v>3480</v>
      </c>
      <c r="L1511" s="118" t="str">
        <f t="shared" si="213"/>
        <v/>
      </c>
    </row>
    <row r="1512" spans="1:24" ht="14.25" customHeight="1">
      <c r="A1512" t="s">
        <v>955</v>
      </c>
      <c r="B1512" t="s">
        <v>5124</v>
      </c>
      <c r="E1512" s="118" t="s">
        <v>959</v>
      </c>
      <c r="H1512" s="206" t="str">
        <f t="shared" si="214"/>
        <v>(8.04ac) TOTAL NUMBER OF MONTH 3 - IN</v>
      </c>
      <c r="I1512" s="213" t="str">
        <f t="shared" si="210"/>
        <v>integer</v>
      </c>
      <c r="J1512" s="106" t="s">
        <v>6629</v>
      </c>
      <c r="K1512" s="116" t="s">
        <v>2443</v>
      </c>
      <c r="L1512" s="118" t="str">
        <f>IF(K1512="yes",("Sorry, question MONTH 3 is required!"),"")</f>
        <v>Sorry, question MONTH 3 is required!</v>
      </c>
      <c r="M1512" s="113" t="s">
        <v>5398</v>
      </c>
      <c r="N1512" t="s">
        <v>4037</v>
      </c>
    </row>
    <row r="1513" spans="1:24" ht="14.25" customHeight="1">
      <c r="A1513" t="s">
        <v>955</v>
      </c>
      <c r="B1513" t="s">
        <v>5112</v>
      </c>
      <c r="E1513" s="118" t="s">
        <v>960</v>
      </c>
      <c r="H1513" s="206" t="str">
        <f>"(8.04ac) TOTAL NUMBER OF "&amp;E1511&amp;" - "&amp;E1513</f>
        <v>(8.04ac) TOTAL NUMBER OF MONTH 3 - OUT</v>
      </c>
      <c r="I1513" s="213" t="str">
        <f t="shared" si="210"/>
        <v>integer</v>
      </c>
      <c r="J1513" s="106" t="s">
        <v>6630</v>
      </c>
      <c r="K1513" s="116" t="s">
        <v>2443</v>
      </c>
      <c r="L1513" s="118" t="str">
        <f>IF(K1513="yes",("Sorry, question MONTH 3 is required!"),"")</f>
        <v>Sorry, question MONTH 3 is required!</v>
      </c>
      <c r="M1513" s="113" t="s">
        <v>5398</v>
      </c>
      <c r="N1513" t="s">
        <v>4038</v>
      </c>
    </row>
    <row r="1514" spans="1:24" ht="14.25" customHeight="1">
      <c r="A1514" t="s">
        <v>956</v>
      </c>
      <c r="E1514" s="118" t="s">
        <v>1067</v>
      </c>
      <c r="I1514" s="213" t="str">
        <f t="shared" si="210"/>
        <v>end group</v>
      </c>
      <c r="L1514" s="118" t="str">
        <f>IF(K1514="yes",("Sorry, question MONTH 3 is required!"),"")</f>
        <v/>
      </c>
      <c r="X1514" t="s">
        <v>3032</v>
      </c>
    </row>
    <row r="1515" spans="1:24" ht="14.25" customHeight="1">
      <c r="A1515" t="s">
        <v>954</v>
      </c>
      <c r="B1515" t="s">
        <v>3240</v>
      </c>
      <c r="E1515" s="118" t="s">
        <v>1067</v>
      </c>
      <c r="I1515" s="213" t="str">
        <f t="shared" si="210"/>
        <v>begin group</v>
      </c>
      <c r="J1515" s="106" t="s">
        <v>13</v>
      </c>
      <c r="X1515" t="s">
        <v>3032</v>
      </c>
    </row>
    <row r="1516" spans="1:24" ht="14.25" customHeight="1">
      <c r="A1516" t="s">
        <v>23</v>
      </c>
      <c r="B1516" s="107" t="s">
        <v>1797</v>
      </c>
      <c r="E1516" s="118" t="s">
        <v>3402</v>
      </c>
      <c r="F1516" s="118" t="s">
        <v>3396</v>
      </c>
      <c r="I1516" s="213" t="str">
        <f t="shared" si="210"/>
        <v>select_one yesno</v>
      </c>
      <c r="J1516" s="106" t="s">
        <v>1876</v>
      </c>
    </row>
    <row r="1517" spans="1:24" ht="14.25" customHeight="1">
      <c r="A1517" t="s">
        <v>23</v>
      </c>
      <c r="B1517" t="s">
        <v>1798</v>
      </c>
      <c r="E1517" s="118" t="s">
        <v>951</v>
      </c>
      <c r="H1517" s="206" t="str">
        <f>E1516&amp;E1517</f>
        <v>(8.01ad) Does this facility provide Treatment for severe acute malnutrition within the facility and/or as outreach? In-facility</v>
      </c>
      <c r="I1517" s="213" t="str">
        <f t="shared" si="210"/>
        <v>select_one yesno</v>
      </c>
      <c r="J1517" s="106" t="s">
        <v>1878</v>
      </c>
      <c r="K1517" s="116" t="s">
        <v>2443</v>
      </c>
      <c r="L1517" s="118" t="str">
        <f>IF(K1517="yes",("Sorry, question (8.01"&amp;RIGHT(B1516,2)&amp;") is required!"),"")</f>
        <v>Sorry, question (8.01ad) is required!</v>
      </c>
    </row>
    <row r="1518" spans="1:24" ht="14.25" customHeight="1">
      <c r="A1518" t="s">
        <v>23</v>
      </c>
      <c r="B1518" t="s">
        <v>1799</v>
      </c>
      <c r="E1518" s="118" t="s">
        <v>953</v>
      </c>
      <c r="H1518" s="206" t="str">
        <f>E1516&amp;E1518</f>
        <v>(8.01ad) Does this facility provide Treatment for severe acute malnutrition within the facility and/or as outreach? Outreach</v>
      </c>
      <c r="I1518" s="213" t="str">
        <f t="shared" si="210"/>
        <v>select_one yesno</v>
      </c>
      <c r="J1518" s="106" t="s">
        <v>1878</v>
      </c>
      <c r="K1518" s="116" t="s">
        <v>2443</v>
      </c>
      <c r="L1518" s="118" t="str">
        <f>IF(K1518="yes",("Sorry, question (8.01"&amp;RIGHT(B1516,2)&amp;") is required!"),"")</f>
        <v>Sorry, question (8.01ad) is required!</v>
      </c>
    </row>
    <row r="1519" spans="1:24" ht="14.25" customHeight="1">
      <c r="A1519" t="s">
        <v>955</v>
      </c>
      <c r="B1519" t="s">
        <v>1800</v>
      </c>
      <c r="E1519" s="118" t="s">
        <v>1962</v>
      </c>
      <c r="F1519" s="118" t="s">
        <v>6622</v>
      </c>
      <c r="H1519" s="206" t="str">
        <f>E1519</f>
        <v>(8.02ad) How many days per week is this service offered?</v>
      </c>
      <c r="I1519" s="213" t="str">
        <f t="shared" si="210"/>
        <v>integer</v>
      </c>
      <c r="J1519" s="106" t="s">
        <v>6625</v>
      </c>
      <c r="K1519" s="116" t="s">
        <v>2443</v>
      </c>
      <c r="L1519" s="118" t="str">
        <f>IF(K1519="yes",("Sorry, question "&amp;LEFT(E1519, 8)&amp;" is required!"),"")</f>
        <v>Sorry, question (8.02ad) is required!</v>
      </c>
      <c r="M1519" s="113" t="s">
        <v>6618</v>
      </c>
      <c r="N1519" t="str">
        <f xml:space="preserve"> LEFT(E1519,8) &amp; " MAXIMUM 7"</f>
        <v>(8.02ad) MAXIMUM 7</v>
      </c>
      <c r="O1519" s="110" t="s">
        <v>1570</v>
      </c>
    </row>
    <row r="1520" spans="1:24" ht="14.25" customHeight="1">
      <c r="A1520" t="s">
        <v>955</v>
      </c>
      <c r="B1520" t="s">
        <v>1801</v>
      </c>
      <c r="E1520" s="118" t="s">
        <v>2348</v>
      </c>
      <c r="F1520" s="118" t="s">
        <v>1881</v>
      </c>
      <c r="H1520" s="206" t="str">
        <f>E1520</f>
        <v>(8.03ad) What is the total price in Dalasi charged for Treatment for severe acute malnutrition? INTERVIEWER: IF NO CHARGE, RECORD "0".</v>
      </c>
      <c r="I1520" s="213" t="str">
        <f t="shared" si="210"/>
        <v>integer</v>
      </c>
      <c r="J1520" s="106" t="s">
        <v>3379</v>
      </c>
      <c r="K1520" s="116" t="s">
        <v>2443</v>
      </c>
      <c r="L1520" s="118" t="str">
        <f>IF(K1520="yes",("Sorry, question "&amp;LEFT(E1520, 8)&amp;" is required!"),"")</f>
        <v>Sorry, question (8.03ad) is required!</v>
      </c>
      <c r="M1520" s="113" t="s">
        <v>5398</v>
      </c>
      <c r="N1520" t="str">
        <f xml:space="preserve"> LEFT(E1519,8) &amp; " MINIMUM 0"</f>
        <v>(8.02ad) MINIMUM 0</v>
      </c>
      <c r="O1520" s="110" t="s">
        <v>1570</v>
      </c>
    </row>
    <row r="1521" spans="1:24" ht="14.25" customHeight="1">
      <c r="A1521" t="s">
        <v>15</v>
      </c>
      <c r="E1521" s="118" t="s">
        <v>1067</v>
      </c>
      <c r="I1521" s="213" t="str">
        <f t="shared" si="210"/>
        <v>end group</v>
      </c>
      <c r="X1521" t="s">
        <v>3032</v>
      </c>
    </row>
    <row r="1522" spans="1:24" ht="14.25" customHeight="1">
      <c r="A1522" t="s">
        <v>954</v>
      </c>
      <c r="B1522" t="s">
        <v>3242</v>
      </c>
      <c r="E1522" s="118" t="s">
        <v>1067</v>
      </c>
      <c r="I1522" s="213" t="str">
        <f t="shared" si="210"/>
        <v>begin group</v>
      </c>
      <c r="J1522" s="106" t="s">
        <v>3371</v>
      </c>
      <c r="L1522" s="118" t="str">
        <f>IF(K1522="yes",("Sorry, question "&amp;LEFT(E1522, 6)&amp;" is required!"),"")</f>
        <v/>
      </c>
      <c r="O1522" s="110" t="s">
        <v>1570</v>
      </c>
      <c r="X1522" t="s">
        <v>3032</v>
      </c>
    </row>
    <row r="1523" spans="1:24" ht="14.25" customHeight="1">
      <c r="A1523" t="s">
        <v>17</v>
      </c>
      <c r="B1523" t="s">
        <v>1802</v>
      </c>
      <c r="E1523" s="118" t="s">
        <v>3241</v>
      </c>
      <c r="F1523" s="117" t="s">
        <v>6662</v>
      </c>
      <c r="I1523" s="213" t="str">
        <f t="shared" si="210"/>
        <v>note</v>
      </c>
      <c r="J1523" s="106" t="s">
        <v>3370</v>
      </c>
      <c r="L1523" s="118" t="str">
        <f>IF(K1523="yes",("Sorry, question "&amp;LEFT(E1523, 6)&amp;" is required!"),"")</f>
        <v/>
      </c>
    </row>
    <row r="1524" spans="1:24" ht="14.25" customHeight="1">
      <c r="A1524" t="s">
        <v>17</v>
      </c>
      <c r="B1524" t="s">
        <v>1803</v>
      </c>
      <c r="E1524" s="118" t="s">
        <v>958</v>
      </c>
      <c r="I1524" s="213" t="str">
        <f t="shared" si="210"/>
        <v>note</v>
      </c>
      <c r="J1524" s="106" t="s">
        <v>3477</v>
      </c>
      <c r="L1524" s="118" t="str">
        <f>IF(K1524="yes",("Sorry, question "&amp;LEFT(E1524, 6)&amp;" is required!"),"")</f>
        <v/>
      </c>
    </row>
    <row r="1525" spans="1:24" ht="14.25" customHeight="1">
      <c r="A1525" t="s">
        <v>955</v>
      </c>
      <c r="B1525" t="s">
        <v>5173</v>
      </c>
      <c r="E1525" s="118" t="s">
        <v>959</v>
      </c>
      <c r="H1525" s="206" t="str">
        <f>"(8.04ad) TOTAL NUMBER OF "&amp;E1524&amp;" - "&amp;E1525</f>
        <v>(8.04ad) TOTAL NUMBER OF MONTH 1 - IN</v>
      </c>
      <c r="I1525" s="213" t="str">
        <f t="shared" si="210"/>
        <v>integer</v>
      </c>
      <c r="J1525" s="106" t="s">
        <v>4907</v>
      </c>
      <c r="K1525" s="116" t="s">
        <v>2443</v>
      </c>
      <c r="L1525" s="118" t="str">
        <f>IF(K1525="yes",("Sorry, question MONTH 1 is required!"),"")</f>
        <v>Sorry, question MONTH 1 is required!</v>
      </c>
      <c r="M1525" s="113" t="s">
        <v>5398</v>
      </c>
      <c r="N1525" t="s">
        <v>3969</v>
      </c>
    </row>
    <row r="1526" spans="1:24" ht="14.25" customHeight="1">
      <c r="A1526" t="s">
        <v>955</v>
      </c>
      <c r="B1526" t="s">
        <v>5161</v>
      </c>
      <c r="E1526" s="118" t="s">
        <v>960</v>
      </c>
      <c r="H1526" s="206" t="str">
        <f>"(8.04ad) TOTAL NUMBER OF "&amp;E1524&amp;" - "&amp;E1526</f>
        <v>(8.04ad) TOTAL NUMBER OF MONTH 1 - OUT</v>
      </c>
      <c r="I1526" s="213" t="str">
        <f t="shared" si="210"/>
        <v>integer</v>
      </c>
      <c r="J1526" s="106" t="s">
        <v>4908</v>
      </c>
      <c r="K1526" s="116" t="s">
        <v>2443</v>
      </c>
      <c r="L1526" s="118" t="str">
        <f t="shared" ref="L1526:L1530" si="215">IF(K1526="yes",("Sorry, question MONTH 1 is required!"),"")</f>
        <v>Sorry, question MONTH 1 is required!</v>
      </c>
      <c r="M1526" s="113" t="s">
        <v>5398</v>
      </c>
      <c r="N1526" t="s">
        <v>3970</v>
      </c>
    </row>
    <row r="1527" spans="1:24" ht="14.25" customHeight="1">
      <c r="A1527" t="s">
        <v>17</v>
      </c>
      <c r="B1527" t="s">
        <v>1804</v>
      </c>
      <c r="E1527" s="118" t="s">
        <v>961</v>
      </c>
      <c r="I1527" s="213" t="str">
        <f t="shared" si="210"/>
        <v>note</v>
      </c>
      <c r="J1527" s="106" t="s">
        <v>3478</v>
      </c>
      <c r="L1527" s="118" t="str">
        <f t="shared" si="215"/>
        <v/>
      </c>
    </row>
    <row r="1528" spans="1:24" ht="14.25" customHeight="1">
      <c r="A1528" t="s">
        <v>955</v>
      </c>
      <c r="B1528" t="s">
        <v>5137</v>
      </c>
      <c r="E1528" s="118" t="s">
        <v>959</v>
      </c>
      <c r="H1528" s="206" t="str">
        <f>"(8.04ad) TOTAL NUMBER OF "&amp;E1527&amp;" - "&amp;E1528</f>
        <v>(8.04ad) TOTAL NUMBER OF MONTH 2 - IN</v>
      </c>
      <c r="I1528" s="213" t="str">
        <f t="shared" si="210"/>
        <v>integer</v>
      </c>
      <c r="J1528" s="106" t="s">
        <v>6621</v>
      </c>
      <c r="K1528" s="116" t="s">
        <v>2443</v>
      </c>
      <c r="L1528" s="118" t="str">
        <f>IF(K1528="yes",("Sorry, question MONTH 2 is required!"),"")</f>
        <v>Sorry, question MONTH 2 is required!</v>
      </c>
      <c r="M1528" s="113" t="s">
        <v>5398</v>
      </c>
      <c r="N1528" t="s">
        <v>3971</v>
      </c>
    </row>
    <row r="1529" spans="1:24" ht="14.25" customHeight="1">
      <c r="A1529" t="s">
        <v>955</v>
      </c>
      <c r="B1529" t="s">
        <v>5149</v>
      </c>
      <c r="E1529" s="118" t="s">
        <v>960</v>
      </c>
      <c r="H1529" s="206" t="str">
        <f>"(8.04ad) TOTAL NUMBER OF "&amp;E1527&amp;" - "&amp;E1529</f>
        <v>(8.04ad) TOTAL NUMBER OF MONTH 2 - OUT</v>
      </c>
      <c r="I1529" s="213" t="str">
        <f t="shared" si="210"/>
        <v>integer</v>
      </c>
      <c r="J1529" s="106" t="s">
        <v>6626</v>
      </c>
      <c r="K1529" s="116" t="s">
        <v>2443</v>
      </c>
      <c r="L1529" s="118" t="str">
        <f>IF(K1529="yes",("Sorry, question MONTH 2 is required!"),"")</f>
        <v>Sorry, question MONTH 2 is required!</v>
      </c>
      <c r="M1529" s="113" t="s">
        <v>5398</v>
      </c>
      <c r="N1529" t="s">
        <v>3972</v>
      </c>
    </row>
    <row r="1530" spans="1:24" ht="14.25" customHeight="1">
      <c r="A1530" t="s">
        <v>17</v>
      </c>
      <c r="B1530" t="s">
        <v>1805</v>
      </c>
      <c r="E1530" s="118" t="s">
        <v>962</v>
      </c>
      <c r="I1530" s="213" t="str">
        <f t="shared" si="210"/>
        <v>note</v>
      </c>
      <c r="J1530" s="106" t="s">
        <v>3480</v>
      </c>
      <c r="L1530" s="118" t="str">
        <f t="shared" si="215"/>
        <v/>
      </c>
    </row>
    <row r="1531" spans="1:24" ht="14.25" customHeight="1">
      <c r="A1531" t="s">
        <v>955</v>
      </c>
      <c r="B1531" t="s">
        <v>5125</v>
      </c>
      <c r="E1531" s="118" t="s">
        <v>959</v>
      </c>
      <c r="H1531" s="206" t="str">
        <f>"(8.04ad) TOTAL NUMBER OF "&amp;E1530&amp;" - "&amp;E1531</f>
        <v>(8.04ad) TOTAL NUMBER OF MONTH 3 - IN</v>
      </c>
      <c r="I1531" s="213" t="str">
        <f t="shared" si="210"/>
        <v>integer</v>
      </c>
      <c r="J1531" s="106" t="s">
        <v>6629</v>
      </c>
      <c r="K1531" s="116" t="s">
        <v>2443</v>
      </c>
      <c r="L1531" s="118" t="str">
        <f>IF(K1531="yes",("Sorry, question MONTH 3 is required!"),"")</f>
        <v>Sorry, question MONTH 3 is required!</v>
      </c>
      <c r="M1531" s="113" t="s">
        <v>5398</v>
      </c>
      <c r="N1531" t="s">
        <v>4039</v>
      </c>
    </row>
    <row r="1532" spans="1:24" ht="14.25" customHeight="1">
      <c r="A1532" t="s">
        <v>955</v>
      </c>
      <c r="B1532" t="s">
        <v>5113</v>
      </c>
      <c r="E1532" s="118" t="s">
        <v>960</v>
      </c>
      <c r="H1532" s="206" t="str">
        <f>"(8.04ad) TOTAL NUMBER OF "&amp;E1530&amp;" - "&amp;E1532</f>
        <v>(8.04ad) TOTAL NUMBER OF MONTH 3 - OUT</v>
      </c>
      <c r="I1532" s="213" t="str">
        <f t="shared" si="210"/>
        <v>integer</v>
      </c>
      <c r="J1532" s="106" t="s">
        <v>6630</v>
      </c>
      <c r="K1532" s="116" t="s">
        <v>2443</v>
      </c>
      <c r="L1532" s="118" t="str">
        <f>IF(K1532="yes",("Sorry, question MONTH 3 is required!"),"")</f>
        <v>Sorry, question MONTH 3 is required!</v>
      </c>
      <c r="M1532" s="113" t="s">
        <v>5398</v>
      </c>
      <c r="N1532" t="s">
        <v>4040</v>
      </c>
    </row>
    <row r="1533" spans="1:24" ht="14.25" customHeight="1">
      <c r="A1533" t="s">
        <v>956</v>
      </c>
      <c r="I1533" s="213" t="str">
        <f t="shared" si="210"/>
        <v>end group</v>
      </c>
      <c r="L1533" s="118" t="str">
        <f>IF(K1533="yes",("Sorry, question MONTH 3 is required!"),"")</f>
        <v/>
      </c>
      <c r="X1533" t="s">
        <v>3032</v>
      </c>
    </row>
    <row r="1534" spans="1:24" ht="14.25" customHeight="1">
      <c r="A1534" t="s">
        <v>954</v>
      </c>
      <c r="B1534" t="s">
        <v>3243</v>
      </c>
      <c r="E1534" s="118" t="s">
        <v>1067</v>
      </c>
      <c r="I1534" s="213" t="str">
        <f t="shared" si="210"/>
        <v>begin group</v>
      </c>
      <c r="J1534" s="106" t="s">
        <v>13</v>
      </c>
      <c r="X1534" t="s">
        <v>3032</v>
      </c>
    </row>
    <row r="1535" spans="1:24" ht="14.25" customHeight="1">
      <c r="A1535" t="s">
        <v>23</v>
      </c>
      <c r="B1535" s="107" t="s">
        <v>1806</v>
      </c>
      <c r="E1535" s="118" t="s">
        <v>3401</v>
      </c>
      <c r="F1535" s="118" t="s">
        <v>3398</v>
      </c>
      <c r="I1535" s="213" t="str">
        <f t="shared" si="210"/>
        <v>select_one yesno</v>
      </c>
      <c r="J1535" s="106" t="s">
        <v>1876</v>
      </c>
    </row>
    <row r="1536" spans="1:24" ht="14.25" customHeight="1">
      <c r="A1536" t="s">
        <v>23</v>
      </c>
      <c r="B1536" t="s">
        <v>1807</v>
      </c>
      <c r="E1536" s="118" t="s">
        <v>951</v>
      </c>
      <c r="H1536" s="206" t="str">
        <f>E1535&amp;E1536</f>
        <v>(8.01ae) Does this facility provide Malaria treatment with Artemisinin-based Combination Therapy (ACT) within the facility and/or as outreach?In-facility</v>
      </c>
      <c r="I1536" s="213" t="str">
        <f t="shared" si="210"/>
        <v>select_one yesno</v>
      </c>
      <c r="J1536" s="106" t="s">
        <v>1878</v>
      </c>
      <c r="K1536" s="116" t="s">
        <v>2443</v>
      </c>
      <c r="L1536" s="118" t="str">
        <f>IF(K1536="yes",("Sorry, question (8.01"&amp;RIGHT(B1535,2)&amp;") is required!"),"")</f>
        <v>Sorry, question (8.01ae) is required!</v>
      </c>
    </row>
    <row r="1537" spans="1:24" ht="14.25" customHeight="1">
      <c r="A1537" t="s">
        <v>23</v>
      </c>
      <c r="B1537" t="s">
        <v>1808</v>
      </c>
      <c r="E1537" s="118" t="s">
        <v>953</v>
      </c>
      <c r="H1537" s="206" t="str">
        <f>E1535&amp;E1537</f>
        <v>(8.01ae) Does this facility provide Malaria treatment with Artemisinin-based Combination Therapy (ACT) within the facility and/or as outreach?Outreach</v>
      </c>
      <c r="I1537" s="213" t="str">
        <f t="shared" ref="I1537:I1600" si="216">A1537</f>
        <v>select_one yesno</v>
      </c>
      <c r="J1537" s="106" t="s">
        <v>1878</v>
      </c>
      <c r="K1537" s="116" t="s">
        <v>2443</v>
      </c>
      <c r="L1537" s="118" t="str">
        <f>IF(K1537="yes",("Sorry, question (8.01"&amp;RIGHT(B1535,2)&amp;") is required!"),"")</f>
        <v>Sorry, question (8.01ae) is required!</v>
      </c>
    </row>
    <row r="1538" spans="1:24" ht="14.25" customHeight="1">
      <c r="A1538" t="s">
        <v>955</v>
      </c>
      <c r="B1538" t="s">
        <v>1809</v>
      </c>
      <c r="E1538" s="118" t="s">
        <v>1963</v>
      </c>
      <c r="F1538" s="118" t="s">
        <v>6622</v>
      </c>
      <c r="H1538" s="206" t="str">
        <f>E1538</f>
        <v>(8.02ae) How many days per week is this service offered?</v>
      </c>
      <c r="I1538" s="213" t="str">
        <f t="shared" si="216"/>
        <v>integer</v>
      </c>
      <c r="J1538" s="106" t="s">
        <v>6625</v>
      </c>
      <c r="K1538" s="116" t="s">
        <v>2443</v>
      </c>
      <c r="L1538" s="118" t="str">
        <f>IF(K1538="yes",("Sorry, question "&amp;LEFT(E1538, 8)&amp;" is required!"),"")</f>
        <v>Sorry, question (8.02ae) is required!</v>
      </c>
      <c r="M1538" s="113" t="s">
        <v>6618</v>
      </c>
      <c r="N1538" t="str">
        <f xml:space="preserve"> LEFT(E1538,8) &amp; " MAXIMUM 7"</f>
        <v>(8.02ae) MAXIMUM 7</v>
      </c>
      <c r="O1538" s="110" t="s">
        <v>1571</v>
      </c>
    </row>
    <row r="1539" spans="1:24" ht="14.25" customHeight="1">
      <c r="A1539" t="s">
        <v>955</v>
      </c>
      <c r="B1539" t="s">
        <v>1810</v>
      </c>
      <c r="E1539" s="118" t="s">
        <v>2349</v>
      </c>
      <c r="F1539" s="118" t="s">
        <v>1881</v>
      </c>
      <c r="H1539" s="206" t="str">
        <f>E1539</f>
        <v>(8.03ae) What is the total price in Dalasi charged for Malaria treatment with Artemisinin-based Combination Therapy (ACT)? INTERVIEWER: IF NO CHARGE, RECORD "0".</v>
      </c>
      <c r="I1539" s="213" t="str">
        <f t="shared" si="216"/>
        <v>integer</v>
      </c>
      <c r="J1539" s="106" t="s">
        <v>3379</v>
      </c>
      <c r="K1539" s="116" t="s">
        <v>2443</v>
      </c>
      <c r="L1539" s="118" t="str">
        <f>IF(K1539="yes",("Sorry, question "&amp;LEFT(E1539, 8)&amp;" is required!"),"")</f>
        <v>Sorry, question (8.03ae) is required!</v>
      </c>
      <c r="M1539" s="113" t="s">
        <v>5398</v>
      </c>
      <c r="N1539" t="str">
        <f xml:space="preserve"> LEFT(E1538,8) &amp; " MINIMUM 0"</f>
        <v>(8.02ae) MINIMUM 0</v>
      </c>
      <c r="O1539" s="110" t="s">
        <v>1571</v>
      </c>
    </row>
    <row r="1540" spans="1:24" ht="14.25" customHeight="1">
      <c r="A1540" t="s">
        <v>15</v>
      </c>
      <c r="E1540" s="118" t="s">
        <v>1067</v>
      </c>
      <c r="I1540" s="213" t="str">
        <f t="shared" si="216"/>
        <v>end group</v>
      </c>
      <c r="X1540" t="s">
        <v>3032</v>
      </c>
    </row>
    <row r="1541" spans="1:24" ht="14.25" customHeight="1">
      <c r="A1541" t="s">
        <v>954</v>
      </c>
      <c r="B1541" t="s">
        <v>3245</v>
      </c>
      <c r="E1541" s="118" t="s">
        <v>1067</v>
      </c>
      <c r="I1541" s="213" t="str">
        <f t="shared" si="216"/>
        <v>begin group</v>
      </c>
      <c r="J1541" s="106" t="s">
        <v>3371</v>
      </c>
      <c r="L1541" s="118" t="str">
        <f>IF(K1541="yes",("Sorry, question "&amp;LEFT(E1541, 6)&amp;" is required!"),"")</f>
        <v/>
      </c>
      <c r="O1541" s="110" t="s">
        <v>1571</v>
      </c>
      <c r="X1541" t="s">
        <v>3032</v>
      </c>
    </row>
    <row r="1542" spans="1:24" ht="14.25" customHeight="1">
      <c r="A1542" t="s">
        <v>17</v>
      </c>
      <c r="B1542" t="s">
        <v>1811</v>
      </c>
      <c r="E1542" s="118" t="s">
        <v>3244</v>
      </c>
      <c r="F1542" s="117" t="s">
        <v>6662</v>
      </c>
      <c r="I1542" s="213" t="str">
        <f t="shared" si="216"/>
        <v>note</v>
      </c>
      <c r="J1542" s="106" t="s">
        <v>3370</v>
      </c>
      <c r="L1542" s="118" t="str">
        <f>IF(K1542="yes",("Sorry, question "&amp;LEFT(E1542, 6)&amp;" is required!"),"")</f>
        <v/>
      </c>
    </row>
    <row r="1543" spans="1:24" ht="14.25" customHeight="1">
      <c r="A1543" t="s">
        <v>17</v>
      </c>
      <c r="B1543" t="s">
        <v>1812</v>
      </c>
      <c r="E1543" s="118" t="s">
        <v>958</v>
      </c>
      <c r="I1543" s="213" t="str">
        <f t="shared" si="216"/>
        <v>note</v>
      </c>
      <c r="J1543" s="106" t="s">
        <v>3477</v>
      </c>
      <c r="L1543" s="118" t="str">
        <f>IF(K1543="yes",("Sorry, question "&amp;LEFT(E1543, 6)&amp;" is required!"),"")</f>
        <v/>
      </c>
    </row>
    <row r="1544" spans="1:24" ht="14.25" customHeight="1">
      <c r="A1544" t="s">
        <v>955</v>
      </c>
      <c r="B1544" t="s">
        <v>5174</v>
      </c>
      <c r="E1544" s="118" t="s">
        <v>959</v>
      </c>
      <c r="H1544" s="206" t="str">
        <f>"(8.04ae) TOTAL NUMBER OF "&amp;E1543&amp;" - "&amp;E1544</f>
        <v>(8.04ae) TOTAL NUMBER OF MONTH 1 - IN</v>
      </c>
      <c r="I1544" s="213" t="str">
        <f t="shared" si="216"/>
        <v>integer</v>
      </c>
      <c r="J1544" s="106" t="s">
        <v>4907</v>
      </c>
      <c r="K1544" s="116" t="s">
        <v>2443</v>
      </c>
      <c r="L1544" s="118" t="str">
        <f>IF(K1544="yes",("Sorry, question MONTH 1 is required!"),"")</f>
        <v>Sorry, question MONTH 1 is required!</v>
      </c>
      <c r="M1544" s="113" t="s">
        <v>5398</v>
      </c>
      <c r="N1544" t="s">
        <v>3973</v>
      </c>
    </row>
    <row r="1545" spans="1:24" ht="14.25" customHeight="1">
      <c r="A1545" t="s">
        <v>955</v>
      </c>
      <c r="B1545" t="s">
        <v>5162</v>
      </c>
      <c r="E1545" s="118" t="s">
        <v>960</v>
      </c>
      <c r="H1545" s="206" t="str">
        <f>"(8.04ae) TOTAL NUMBER OF "&amp;E1543&amp;" - "&amp;E1545</f>
        <v>(8.04ae) TOTAL NUMBER OF MONTH 1 - OUT</v>
      </c>
      <c r="I1545" s="213" t="str">
        <f t="shared" si="216"/>
        <v>integer</v>
      </c>
      <c r="J1545" s="106" t="s">
        <v>4908</v>
      </c>
      <c r="K1545" s="116" t="s">
        <v>2443</v>
      </c>
      <c r="L1545" s="118" t="str">
        <f t="shared" ref="L1545:L1549" si="217">IF(K1545="yes",("Sorry, question MONTH 1 is required!"),"")</f>
        <v>Sorry, question MONTH 1 is required!</v>
      </c>
      <c r="M1545" s="113" t="s">
        <v>5398</v>
      </c>
      <c r="N1545" t="s">
        <v>3974</v>
      </c>
    </row>
    <row r="1546" spans="1:24" ht="14.25" customHeight="1">
      <c r="A1546" t="s">
        <v>17</v>
      </c>
      <c r="B1546" t="s">
        <v>1813</v>
      </c>
      <c r="E1546" s="118" t="s">
        <v>961</v>
      </c>
      <c r="I1546" s="213" t="str">
        <f t="shared" si="216"/>
        <v>note</v>
      </c>
      <c r="J1546" s="106" t="s">
        <v>3478</v>
      </c>
      <c r="L1546" s="118" t="str">
        <f t="shared" si="217"/>
        <v/>
      </c>
    </row>
    <row r="1547" spans="1:24" ht="14.25" customHeight="1">
      <c r="A1547" t="s">
        <v>955</v>
      </c>
      <c r="B1547" t="s">
        <v>5138</v>
      </c>
      <c r="E1547" s="118" t="s">
        <v>959</v>
      </c>
      <c r="H1547" s="206" t="str">
        <f>"(8.04ae) TOTAL NUMBER OF "&amp;E1546&amp;" - "&amp;E1547</f>
        <v>(8.04ae) TOTAL NUMBER OF MONTH 2 - IN</v>
      </c>
      <c r="I1547" s="213" t="str">
        <f t="shared" si="216"/>
        <v>integer</v>
      </c>
      <c r="J1547" s="106" t="s">
        <v>6621</v>
      </c>
      <c r="K1547" s="116" t="s">
        <v>2443</v>
      </c>
      <c r="L1547" s="118" t="str">
        <f>IF(K1547="yes",("Sorry, question MONTH 2 is required!"),"")</f>
        <v>Sorry, question MONTH 2 is required!</v>
      </c>
      <c r="M1547" s="113" t="s">
        <v>5398</v>
      </c>
      <c r="N1547" t="s">
        <v>3975</v>
      </c>
    </row>
    <row r="1548" spans="1:24" ht="14.25" customHeight="1">
      <c r="A1548" t="s">
        <v>955</v>
      </c>
      <c r="B1548" t="s">
        <v>5150</v>
      </c>
      <c r="E1548" s="118" t="s">
        <v>960</v>
      </c>
      <c r="H1548" s="206" t="str">
        <f>"(8.04ae) TOTAL NUMBER OF "&amp;E1546&amp;" - "&amp;E1548</f>
        <v>(8.04ae) TOTAL NUMBER OF MONTH 2 - OUT</v>
      </c>
      <c r="I1548" s="213" t="str">
        <f t="shared" si="216"/>
        <v>integer</v>
      </c>
      <c r="J1548" s="106" t="s">
        <v>6626</v>
      </c>
      <c r="K1548" s="116" t="s">
        <v>2443</v>
      </c>
      <c r="L1548" s="118" t="str">
        <f>IF(K1548="yes",("Sorry, question MONTH 2 is required!"),"")</f>
        <v>Sorry, question MONTH 2 is required!</v>
      </c>
      <c r="M1548" s="113" t="s">
        <v>5398</v>
      </c>
      <c r="N1548" t="s">
        <v>3976</v>
      </c>
    </row>
    <row r="1549" spans="1:24" ht="14.25" customHeight="1">
      <c r="A1549" t="s">
        <v>17</v>
      </c>
      <c r="B1549" t="s">
        <v>1814</v>
      </c>
      <c r="E1549" s="118" t="s">
        <v>962</v>
      </c>
      <c r="I1549" s="213" t="str">
        <f t="shared" si="216"/>
        <v>note</v>
      </c>
      <c r="J1549" s="106" t="s">
        <v>3480</v>
      </c>
      <c r="L1549" s="118" t="str">
        <f t="shared" si="217"/>
        <v/>
      </c>
    </row>
    <row r="1550" spans="1:24" ht="14.25" customHeight="1">
      <c r="A1550" t="s">
        <v>955</v>
      </c>
      <c r="B1550" t="s">
        <v>5126</v>
      </c>
      <c r="E1550" s="118" t="s">
        <v>959</v>
      </c>
      <c r="H1550" s="206" t="str">
        <f>"(8.04ae) TOTAL NUMBER OF "&amp;E1549&amp;" - "&amp;E1550</f>
        <v>(8.04ae) TOTAL NUMBER OF MONTH 3 - IN</v>
      </c>
      <c r="I1550" s="213" t="str">
        <f t="shared" si="216"/>
        <v>integer</v>
      </c>
      <c r="J1550" s="106" t="s">
        <v>6629</v>
      </c>
      <c r="K1550" s="116" t="s">
        <v>2443</v>
      </c>
      <c r="L1550" s="118" t="str">
        <f>IF(K1550="yes",("Sorry, question MONTH 3 is required!"),"")</f>
        <v>Sorry, question MONTH 3 is required!</v>
      </c>
      <c r="M1550" s="113" t="s">
        <v>5398</v>
      </c>
      <c r="N1550" t="s">
        <v>4041</v>
      </c>
    </row>
    <row r="1551" spans="1:24" ht="14.25" customHeight="1">
      <c r="A1551" t="s">
        <v>955</v>
      </c>
      <c r="B1551" t="s">
        <v>5114</v>
      </c>
      <c r="E1551" s="118" t="s">
        <v>960</v>
      </c>
      <c r="H1551" s="206" t="str">
        <f>"(8.04ae) TOTAL NUMBER OF "&amp;E1549&amp;" - "&amp;E1551</f>
        <v>(8.04ae) TOTAL NUMBER OF MONTH 3 - OUT</v>
      </c>
      <c r="I1551" s="213" t="str">
        <f t="shared" si="216"/>
        <v>integer</v>
      </c>
      <c r="J1551" s="106" t="s">
        <v>6630</v>
      </c>
      <c r="K1551" s="116" t="s">
        <v>2443</v>
      </c>
      <c r="L1551" s="118" t="str">
        <f>IF(K1551="yes",("Sorry, question MONTH 3 is required!"),"")</f>
        <v>Sorry, question MONTH 3 is required!</v>
      </c>
      <c r="M1551" s="113" t="s">
        <v>5398</v>
      </c>
      <c r="N1551" t="s">
        <v>4042</v>
      </c>
    </row>
    <row r="1552" spans="1:24" ht="14.25" customHeight="1">
      <c r="A1552" t="s">
        <v>956</v>
      </c>
      <c r="E1552" s="118" t="s">
        <v>1067</v>
      </c>
      <c r="I1552" s="213" t="str">
        <f t="shared" si="216"/>
        <v>end group</v>
      </c>
      <c r="L1552" s="118" t="str">
        <f>IF(K1552="yes",("Sorry, question MONTH 3 is required!"),"")</f>
        <v/>
      </c>
      <c r="X1552" t="s">
        <v>3032</v>
      </c>
    </row>
    <row r="1553" spans="1:24" ht="14.25" customHeight="1">
      <c r="A1553" t="s">
        <v>954</v>
      </c>
      <c r="B1553" t="s">
        <v>3247</v>
      </c>
      <c r="E1553" s="118" t="s">
        <v>1067</v>
      </c>
      <c r="I1553" s="213" t="str">
        <f t="shared" si="216"/>
        <v>begin group</v>
      </c>
      <c r="J1553" s="106" t="s">
        <v>13</v>
      </c>
      <c r="X1553" t="s">
        <v>3032</v>
      </c>
    </row>
    <row r="1554" spans="1:24" ht="14.25" customHeight="1">
      <c r="A1554" t="s">
        <v>23</v>
      </c>
      <c r="B1554" s="107" t="s">
        <v>1815</v>
      </c>
      <c r="E1554" s="118" t="s">
        <v>3400</v>
      </c>
      <c r="F1554" s="118" t="s">
        <v>3396</v>
      </c>
      <c r="I1554" s="213" t="str">
        <f t="shared" si="216"/>
        <v>select_one yesno</v>
      </c>
      <c r="J1554" s="106" t="s">
        <v>1876</v>
      </c>
    </row>
    <row r="1555" spans="1:24" ht="14.25" customHeight="1">
      <c r="A1555" t="s">
        <v>23</v>
      </c>
      <c r="B1555" t="s">
        <v>1816</v>
      </c>
      <c r="E1555" s="118" t="s">
        <v>951</v>
      </c>
      <c r="H1555" s="206" t="str">
        <f>E1554&amp;E1555</f>
        <v>(8.01af) Does this facility provide Tuberculosis diagnosis within the facility and/or as outreach? In-facility</v>
      </c>
      <c r="I1555" s="213" t="str">
        <f t="shared" si="216"/>
        <v>select_one yesno</v>
      </c>
      <c r="J1555" s="106" t="s">
        <v>1878</v>
      </c>
      <c r="K1555" s="116" t="s">
        <v>2443</v>
      </c>
      <c r="L1555" s="118" t="str">
        <f>IF(K1555="yes",("Sorry, question (8.01"&amp;RIGHT(B1554,2)&amp;") is required!"),"")</f>
        <v>Sorry, question (8.01af) is required!</v>
      </c>
    </row>
    <row r="1556" spans="1:24" ht="14.25" customHeight="1">
      <c r="A1556" t="s">
        <v>23</v>
      </c>
      <c r="B1556" t="s">
        <v>1817</v>
      </c>
      <c r="E1556" s="118" t="s">
        <v>953</v>
      </c>
      <c r="H1556" s="206" t="str">
        <f>E1554&amp;E1556</f>
        <v>(8.01af) Does this facility provide Tuberculosis diagnosis within the facility and/or as outreach? Outreach</v>
      </c>
      <c r="I1556" s="213" t="str">
        <f t="shared" si="216"/>
        <v>select_one yesno</v>
      </c>
      <c r="J1556" s="106" t="s">
        <v>1878</v>
      </c>
      <c r="K1556" s="116" t="s">
        <v>2443</v>
      </c>
      <c r="L1556" s="118" t="str">
        <f>IF(K1556="yes",("Sorry, question (8.01"&amp;RIGHT(B1554,2)&amp;") is required!"),"")</f>
        <v>Sorry, question (8.01af) is required!</v>
      </c>
    </row>
    <row r="1557" spans="1:24" ht="14.25" customHeight="1">
      <c r="A1557" t="s">
        <v>955</v>
      </c>
      <c r="B1557" t="s">
        <v>1818</v>
      </c>
      <c r="E1557" s="118" t="s">
        <v>1964</v>
      </c>
      <c r="F1557" s="118" t="s">
        <v>6622</v>
      </c>
      <c r="H1557" s="206" t="str">
        <f>E1557</f>
        <v>(8.02af) How many days per week is this service offered?</v>
      </c>
      <c r="I1557" s="213" t="str">
        <f t="shared" si="216"/>
        <v>integer</v>
      </c>
      <c r="J1557" s="106" t="s">
        <v>6625</v>
      </c>
      <c r="K1557" s="116" t="s">
        <v>2443</v>
      </c>
      <c r="L1557" s="118" t="str">
        <f>IF(K1557="yes",("Sorry, question "&amp;LEFT(E1557, 8)&amp;" is required!"),"")</f>
        <v>Sorry, question (8.02af) is required!</v>
      </c>
      <c r="M1557" s="113" t="s">
        <v>6618</v>
      </c>
      <c r="N1557" t="str">
        <f xml:space="preserve"> LEFT(E1557,8) &amp; " MAXIMUM 7"</f>
        <v>(8.02af) MAXIMUM 7</v>
      </c>
      <c r="O1557" s="110" t="s">
        <v>1572</v>
      </c>
    </row>
    <row r="1558" spans="1:24" ht="14.25" customHeight="1">
      <c r="A1558" t="s">
        <v>955</v>
      </c>
      <c r="B1558" t="s">
        <v>1819</v>
      </c>
      <c r="E1558" s="118" t="s">
        <v>2350</v>
      </c>
      <c r="F1558" s="118" t="s">
        <v>1886</v>
      </c>
      <c r="H1558" s="206" t="str">
        <f>E1558</f>
        <v>(8.03af) What is the total price in Dalasi charged for Tuberculosis diagnosis? INTERVIEWER: IF NO CHARGE, RECORD "0".</v>
      </c>
      <c r="I1558" s="213" t="str">
        <f t="shared" si="216"/>
        <v>integer</v>
      </c>
      <c r="J1558" s="106" t="s">
        <v>3379</v>
      </c>
      <c r="K1558" s="116" t="s">
        <v>2443</v>
      </c>
      <c r="L1558" s="118" t="str">
        <f>IF(K1558="yes",("Sorry, question "&amp;LEFT(E1558, 8)&amp;" is required!"),"")</f>
        <v>Sorry, question (8.03af) is required!</v>
      </c>
      <c r="M1558" s="113" t="s">
        <v>5398</v>
      </c>
      <c r="N1558" t="str">
        <f xml:space="preserve"> LEFT(E1557,8) &amp; " MINIMUM 0"</f>
        <v>(8.02af) MINIMUM 0</v>
      </c>
      <c r="O1558" s="110" t="s">
        <v>1572</v>
      </c>
    </row>
    <row r="1559" spans="1:24" ht="14.25" customHeight="1">
      <c r="A1559" t="s">
        <v>15</v>
      </c>
      <c r="E1559" s="118" t="s">
        <v>1067</v>
      </c>
      <c r="I1559" s="213" t="str">
        <f t="shared" si="216"/>
        <v>end group</v>
      </c>
      <c r="X1559" t="s">
        <v>3032</v>
      </c>
    </row>
    <row r="1560" spans="1:24" ht="14.25" customHeight="1">
      <c r="A1560" t="s">
        <v>954</v>
      </c>
      <c r="B1560" t="s">
        <v>3248</v>
      </c>
      <c r="E1560" s="118" t="s">
        <v>1067</v>
      </c>
      <c r="I1560" s="213" t="str">
        <f t="shared" si="216"/>
        <v>begin group</v>
      </c>
      <c r="J1560" s="106" t="s">
        <v>3371</v>
      </c>
      <c r="L1560" s="118" t="str">
        <f>IF(K1560="yes",("Sorry, question "&amp;LEFT(E1560, 6)&amp;" is required!"),"")</f>
        <v/>
      </c>
      <c r="O1560" s="110" t="s">
        <v>1572</v>
      </c>
      <c r="X1560" t="s">
        <v>3032</v>
      </c>
    </row>
    <row r="1561" spans="1:24" ht="14.25" customHeight="1">
      <c r="A1561" t="s">
        <v>17</v>
      </c>
      <c r="B1561" t="s">
        <v>1820</v>
      </c>
      <c r="E1561" s="118" t="s">
        <v>3246</v>
      </c>
      <c r="F1561" s="117" t="s">
        <v>6662</v>
      </c>
      <c r="I1561" s="213" t="str">
        <f t="shared" si="216"/>
        <v>note</v>
      </c>
      <c r="J1561" s="106" t="s">
        <v>3370</v>
      </c>
      <c r="L1561" s="118" t="str">
        <f>IF(K1561="yes",("Sorry, question "&amp;LEFT(E1561, 6)&amp;" is required!"),"")</f>
        <v/>
      </c>
    </row>
    <row r="1562" spans="1:24" ht="14.25" customHeight="1">
      <c r="A1562" t="s">
        <v>17</v>
      </c>
      <c r="B1562" t="s">
        <v>1821</v>
      </c>
      <c r="E1562" s="118" t="s">
        <v>958</v>
      </c>
      <c r="I1562" s="213" t="str">
        <f t="shared" si="216"/>
        <v>note</v>
      </c>
      <c r="J1562" s="106" t="s">
        <v>3477</v>
      </c>
      <c r="L1562" s="118" t="str">
        <f>IF(K1562="yes",("Sorry, question "&amp;LEFT(E1562, 6)&amp;" is required!"),"")</f>
        <v/>
      </c>
    </row>
    <row r="1563" spans="1:24" ht="14.25" customHeight="1">
      <c r="A1563" t="s">
        <v>955</v>
      </c>
      <c r="B1563" t="s">
        <v>5175</v>
      </c>
      <c r="E1563" s="118" t="s">
        <v>959</v>
      </c>
      <c r="H1563" s="206" t="str">
        <f>"(8.04af) TOTAL NUMBER OF "&amp;E1562&amp;" - "&amp;E1563</f>
        <v>(8.04af) TOTAL NUMBER OF MONTH 1 - IN</v>
      </c>
      <c r="I1563" s="213" t="str">
        <f t="shared" si="216"/>
        <v>integer</v>
      </c>
      <c r="J1563" s="106" t="s">
        <v>4907</v>
      </c>
      <c r="K1563" s="116" t="s">
        <v>2443</v>
      </c>
      <c r="L1563" s="118" t="str">
        <f>IF(K1563="yes",("Sorry, question MONTH 1 is required!"),"")</f>
        <v>Sorry, question MONTH 1 is required!</v>
      </c>
      <c r="M1563" s="113" t="s">
        <v>5398</v>
      </c>
      <c r="N1563" t="s">
        <v>3977</v>
      </c>
    </row>
    <row r="1564" spans="1:24" ht="14.25" customHeight="1">
      <c r="A1564" t="s">
        <v>955</v>
      </c>
      <c r="B1564" t="s">
        <v>5163</v>
      </c>
      <c r="E1564" s="118" t="s">
        <v>960</v>
      </c>
      <c r="H1564" s="206" t="str">
        <f>"(8.04af) TOTAL NUMBER OF "&amp;E1562&amp;" - "&amp;E1564</f>
        <v>(8.04af) TOTAL NUMBER OF MONTH 1 - OUT</v>
      </c>
      <c r="I1564" s="213" t="str">
        <f t="shared" si="216"/>
        <v>integer</v>
      </c>
      <c r="J1564" s="106" t="s">
        <v>4908</v>
      </c>
      <c r="K1564" s="116" t="s">
        <v>2443</v>
      </c>
      <c r="L1564" s="118" t="str">
        <f t="shared" ref="L1564:L1568" si="218">IF(K1564="yes",("Sorry, question MONTH 1 is required!"),"")</f>
        <v>Sorry, question MONTH 1 is required!</v>
      </c>
      <c r="M1564" s="113" t="s">
        <v>5398</v>
      </c>
      <c r="N1564" t="s">
        <v>3978</v>
      </c>
    </row>
    <row r="1565" spans="1:24" ht="14.25" customHeight="1">
      <c r="A1565" t="s">
        <v>17</v>
      </c>
      <c r="B1565" t="s">
        <v>1822</v>
      </c>
      <c r="E1565" s="118" t="s">
        <v>961</v>
      </c>
      <c r="I1565" s="213" t="str">
        <f t="shared" si="216"/>
        <v>note</v>
      </c>
      <c r="J1565" s="106" t="s">
        <v>3478</v>
      </c>
      <c r="L1565" s="118" t="str">
        <f t="shared" si="218"/>
        <v/>
      </c>
    </row>
    <row r="1566" spans="1:24" ht="14.25" customHeight="1">
      <c r="A1566" t="s">
        <v>955</v>
      </c>
      <c r="B1566" t="s">
        <v>5139</v>
      </c>
      <c r="E1566" s="118" t="s">
        <v>959</v>
      </c>
      <c r="H1566" s="206" t="str">
        <f>"(8.04af) TOTAL NUMBER OF "&amp;E1565&amp;" - "&amp;E1566</f>
        <v>(8.04af) TOTAL NUMBER OF MONTH 2 - IN</v>
      </c>
      <c r="I1566" s="213" t="str">
        <f t="shared" si="216"/>
        <v>integer</v>
      </c>
      <c r="J1566" s="106" t="s">
        <v>6621</v>
      </c>
      <c r="K1566" s="116" t="s">
        <v>2443</v>
      </c>
      <c r="L1566" s="118" t="str">
        <f>IF(K1566="yes",("Sorry, question MONTH 2 is required!"),"")</f>
        <v>Sorry, question MONTH 2 is required!</v>
      </c>
      <c r="M1566" s="113" t="s">
        <v>5398</v>
      </c>
      <c r="N1566" t="s">
        <v>3979</v>
      </c>
    </row>
    <row r="1567" spans="1:24" ht="14.25" customHeight="1">
      <c r="A1567" t="s">
        <v>955</v>
      </c>
      <c r="B1567" t="s">
        <v>5151</v>
      </c>
      <c r="E1567" s="118" t="s">
        <v>960</v>
      </c>
      <c r="H1567" s="206" t="str">
        <f>"(8.04af) TOTAL NUMBER OF "&amp;E1565&amp;" - "&amp;E1567</f>
        <v>(8.04af) TOTAL NUMBER OF MONTH 2 - OUT</v>
      </c>
      <c r="I1567" s="213" t="str">
        <f t="shared" si="216"/>
        <v>integer</v>
      </c>
      <c r="J1567" s="106" t="s">
        <v>6626</v>
      </c>
      <c r="K1567" s="116" t="s">
        <v>2443</v>
      </c>
      <c r="L1567" s="118" t="str">
        <f>IF(K1567="yes",("Sorry, question MONTH 2 is required!"),"")</f>
        <v>Sorry, question MONTH 2 is required!</v>
      </c>
      <c r="M1567" s="113" t="s">
        <v>5398</v>
      </c>
      <c r="N1567" t="s">
        <v>3980</v>
      </c>
    </row>
    <row r="1568" spans="1:24" ht="14.25" customHeight="1">
      <c r="A1568" t="s">
        <v>17</v>
      </c>
      <c r="B1568" t="s">
        <v>1823</v>
      </c>
      <c r="E1568" s="118" t="s">
        <v>962</v>
      </c>
      <c r="I1568" s="213" t="str">
        <f t="shared" si="216"/>
        <v>note</v>
      </c>
      <c r="J1568" s="106" t="s">
        <v>3480</v>
      </c>
      <c r="L1568" s="118" t="str">
        <f t="shared" si="218"/>
        <v/>
      </c>
    </row>
    <row r="1569" spans="1:24" ht="14.25" customHeight="1">
      <c r="A1569" t="s">
        <v>955</v>
      </c>
      <c r="B1569" t="s">
        <v>5127</v>
      </c>
      <c r="E1569" s="118" t="s">
        <v>959</v>
      </c>
      <c r="H1569" s="206" t="str">
        <f>"(8.04af) TOTAL NUMBER OF "&amp;E1568&amp;" - "&amp;E1569</f>
        <v>(8.04af) TOTAL NUMBER OF MONTH 3 - IN</v>
      </c>
      <c r="I1569" s="213" t="str">
        <f t="shared" si="216"/>
        <v>integer</v>
      </c>
      <c r="J1569" s="106" t="s">
        <v>6629</v>
      </c>
      <c r="K1569" s="116" t="s">
        <v>2443</v>
      </c>
      <c r="L1569" s="118" t="str">
        <f>IF(K1569="yes",("Sorry, question MONTH 3 is required!"),"")</f>
        <v>Sorry, question MONTH 3 is required!</v>
      </c>
      <c r="M1569" s="113" t="s">
        <v>5398</v>
      </c>
      <c r="N1569" t="s">
        <v>4043</v>
      </c>
    </row>
    <row r="1570" spans="1:24" ht="14.25" customHeight="1">
      <c r="A1570" t="s">
        <v>955</v>
      </c>
      <c r="B1570" t="s">
        <v>5115</v>
      </c>
      <c r="E1570" s="118" t="s">
        <v>960</v>
      </c>
      <c r="H1570" s="206" t="str">
        <f>"(8.04af) TOTAL NUMBER OF "&amp;E1568&amp;" - "&amp;E1570</f>
        <v>(8.04af) TOTAL NUMBER OF MONTH 3 - OUT</v>
      </c>
      <c r="I1570" s="213" t="str">
        <f t="shared" si="216"/>
        <v>integer</v>
      </c>
      <c r="J1570" s="106" t="s">
        <v>6630</v>
      </c>
      <c r="K1570" s="116" t="s">
        <v>2443</v>
      </c>
      <c r="L1570" s="118" t="str">
        <f>IF(K1570="yes",("Sorry, question MONTH 3 is required!"),"")</f>
        <v>Sorry, question MONTH 3 is required!</v>
      </c>
      <c r="M1570" s="113" t="s">
        <v>5398</v>
      </c>
      <c r="N1570" t="s">
        <v>4044</v>
      </c>
    </row>
    <row r="1571" spans="1:24" ht="14.25" customHeight="1">
      <c r="A1571" t="s">
        <v>956</v>
      </c>
      <c r="E1571" s="118" t="s">
        <v>1067</v>
      </c>
      <c r="I1571" s="213" t="str">
        <f t="shared" si="216"/>
        <v>end group</v>
      </c>
      <c r="L1571" s="118" t="str">
        <f>IF(K1571="yes",("Sorry, question MONTH 3 is required!"),"")</f>
        <v/>
      </c>
      <c r="X1571" t="s">
        <v>3032</v>
      </c>
    </row>
    <row r="1572" spans="1:24" ht="14.25" customHeight="1">
      <c r="A1572" t="s">
        <v>954</v>
      </c>
      <c r="B1572" t="s">
        <v>3249</v>
      </c>
      <c r="E1572" s="118" t="s">
        <v>1067</v>
      </c>
      <c r="I1572" s="213" t="str">
        <f t="shared" si="216"/>
        <v>begin group</v>
      </c>
      <c r="J1572" s="106" t="s">
        <v>13</v>
      </c>
      <c r="X1572" t="s">
        <v>3032</v>
      </c>
    </row>
    <row r="1573" spans="1:24" ht="14.25" customHeight="1">
      <c r="A1573" t="s">
        <v>23</v>
      </c>
      <c r="B1573" s="107" t="s">
        <v>1824</v>
      </c>
      <c r="E1573" s="118" t="s">
        <v>3399</v>
      </c>
      <c r="F1573" s="118" t="s">
        <v>3398</v>
      </c>
      <c r="I1573" s="213" t="str">
        <f t="shared" si="216"/>
        <v>select_one yesno</v>
      </c>
      <c r="J1573" s="106" t="s">
        <v>1876</v>
      </c>
    </row>
    <row r="1574" spans="1:24" ht="14.25" customHeight="1">
      <c r="A1574" t="s">
        <v>23</v>
      </c>
      <c r="B1574" t="s">
        <v>1825</v>
      </c>
      <c r="E1574" s="118" t="s">
        <v>951</v>
      </c>
      <c r="H1574" s="206" t="str">
        <f>E1573&amp;E1574</f>
        <v>(8.01aj) Does this facility provide Tuberculosis treatment within the facility and/or as outreach?In-facility</v>
      </c>
      <c r="I1574" s="213" t="str">
        <f t="shared" si="216"/>
        <v>select_one yesno</v>
      </c>
      <c r="J1574" s="106" t="s">
        <v>1878</v>
      </c>
      <c r="K1574" s="116" t="s">
        <v>2443</v>
      </c>
      <c r="L1574" s="118" t="str">
        <f>IF(K1574="yes",("Sorry, question (8.01"&amp;RIGHT(B1573,2)&amp;") is required!"),"")</f>
        <v>Sorry, question (8.01aj) is required!</v>
      </c>
    </row>
    <row r="1575" spans="1:24" ht="14.25" customHeight="1">
      <c r="A1575" t="s">
        <v>23</v>
      </c>
      <c r="B1575" t="s">
        <v>1826</v>
      </c>
      <c r="E1575" s="118" t="s">
        <v>953</v>
      </c>
      <c r="H1575" s="206" t="str">
        <f>E1573&amp;E1575</f>
        <v>(8.01aj) Does this facility provide Tuberculosis treatment within the facility and/or as outreach?Outreach</v>
      </c>
      <c r="I1575" s="213" t="str">
        <f t="shared" si="216"/>
        <v>select_one yesno</v>
      </c>
      <c r="J1575" s="106" t="s">
        <v>1878</v>
      </c>
      <c r="K1575" s="116" t="s">
        <v>2443</v>
      </c>
      <c r="L1575" s="118" t="str">
        <f>IF(K1575="yes",("Sorry, question (8.01"&amp;RIGHT(B1573,2)&amp;") is required!"),"")</f>
        <v>Sorry, question (8.01aj) is required!</v>
      </c>
    </row>
    <row r="1576" spans="1:24" ht="14.25" customHeight="1">
      <c r="A1576" t="s">
        <v>955</v>
      </c>
      <c r="B1576" t="s">
        <v>1827</v>
      </c>
      <c r="E1576" s="118" t="s">
        <v>1965</v>
      </c>
      <c r="F1576" s="118" t="s">
        <v>6622</v>
      </c>
      <c r="H1576" s="206" t="str">
        <f>E1576</f>
        <v>(8.02aj) How many days per week is this service offered?</v>
      </c>
      <c r="I1576" s="213" t="str">
        <f t="shared" si="216"/>
        <v>integer</v>
      </c>
      <c r="J1576" s="106" t="s">
        <v>6625</v>
      </c>
      <c r="K1576" s="116" t="s">
        <v>2443</v>
      </c>
      <c r="L1576" s="118" t="str">
        <f>IF(K1576="yes",("Sorry, question "&amp;LEFT(E1576, 8)&amp;" is required!"),"")</f>
        <v>Sorry, question (8.02aj) is required!</v>
      </c>
      <c r="M1576" s="113" t="s">
        <v>6618</v>
      </c>
      <c r="N1576" t="str">
        <f xml:space="preserve"> LEFT(E1576,8) &amp; " MAXIMUM 7"</f>
        <v>(8.02aj) MAXIMUM 7</v>
      </c>
      <c r="O1576" s="110" t="s">
        <v>1573</v>
      </c>
    </row>
    <row r="1577" spans="1:24" ht="14.25" customHeight="1">
      <c r="A1577" t="s">
        <v>955</v>
      </c>
      <c r="B1577" t="s">
        <v>1828</v>
      </c>
      <c r="E1577" s="118" t="s">
        <v>2351</v>
      </c>
      <c r="F1577" s="118" t="s">
        <v>1887</v>
      </c>
      <c r="H1577" s="206" t="str">
        <f>E1577</f>
        <v>(8.03aj) What is the total price in Dalasi charged for Tuberculosis treatment? INTERVIEWER: IF NO CHARGE, RECORD "0".</v>
      </c>
      <c r="I1577" s="213" t="str">
        <f t="shared" si="216"/>
        <v>integer</v>
      </c>
      <c r="J1577" s="106" t="s">
        <v>3379</v>
      </c>
      <c r="K1577" s="116" t="s">
        <v>2443</v>
      </c>
      <c r="L1577" s="118" t="str">
        <f>IF(K1577="yes",("Sorry, question "&amp;LEFT(E1577, 8)&amp;" is required!"),"")</f>
        <v>Sorry, question (8.03aj) is required!</v>
      </c>
      <c r="M1577" s="113" t="s">
        <v>5398</v>
      </c>
      <c r="N1577" t="str">
        <f xml:space="preserve"> LEFT(E1576,8) &amp; " MINIMUM 0"</f>
        <v>(8.02aj) MINIMUM 0</v>
      </c>
      <c r="O1577" s="110" t="s">
        <v>1573</v>
      </c>
    </row>
    <row r="1578" spans="1:24" ht="14.25" customHeight="1">
      <c r="A1578" t="s">
        <v>15</v>
      </c>
      <c r="E1578" s="118" t="s">
        <v>1067</v>
      </c>
      <c r="I1578" s="213" t="str">
        <f t="shared" si="216"/>
        <v>end group</v>
      </c>
      <c r="X1578" t="s">
        <v>3032</v>
      </c>
    </row>
    <row r="1579" spans="1:24" ht="14.25" customHeight="1">
      <c r="A1579" t="s">
        <v>954</v>
      </c>
      <c r="B1579" t="s">
        <v>3251</v>
      </c>
      <c r="E1579" s="118" t="s">
        <v>1067</v>
      </c>
      <c r="I1579" s="213" t="str">
        <f t="shared" si="216"/>
        <v>begin group</v>
      </c>
      <c r="J1579" s="106" t="s">
        <v>3371</v>
      </c>
      <c r="L1579" s="118" t="str">
        <f>IF(K1579="yes",("Sorry, question "&amp;LEFT(E1579, 6)&amp;" is required!"),"")</f>
        <v/>
      </c>
      <c r="O1579" s="110" t="s">
        <v>1573</v>
      </c>
      <c r="X1579" t="s">
        <v>3032</v>
      </c>
    </row>
    <row r="1580" spans="1:24" ht="14.25" customHeight="1">
      <c r="A1580" t="s">
        <v>17</v>
      </c>
      <c r="B1580" t="s">
        <v>1829</v>
      </c>
      <c r="E1580" s="118" t="s">
        <v>3250</v>
      </c>
      <c r="F1580" s="117" t="s">
        <v>6662</v>
      </c>
      <c r="I1580" s="213" t="str">
        <f t="shared" si="216"/>
        <v>note</v>
      </c>
      <c r="J1580" s="106" t="s">
        <v>3370</v>
      </c>
      <c r="L1580" s="118" t="str">
        <f>IF(K1580="yes",("Sorry, question "&amp;LEFT(E1580, 6)&amp;" is required!"),"")</f>
        <v/>
      </c>
    </row>
    <row r="1581" spans="1:24" ht="14.25" customHeight="1">
      <c r="A1581" t="s">
        <v>17</v>
      </c>
      <c r="B1581" t="s">
        <v>1830</v>
      </c>
      <c r="E1581" s="118" t="s">
        <v>958</v>
      </c>
      <c r="I1581" s="213" t="str">
        <f t="shared" si="216"/>
        <v>note</v>
      </c>
      <c r="J1581" s="106" t="s">
        <v>3477</v>
      </c>
      <c r="L1581" s="118" t="str">
        <f>IF(K1581="yes",("Sorry, question "&amp;LEFT(E1581, 6)&amp;" is required!"),"")</f>
        <v/>
      </c>
    </row>
    <row r="1582" spans="1:24" ht="14.25" customHeight="1">
      <c r="A1582" t="s">
        <v>955</v>
      </c>
      <c r="B1582" t="s">
        <v>5176</v>
      </c>
      <c r="E1582" s="118" t="s">
        <v>959</v>
      </c>
      <c r="H1582" s="206" t="str">
        <f>"(8.04aj) TOTAL NUMBER OF "&amp;E1581&amp;" - "&amp;E1582</f>
        <v>(8.04aj) TOTAL NUMBER OF MONTH 1 - IN</v>
      </c>
      <c r="I1582" s="213" t="str">
        <f t="shared" si="216"/>
        <v>integer</v>
      </c>
      <c r="J1582" s="106" t="s">
        <v>4907</v>
      </c>
      <c r="K1582" s="116" t="s">
        <v>2443</v>
      </c>
      <c r="L1582" s="118" t="str">
        <f>IF(K1582="yes",("Sorry, question MONTH 1 is required!"),"")</f>
        <v>Sorry, question MONTH 1 is required!</v>
      </c>
      <c r="M1582" s="113" t="s">
        <v>5398</v>
      </c>
      <c r="N1582" t="s">
        <v>3981</v>
      </c>
    </row>
    <row r="1583" spans="1:24" ht="14.25" customHeight="1">
      <c r="A1583" t="s">
        <v>955</v>
      </c>
      <c r="B1583" t="s">
        <v>5164</v>
      </c>
      <c r="E1583" s="118" t="s">
        <v>960</v>
      </c>
      <c r="H1583" s="206" t="str">
        <f>"(8.04aj) TOTAL NUMBER OF "&amp;E1581&amp;" - "&amp;E1583</f>
        <v>(8.04aj) TOTAL NUMBER OF MONTH 1 - OUT</v>
      </c>
      <c r="I1583" s="213" t="str">
        <f t="shared" si="216"/>
        <v>integer</v>
      </c>
      <c r="J1583" s="106" t="s">
        <v>4908</v>
      </c>
      <c r="K1583" s="116" t="s">
        <v>2443</v>
      </c>
      <c r="L1583" s="118" t="str">
        <f t="shared" ref="L1583:L1587" si="219">IF(K1583="yes",("Sorry, question MONTH 1 is required!"),"")</f>
        <v>Sorry, question MONTH 1 is required!</v>
      </c>
      <c r="M1583" s="113" t="s">
        <v>5398</v>
      </c>
      <c r="N1583" t="s">
        <v>3982</v>
      </c>
    </row>
    <row r="1584" spans="1:24" ht="14.25" customHeight="1">
      <c r="A1584" t="s">
        <v>17</v>
      </c>
      <c r="B1584" t="s">
        <v>1831</v>
      </c>
      <c r="E1584" s="118" t="s">
        <v>961</v>
      </c>
      <c r="I1584" s="213" t="str">
        <f t="shared" si="216"/>
        <v>note</v>
      </c>
      <c r="J1584" s="106" t="s">
        <v>3478</v>
      </c>
      <c r="L1584" s="118" t="str">
        <f t="shared" si="219"/>
        <v/>
      </c>
    </row>
    <row r="1585" spans="1:24" ht="14.25" customHeight="1">
      <c r="A1585" t="s">
        <v>955</v>
      </c>
      <c r="B1585" t="s">
        <v>5140</v>
      </c>
      <c r="E1585" s="118" t="s">
        <v>959</v>
      </c>
      <c r="H1585" s="206" t="str">
        <f>"(8.04aj) TOTAL NUMBER OF "&amp;E1584&amp;" - "&amp;E1585</f>
        <v>(8.04aj) TOTAL NUMBER OF MONTH 2 - IN</v>
      </c>
      <c r="I1585" s="213" t="str">
        <f t="shared" si="216"/>
        <v>integer</v>
      </c>
      <c r="J1585" s="106" t="s">
        <v>6621</v>
      </c>
      <c r="K1585" s="116" t="s">
        <v>2443</v>
      </c>
      <c r="L1585" s="118" t="str">
        <f>IF(K1585="yes",("Sorry, question MONTH 2 is required!"),"")</f>
        <v>Sorry, question MONTH 2 is required!</v>
      </c>
      <c r="M1585" s="113" t="s">
        <v>5398</v>
      </c>
      <c r="N1585" t="s">
        <v>3983</v>
      </c>
    </row>
    <row r="1586" spans="1:24" ht="14.25" customHeight="1">
      <c r="A1586" t="s">
        <v>955</v>
      </c>
      <c r="B1586" t="s">
        <v>5152</v>
      </c>
      <c r="E1586" s="118" t="s">
        <v>960</v>
      </c>
      <c r="H1586" s="206" t="str">
        <f>"(8.04aj) TOTAL NUMBER OF "&amp;E1584&amp;" - "&amp;E1586</f>
        <v>(8.04aj) TOTAL NUMBER OF MONTH 2 - OUT</v>
      </c>
      <c r="I1586" s="213" t="str">
        <f t="shared" si="216"/>
        <v>integer</v>
      </c>
      <c r="J1586" s="106" t="s">
        <v>6626</v>
      </c>
      <c r="K1586" s="116" t="s">
        <v>2443</v>
      </c>
      <c r="L1586" s="118" t="str">
        <f>IF(K1586="yes",("Sorry, question MONTH 2 is required!"),"")</f>
        <v>Sorry, question MONTH 2 is required!</v>
      </c>
      <c r="M1586" s="113" t="s">
        <v>5398</v>
      </c>
      <c r="N1586" t="s">
        <v>3984</v>
      </c>
    </row>
    <row r="1587" spans="1:24" ht="14.25" customHeight="1">
      <c r="A1587" t="s">
        <v>17</v>
      </c>
      <c r="B1587" t="s">
        <v>1832</v>
      </c>
      <c r="E1587" s="118" t="s">
        <v>962</v>
      </c>
      <c r="I1587" s="213" t="str">
        <f t="shared" si="216"/>
        <v>note</v>
      </c>
      <c r="J1587" s="106" t="s">
        <v>3480</v>
      </c>
      <c r="L1587" s="118" t="str">
        <f t="shared" si="219"/>
        <v/>
      </c>
    </row>
    <row r="1588" spans="1:24" ht="14.25" customHeight="1">
      <c r="A1588" t="s">
        <v>955</v>
      </c>
      <c r="B1588" t="s">
        <v>5128</v>
      </c>
      <c r="E1588" s="118" t="s">
        <v>959</v>
      </c>
      <c r="H1588" s="206" t="str">
        <f>"(8.04aj) TOTAL NUMBER OF "&amp;E1587&amp;" - "&amp;E1588</f>
        <v>(8.04aj) TOTAL NUMBER OF MONTH 3 - IN</v>
      </c>
      <c r="I1588" s="213" t="str">
        <f t="shared" si="216"/>
        <v>integer</v>
      </c>
      <c r="J1588" s="106" t="s">
        <v>6629</v>
      </c>
      <c r="K1588" s="116" t="s">
        <v>2443</v>
      </c>
      <c r="L1588" s="118" t="str">
        <f>IF(K1588="yes",("Sorry, question MONTH 3 is required!"),"")</f>
        <v>Sorry, question MONTH 3 is required!</v>
      </c>
      <c r="M1588" s="113" t="s">
        <v>5398</v>
      </c>
      <c r="N1588" t="s">
        <v>4045</v>
      </c>
    </row>
    <row r="1589" spans="1:24" ht="14.25" customHeight="1">
      <c r="A1589" t="s">
        <v>955</v>
      </c>
      <c r="B1589" t="s">
        <v>5116</v>
      </c>
      <c r="E1589" s="118" t="s">
        <v>960</v>
      </c>
      <c r="H1589" s="206" t="str">
        <f>"(8.04aj) TOTAL NUMBER OF "&amp;E1587&amp;" - "&amp;E1589</f>
        <v>(8.04aj) TOTAL NUMBER OF MONTH 3 - OUT</v>
      </c>
      <c r="I1589" s="213" t="str">
        <f t="shared" si="216"/>
        <v>integer</v>
      </c>
      <c r="J1589" s="106" t="s">
        <v>6630</v>
      </c>
      <c r="K1589" s="116" t="s">
        <v>2443</v>
      </c>
      <c r="L1589" s="118" t="str">
        <f>IF(K1589="yes",("Sorry, question MONTH 3 is required!"),"")</f>
        <v>Sorry, question MONTH 3 is required!</v>
      </c>
      <c r="M1589" s="113" t="s">
        <v>5398</v>
      </c>
      <c r="N1589" t="s">
        <v>4046</v>
      </c>
    </row>
    <row r="1590" spans="1:24" ht="14.25" customHeight="1">
      <c r="A1590" t="s">
        <v>956</v>
      </c>
      <c r="E1590" s="118" t="s">
        <v>1067</v>
      </c>
      <c r="I1590" s="213" t="str">
        <f t="shared" si="216"/>
        <v>end group</v>
      </c>
      <c r="L1590" s="118" t="str">
        <f>IF(K1590="yes",("Sorry, question MONTH 3 is required!"),"")</f>
        <v/>
      </c>
      <c r="X1590" t="s">
        <v>3032</v>
      </c>
    </row>
    <row r="1591" spans="1:24" ht="14.25" customHeight="1">
      <c r="A1591" t="s">
        <v>954</v>
      </c>
      <c r="B1591" t="s">
        <v>3252</v>
      </c>
      <c r="E1591" s="118" t="s">
        <v>1067</v>
      </c>
      <c r="I1591" s="213" t="str">
        <f t="shared" si="216"/>
        <v>begin group</v>
      </c>
      <c r="J1591" s="106" t="s">
        <v>3526</v>
      </c>
      <c r="X1591" t="s">
        <v>3032</v>
      </c>
    </row>
    <row r="1592" spans="1:24" ht="14.25" customHeight="1">
      <c r="A1592" t="s">
        <v>17</v>
      </c>
      <c r="B1592" t="s">
        <v>2960</v>
      </c>
      <c r="E1592" s="118" t="s">
        <v>4213</v>
      </c>
      <c r="I1592" s="213" t="str">
        <f t="shared" si="216"/>
        <v>note</v>
      </c>
      <c r="J1592" s="106" t="s">
        <v>3528</v>
      </c>
    </row>
    <row r="1593" spans="1:24" ht="14.25" customHeight="1">
      <c r="A1593" t="s">
        <v>23</v>
      </c>
      <c r="B1593" s="107" t="s">
        <v>1833</v>
      </c>
      <c r="E1593" s="118" t="s">
        <v>3397</v>
      </c>
      <c r="F1593" s="118" t="s">
        <v>3398</v>
      </c>
      <c r="I1593" s="213" t="str">
        <f t="shared" si="216"/>
        <v>select_one yesno</v>
      </c>
      <c r="J1593" s="106" t="s">
        <v>3540</v>
      </c>
      <c r="L1593" s="118" t="str">
        <f>IF(K1593="yes",("Sorry, question (8.01"&amp;RIGHT(B1592,2)&amp;") is required!"),"")</f>
        <v/>
      </c>
    </row>
    <row r="1594" spans="1:24" ht="14.25" customHeight="1">
      <c r="A1594" t="s">
        <v>23</v>
      </c>
      <c r="B1594" t="s">
        <v>1834</v>
      </c>
      <c r="E1594" s="118" t="s">
        <v>951</v>
      </c>
      <c r="H1594" s="206" t="str">
        <f>E1593&amp;E1594</f>
        <v>(8.01ak) Does this facility provide Diagnosis,  testing, and counseling for STIs within the facility and/or as outreach?In-facility</v>
      </c>
      <c r="I1594" s="213" t="str">
        <f t="shared" si="216"/>
        <v>select_one yesno</v>
      </c>
      <c r="J1594" s="106" t="s">
        <v>3538</v>
      </c>
      <c r="K1594" s="116" t="s">
        <v>2443</v>
      </c>
      <c r="L1594" s="118" t="str">
        <f>IF(K1594="yes",("Sorry, question (8.01"&amp;RIGHT(B1593,2)&amp;") is required!"),"")</f>
        <v>Sorry, question (8.01ak) is required!</v>
      </c>
    </row>
    <row r="1595" spans="1:24" ht="14.25" customHeight="1">
      <c r="A1595" t="s">
        <v>23</v>
      </c>
      <c r="B1595" t="s">
        <v>1835</v>
      </c>
      <c r="E1595" s="118" t="s">
        <v>953</v>
      </c>
      <c r="H1595" s="206" t="str">
        <f>E1593&amp;E1595</f>
        <v>(8.01ak) Does this facility provide Diagnosis,  testing, and counseling for STIs within the facility and/or as outreach?Outreach</v>
      </c>
      <c r="I1595" s="213" t="str">
        <f t="shared" si="216"/>
        <v>select_one yesno</v>
      </c>
      <c r="J1595" s="106" t="s">
        <v>3539</v>
      </c>
      <c r="K1595" s="116" t="s">
        <v>2443</v>
      </c>
      <c r="L1595" s="118" t="str">
        <f>IF(K1595="yes",("Sorry, question (8.01"&amp;RIGHT(B1593,2)&amp;") is required!"),"")</f>
        <v>Sorry, question (8.01ak) is required!</v>
      </c>
      <c r="M1595" s="113" t="s">
        <v>6618</v>
      </c>
    </row>
    <row r="1596" spans="1:24" ht="14.25" customHeight="1">
      <c r="A1596" t="s">
        <v>955</v>
      </c>
      <c r="B1596" t="s">
        <v>1836</v>
      </c>
      <c r="E1596" s="118" t="s">
        <v>1966</v>
      </c>
      <c r="F1596" s="118" t="s">
        <v>6622</v>
      </c>
      <c r="H1596" s="206" t="str">
        <f>E1596</f>
        <v>(8.02ak) How many days per week is this service offered?</v>
      </c>
      <c r="I1596" s="213" t="str">
        <f t="shared" si="216"/>
        <v>integer</v>
      </c>
      <c r="J1596" s="106" t="s">
        <v>6631</v>
      </c>
      <c r="K1596" s="116" t="s">
        <v>2443</v>
      </c>
      <c r="L1596" s="118" t="str">
        <f>IF(K1596="yes",("Sorry, question "&amp;LEFT(E1596, 8)&amp;" is required!"),"")</f>
        <v>Sorry, question (8.02ak) is required!</v>
      </c>
      <c r="M1596" s="113" t="s">
        <v>5398</v>
      </c>
      <c r="N1596" t="str">
        <f xml:space="preserve"> LEFT(E1596,8) &amp; " MAXIMUM 7"</f>
        <v>(8.02ak) MAXIMUM 7</v>
      </c>
      <c r="O1596" s="110" t="s">
        <v>1574</v>
      </c>
    </row>
    <row r="1597" spans="1:24" ht="14.25" customHeight="1">
      <c r="A1597" t="s">
        <v>955</v>
      </c>
      <c r="B1597" t="s">
        <v>1837</v>
      </c>
      <c r="E1597" s="118" t="s">
        <v>2352</v>
      </c>
      <c r="F1597" s="118" t="s">
        <v>1881</v>
      </c>
      <c r="H1597" s="206" t="str">
        <f>E1597</f>
        <v>(8.03ak) What is the total price in Dalasi charged for Diagnosis,  testing, and counseling for STIs? INTERVIEWER: IF NO CHARGE, RECORD "0".</v>
      </c>
      <c r="I1597" s="213" t="str">
        <f t="shared" si="216"/>
        <v>integer</v>
      </c>
      <c r="J1597" s="106" t="s">
        <v>3534</v>
      </c>
      <c r="K1597" s="116" t="s">
        <v>2443</v>
      </c>
      <c r="N1597" t="str">
        <f xml:space="preserve"> LEFT(E1596,8) &amp; " MINIMUM 0"</f>
        <v>(8.02ak) MINIMUM 0</v>
      </c>
      <c r="O1597" s="110" t="s">
        <v>1574</v>
      </c>
    </row>
    <row r="1598" spans="1:24" ht="14.25" customHeight="1">
      <c r="A1598" t="s">
        <v>15</v>
      </c>
      <c r="E1598" s="118" t="s">
        <v>1067</v>
      </c>
      <c r="I1598" s="213" t="str">
        <f t="shared" si="216"/>
        <v>end group</v>
      </c>
      <c r="L1598" s="118" t="str">
        <f>IF(K1598="yes",("Sorry, question "&amp;LEFT(E1598, 6)&amp;" is required!"),"")</f>
        <v/>
      </c>
      <c r="X1598" t="s">
        <v>3032</v>
      </c>
    </row>
    <row r="1599" spans="1:24" ht="14.25" customHeight="1">
      <c r="A1599" t="s">
        <v>954</v>
      </c>
      <c r="B1599" t="s">
        <v>1898</v>
      </c>
      <c r="E1599" s="118" t="s">
        <v>1067</v>
      </c>
      <c r="I1599" s="213" t="str">
        <f t="shared" si="216"/>
        <v>begin group</v>
      </c>
      <c r="J1599" s="106" t="s">
        <v>3371</v>
      </c>
      <c r="L1599" s="118" t="str">
        <f>IF(K1599="yes",("Sorry, question "&amp;LEFT(E1599, 6)&amp;" is required!"),"")</f>
        <v/>
      </c>
      <c r="O1599" s="110" t="s">
        <v>1574</v>
      </c>
      <c r="X1599" t="s">
        <v>3032</v>
      </c>
    </row>
    <row r="1600" spans="1:24" ht="14.25" customHeight="1">
      <c r="A1600" t="s">
        <v>17</v>
      </c>
      <c r="B1600" t="s">
        <v>1838</v>
      </c>
      <c r="E1600" s="118" t="s">
        <v>3253</v>
      </c>
      <c r="F1600" s="117" t="s">
        <v>6662</v>
      </c>
      <c r="I1600" s="213" t="str">
        <f t="shared" si="216"/>
        <v>note</v>
      </c>
      <c r="J1600" s="106" t="s">
        <v>3370</v>
      </c>
      <c r="L1600" s="118" t="str">
        <f>IF(K1600="yes",("Sorry, question "&amp;LEFT(E1600, 6)&amp;" is required!"),"")</f>
        <v/>
      </c>
    </row>
    <row r="1601" spans="1:24" ht="14.25" customHeight="1">
      <c r="A1601" t="s">
        <v>17</v>
      </c>
      <c r="B1601" t="s">
        <v>1839</v>
      </c>
      <c r="E1601" s="118" t="s">
        <v>958</v>
      </c>
      <c r="I1601" s="213" t="str">
        <f t="shared" ref="I1601:I1664" si="220">A1601</f>
        <v>note</v>
      </c>
      <c r="J1601" s="106" t="s">
        <v>3477</v>
      </c>
      <c r="L1601" s="118" t="str">
        <f>IF(K1601="yes",("Sorry, question MONTH 1 is required!"),"")</f>
        <v/>
      </c>
    </row>
    <row r="1602" spans="1:24" ht="14.25" customHeight="1">
      <c r="A1602" t="s">
        <v>955</v>
      </c>
      <c r="B1602" t="s">
        <v>5177</v>
      </c>
      <c r="E1602" s="118" t="s">
        <v>959</v>
      </c>
      <c r="H1602" s="206" t="str">
        <f>"(8.04ak) TOTAL NUMBER OF "&amp;E1601&amp;" - "&amp;E1602</f>
        <v>(8.04ak) TOTAL NUMBER OF MONTH 1 - IN</v>
      </c>
      <c r="I1602" s="213" t="str">
        <f t="shared" si="220"/>
        <v>integer</v>
      </c>
      <c r="J1602" s="106" t="s">
        <v>4907</v>
      </c>
      <c r="K1602" s="116" t="s">
        <v>2443</v>
      </c>
      <c r="L1602" s="118" t="str">
        <f t="shared" ref="L1602:L1606" si="221">IF(K1602="yes",("Sorry, question MONTH 1 is required!"),"")</f>
        <v>Sorry, question MONTH 1 is required!</v>
      </c>
      <c r="M1602" s="113" t="s">
        <v>5398</v>
      </c>
      <c r="N1602" t="s">
        <v>4047</v>
      </c>
    </row>
    <row r="1603" spans="1:24" ht="14.25" customHeight="1">
      <c r="A1603" t="s">
        <v>955</v>
      </c>
      <c r="B1603" t="s">
        <v>5165</v>
      </c>
      <c r="E1603" s="118" t="s">
        <v>960</v>
      </c>
      <c r="H1603" s="206" t="str">
        <f>"(8.04ak) TOTAL NUMBER OF "&amp;E1601&amp;" - "&amp;E1603</f>
        <v>(8.04ak) TOTAL NUMBER OF MONTH 1 - OUT</v>
      </c>
      <c r="I1603" s="213" t="str">
        <f t="shared" si="220"/>
        <v>integer</v>
      </c>
      <c r="J1603" s="106" t="s">
        <v>4908</v>
      </c>
      <c r="K1603" s="116" t="s">
        <v>2443</v>
      </c>
      <c r="L1603" s="118" t="str">
        <f t="shared" si="221"/>
        <v>Sorry, question MONTH 1 is required!</v>
      </c>
      <c r="M1603" s="113" t="s">
        <v>5398</v>
      </c>
      <c r="N1603" t="s">
        <v>4048</v>
      </c>
    </row>
    <row r="1604" spans="1:24" ht="14.25" customHeight="1">
      <c r="A1604" t="s">
        <v>17</v>
      </c>
      <c r="B1604" t="s">
        <v>1840</v>
      </c>
      <c r="E1604" s="118" t="s">
        <v>961</v>
      </c>
      <c r="I1604" s="213" t="str">
        <f t="shared" si="220"/>
        <v>note</v>
      </c>
      <c r="J1604" s="106" t="s">
        <v>3478</v>
      </c>
      <c r="L1604" s="118" t="str">
        <f>IF(K1604="yes",("Sorry, question MONTH 2 is required!"),"")</f>
        <v/>
      </c>
    </row>
    <row r="1605" spans="1:24" ht="14.25" customHeight="1">
      <c r="A1605" t="s">
        <v>955</v>
      </c>
      <c r="B1605" t="s">
        <v>5141</v>
      </c>
      <c r="E1605" s="118" t="s">
        <v>959</v>
      </c>
      <c r="H1605" s="206" t="str">
        <f>"(8.04ak) TOTAL NUMBER OF "&amp;E1604&amp;" - "&amp;E1605</f>
        <v>(8.04ak) TOTAL NUMBER OF MONTH 2 - IN</v>
      </c>
      <c r="I1605" s="213" t="str">
        <f t="shared" si="220"/>
        <v>integer</v>
      </c>
      <c r="J1605" s="106" t="s">
        <v>6621</v>
      </c>
      <c r="K1605" s="116" t="s">
        <v>2443</v>
      </c>
      <c r="L1605" s="118" t="str">
        <f>IF(K1605="yes",("Sorry, question MONTH 2 is required!"),"")</f>
        <v>Sorry, question MONTH 2 is required!</v>
      </c>
      <c r="M1605" s="113" t="s">
        <v>5398</v>
      </c>
      <c r="N1605" t="s">
        <v>4049</v>
      </c>
    </row>
    <row r="1606" spans="1:24" ht="14.25" customHeight="1">
      <c r="A1606" t="s">
        <v>955</v>
      </c>
      <c r="B1606" t="s">
        <v>5153</v>
      </c>
      <c r="E1606" s="118" t="s">
        <v>960</v>
      </c>
      <c r="H1606" s="206" t="str">
        <f>"(8.04ak) TOTAL NUMBER OF "&amp;E1604&amp;" - "&amp;E1606</f>
        <v>(8.04ak) TOTAL NUMBER OF MONTH 2 - OUT</v>
      </c>
      <c r="I1606" s="213" t="str">
        <f t="shared" si="220"/>
        <v>integer</v>
      </c>
      <c r="J1606" s="106" t="s">
        <v>6626</v>
      </c>
      <c r="K1606" s="116" t="s">
        <v>2443</v>
      </c>
      <c r="L1606" s="118" t="str">
        <f t="shared" si="221"/>
        <v>Sorry, question MONTH 1 is required!</v>
      </c>
      <c r="M1606" s="113" t="s">
        <v>5398</v>
      </c>
      <c r="N1606" t="s">
        <v>4050</v>
      </c>
    </row>
    <row r="1607" spans="1:24" ht="14.25" customHeight="1">
      <c r="A1607" t="s">
        <v>17</v>
      </c>
      <c r="B1607" t="s">
        <v>1841</v>
      </c>
      <c r="E1607" s="118" t="s">
        <v>962</v>
      </c>
      <c r="I1607" s="213" t="str">
        <f t="shared" si="220"/>
        <v>note</v>
      </c>
      <c r="J1607" s="106" t="s">
        <v>3480</v>
      </c>
      <c r="L1607" s="118" t="str">
        <f>IF(K1607="yes",("Sorry, question MONTH 3 is required!"),"")</f>
        <v/>
      </c>
    </row>
    <row r="1608" spans="1:24" ht="14.25" customHeight="1">
      <c r="A1608" t="s">
        <v>955</v>
      </c>
      <c r="B1608" t="s">
        <v>5129</v>
      </c>
      <c r="E1608" s="118" t="s">
        <v>959</v>
      </c>
      <c r="H1608" s="206" t="str">
        <f>"(8.04ak) TOTAL NUMBER OF "&amp;E1607&amp;" - "&amp;E1608</f>
        <v>(8.04ak) TOTAL NUMBER OF MONTH 3 - IN</v>
      </c>
      <c r="I1608" s="213" t="str">
        <f t="shared" si="220"/>
        <v>integer</v>
      </c>
      <c r="J1608" s="106" t="s">
        <v>6629</v>
      </c>
      <c r="K1608" s="116" t="s">
        <v>2443</v>
      </c>
      <c r="L1608" s="118" t="str">
        <f>IF(K1608="yes",("Sorry, question MONTH 3 is required!"),"")</f>
        <v>Sorry, question MONTH 3 is required!</v>
      </c>
      <c r="M1608" s="113" t="s">
        <v>5398</v>
      </c>
      <c r="N1608" t="s">
        <v>4051</v>
      </c>
    </row>
    <row r="1609" spans="1:24" ht="14.25" customHeight="1">
      <c r="A1609" t="s">
        <v>955</v>
      </c>
      <c r="B1609" t="s">
        <v>5117</v>
      </c>
      <c r="E1609" s="118" t="s">
        <v>960</v>
      </c>
      <c r="H1609" s="206" t="str">
        <f>"(8.04ak) TOTAL NUMBER OF "&amp;E1607&amp;" - "&amp;E1609</f>
        <v>(8.04ak) TOTAL NUMBER OF MONTH 3 - OUT</v>
      </c>
      <c r="I1609" s="213" t="str">
        <f t="shared" si="220"/>
        <v>integer</v>
      </c>
      <c r="J1609" s="106" t="s">
        <v>6630</v>
      </c>
      <c r="K1609" s="116" t="s">
        <v>2443</v>
      </c>
      <c r="L1609" s="118" t="str">
        <f>IF(K1609="yes",("Sorry, question MONTH 3 is required!"),"")</f>
        <v>Sorry, question MONTH 3 is required!</v>
      </c>
      <c r="M1609" s="113" t="s">
        <v>5398</v>
      </c>
      <c r="N1609" t="s">
        <v>4052</v>
      </c>
    </row>
    <row r="1610" spans="1:24" ht="14.25" customHeight="1">
      <c r="A1610" t="s">
        <v>956</v>
      </c>
      <c r="I1610" s="213" t="str">
        <f t="shared" si="220"/>
        <v>end group</v>
      </c>
      <c r="L1610" s="118" t="str">
        <f t="shared" ref="L1610" si="222">IF(K1610="yes",("Sorry, question "&amp;LEFT($E$1651, 8)&amp;" is required!"),"")</f>
        <v/>
      </c>
      <c r="X1610" t="s">
        <v>3032</v>
      </c>
    </row>
    <row r="1611" spans="1:24" ht="14.25" customHeight="1">
      <c r="A1611" t="s">
        <v>954</v>
      </c>
      <c r="B1611" t="s">
        <v>3254</v>
      </c>
      <c r="E1611" s="118" t="s">
        <v>1067</v>
      </c>
      <c r="I1611" s="213" t="str">
        <f t="shared" si="220"/>
        <v>begin group</v>
      </c>
      <c r="J1611" s="106" t="s">
        <v>13</v>
      </c>
      <c r="X1611" t="s">
        <v>3032</v>
      </c>
    </row>
    <row r="1612" spans="1:24" ht="14.25" customHeight="1">
      <c r="A1612" t="s">
        <v>23</v>
      </c>
      <c r="B1612" s="107" t="s">
        <v>1842</v>
      </c>
      <c r="E1612" s="118" t="s">
        <v>3395</v>
      </c>
      <c r="F1612" s="118" t="s">
        <v>3396</v>
      </c>
      <c r="I1612" s="213" t="str">
        <f t="shared" si="220"/>
        <v>select_one yesno</v>
      </c>
      <c r="J1612" s="106" t="s">
        <v>1876</v>
      </c>
    </row>
    <row r="1613" spans="1:24" ht="14.25" customHeight="1">
      <c r="A1613" t="s">
        <v>23</v>
      </c>
      <c r="B1613" t="s">
        <v>1843</v>
      </c>
      <c r="E1613" s="118" t="s">
        <v>951</v>
      </c>
      <c r="H1613" s="206" t="str">
        <f>E1612&amp;E1613</f>
        <v>(8.01al) Does this facility provide Treatment for STIs within the facility and/or as outreach? In-facility</v>
      </c>
      <c r="I1613" s="213" t="str">
        <f t="shared" si="220"/>
        <v>select_one yesno</v>
      </c>
      <c r="J1613" s="106" t="s">
        <v>1874</v>
      </c>
      <c r="K1613" s="116" t="s">
        <v>2443</v>
      </c>
      <c r="L1613" s="118" t="str">
        <f>IF(K1613="yes",("Sorry, question (8.01"&amp;RIGHT(B1612,2)&amp;") is required!"),"")</f>
        <v>Sorry, question (8.01al) is required!</v>
      </c>
    </row>
    <row r="1614" spans="1:24" ht="14.25" customHeight="1">
      <c r="A1614" t="s">
        <v>23</v>
      </c>
      <c r="B1614" t="s">
        <v>1844</v>
      </c>
      <c r="E1614" s="118" t="s">
        <v>953</v>
      </c>
      <c r="H1614" s="206" t="str">
        <f>E1612&amp;E1614</f>
        <v>(8.01al) Does this facility provide Treatment for STIs within the facility and/or as outreach? Outreach</v>
      </c>
      <c r="I1614" s="213" t="str">
        <f t="shared" si="220"/>
        <v>select_one yesno</v>
      </c>
      <c r="J1614" s="106" t="s">
        <v>1874</v>
      </c>
      <c r="K1614" s="116" t="s">
        <v>2443</v>
      </c>
      <c r="L1614" s="118" t="str">
        <f>IF(K1614="yes",("Sorry, question (8.01"&amp;RIGHT(B1612,2)&amp;") is required!"),"")</f>
        <v>Sorry, question (8.01al) is required!</v>
      </c>
    </row>
    <row r="1615" spans="1:24" ht="14.25" customHeight="1">
      <c r="A1615" t="s">
        <v>955</v>
      </c>
      <c r="B1615" t="s">
        <v>1845</v>
      </c>
      <c r="E1615" s="118" t="s">
        <v>1967</v>
      </c>
      <c r="F1615" s="118" t="s">
        <v>6622</v>
      </c>
      <c r="H1615" s="206" t="str">
        <f>E1615</f>
        <v>(8.02al) How many days per week is this service offered?</v>
      </c>
      <c r="I1615" s="213" t="str">
        <f t="shared" si="220"/>
        <v>integer</v>
      </c>
      <c r="J1615" s="106" t="s">
        <v>6625</v>
      </c>
      <c r="K1615" s="116" t="s">
        <v>2443</v>
      </c>
      <c r="L1615" s="118" t="str">
        <f>IF(K1615="yes",("Sorry, question "&amp;LEFT(E1615, 8)&amp;" is required!"),"")</f>
        <v>Sorry, question (8.02al) is required!</v>
      </c>
      <c r="M1615" s="113" t="s">
        <v>6618</v>
      </c>
      <c r="N1615" t="str">
        <f xml:space="preserve"> LEFT(E1615,8) &amp; " MAXIMUM 7"</f>
        <v>(8.02al) MAXIMUM 7</v>
      </c>
      <c r="O1615" s="110" t="s">
        <v>1575</v>
      </c>
    </row>
    <row r="1616" spans="1:24" ht="14.25" customHeight="1">
      <c r="A1616" t="s">
        <v>955</v>
      </c>
      <c r="B1616" t="s">
        <v>1846</v>
      </c>
      <c r="E1616" s="118" t="s">
        <v>2353</v>
      </c>
      <c r="F1616" s="118" t="s">
        <v>1881</v>
      </c>
      <c r="H1616" s="206" t="str">
        <f>E1616</f>
        <v>(8.03al) What is the total price in Dalasi charged for Treatment for STIs? INTERVIEWER: IF NO CHARGE, RECORD "0".</v>
      </c>
      <c r="I1616" s="213" t="str">
        <f t="shared" si="220"/>
        <v>integer</v>
      </c>
      <c r="J1616" s="106" t="s">
        <v>3379</v>
      </c>
      <c r="K1616" s="116" t="s">
        <v>2443</v>
      </c>
      <c r="L1616" s="118" t="str">
        <f>IF(K1616="yes",("Sorry, question "&amp;LEFT(E1616, 8)&amp;" is required!"),"")</f>
        <v>Sorry, question (8.03al) is required!</v>
      </c>
      <c r="M1616" s="113" t="s">
        <v>5398</v>
      </c>
      <c r="N1616" t="str">
        <f xml:space="preserve"> LEFT(E1615,8) &amp; " MINIMUM 0"</f>
        <v>(8.02al) MINIMUM 0</v>
      </c>
      <c r="O1616" s="110" t="s">
        <v>1575</v>
      </c>
    </row>
    <row r="1617" spans="1:24" ht="14.25" customHeight="1">
      <c r="A1617" t="s">
        <v>15</v>
      </c>
      <c r="E1617" s="118" t="s">
        <v>1067</v>
      </c>
      <c r="I1617" s="213" t="str">
        <f t="shared" si="220"/>
        <v>end group</v>
      </c>
      <c r="X1617" t="s">
        <v>3032</v>
      </c>
    </row>
    <row r="1618" spans="1:24" ht="14.25" customHeight="1">
      <c r="A1618" t="s">
        <v>954</v>
      </c>
      <c r="B1618" t="s">
        <v>3255</v>
      </c>
      <c r="E1618" s="118" t="s">
        <v>1067</v>
      </c>
      <c r="I1618" s="213" t="str">
        <f t="shared" si="220"/>
        <v>begin group</v>
      </c>
      <c r="J1618" s="106" t="s">
        <v>3371</v>
      </c>
      <c r="L1618" s="118" t="str">
        <f>IF(K1618="yes",("Sorry, question "&amp;LEFT(E1618, 6)&amp;" is required!"),"")</f>
        <v/>
      </c>
      <c r="O1618" s="110" t="s">
        <v>1575</v>
      </c>
      <c r="X1618" t="s">
        <v>3032</v>
      </c>
    </row>
    <row r="1619" spans="1:24" ht="14.25" customHeight="1">
      <c r="A1619" t="s">
        <v>17</v>
      </c>
      <c r="B1619" t="s">
        <v>1847</v>
      </c>
      <c r="E1619" s="118" t="s">
        <v>3256</v>
      </c>
      <c r="F1619" s="117" t="s">
        <v>6662</v>
      </c>
      <c r="I1619" s="213" t="str">
        <f t="shared" si="220"/>
        <v>note</v>
      </c>
      <c r="J1619" s="106" t="s">
        <v>3370</v>
      </c>
      <c r="L1619" s="118" t="str">
        <f>IF(K1619="yes",("Sorry, question "&amp;LEFT(E1619, 6)&amp;" is required!"),"")</f>
        <v/>
      </c>
    </row>
    <row r="1620" spans="1:24" ht="14.25" customHeight="1">
      <c r="A1620" t="s">
        <v>17</v>
      </c>
      <c r="B1620" t="s">
        <v>1848</v>
      </c>
      <c r="E1620" s="118" t="s">
        <v>958</v>
      </c>
      <c r="I1620" s="213" t="str">
        <f t="shared" si="220"/>
        <v>note</v>
      </c>
      <c r="J1620" s="106" t="s">
        <v>3477</v>
      </c>
      <c r="L1620" s="118" t="str">
        <f>IF(K1620="yes",("Sorry, question "&amp;LEFT(E1620, 6)&amp;" is required!"),"")</f>
        <v/>
      </c>
    </row>
    <row r="1621" spans="1:24" ht="14.25" customHeight="1">
      <c r="A1621" t="s">
        <v>955</v>
      </c>
      <c r="B1621" t="s">
        <v>5178</v>
      </c>
      <c r="E1621" s="118" t="s">
        <v>959</v>
      </c>
      <c r="H1621" s="206" t="str">
        <f>"(8.04al) TOTAL NUMBER OF "&amp;E1620&amp;" - "&amp;E1621</f>
        <v>(8.04al) TOTAL NUMBER OF MONTH 1 - IN</v>
      </c>
      <c r="I1621" s="213" t="str">
        <f t="shared" si="220"/>
        <v>integer</v>
      </c>
      <c r="J1621" s="106" t="s">
        <v>4907</v>
      </c>
      <c r="K1621" s="116" t="s">
        <v>2443</v>
      </c>
      <c r="L1621" s="118" t="str">
        <f>IF(K1621="yes",("Sorry, question MONTH 1 is required!"),"")</f>
        <v>Sorry, question MONTH 1 is required!</v>
      </c>
      <c r="M1621" s="113" t="s">
        <v>5398</v>
      </c>
      <c r="N1621" t="s">
        <v>4053</v>
      </c>
    </row>
    <row r="1622" spans="1:24" ht="14.25" customHeight="1">
      <c r="A1622" t="s">
        <v>955</v>
      </c>
      <c r="B1622" t="s">
        <v>5166</v>
      </c>
      <c r="E1622" s="118" t="s">
        <v>960</v>
      </c>
      <c r="H1622" s="206" t="str">
        <f>"(8.04al) TOTAL NUMBER OF "&amp;E1620&amp;" - "&amp;E1622</f>
        <v>(8.04al) TOTAL NUMBER OF MONTH 1 - OUT</v>
      </c>
      <c r="I1622" s="213" t="str">
        <f t="shared" si="220"/>
        <v>integer</v>
      </c>
      <c r="J1622" s="106" t="s">
        <v>4908</v>
      </c>
      <c r="K1622" s="116" t="s">
        <v>2443</v>
      </c>
      <c r="L1622" s="118" t="str">
        <f t="shared" ref="L1622:L1626" si="223">IF(K1622="yes",("Sorry, question MONTH 1 is required!"),"")</f>
        <v>Sorry, question MONTH 1 is required!</v>
      </c>
      <c r="M1622" s="113" t="s">
        <v>5398</v>
      </c>
      <c r="N1622" t="s">
        <v>4054</v>
      </c>
    </row>
    <row r="1623" spans="1:24" ht="14.25" customHeight="1">
      <c r="A1623" t="s">
        <v>17</v>
      </c>
      <c r="B1623" t="s">
        <v>1849</v>
      </c>
      <c r="E1623" s="118" t="s">
        <v>961</v>
      </c>
      <c r="I1623" s="213" t="str">
        <f t="shared" si="220"/>
        <v>note</v>
      </c>
      <c r="J1623" s="106" t="s">
        <v>3478</v>
      </c>
      <c r="L1623" s="118" t="str">
        <f t="shared" si="223"/>
        <v/>
      </c>
    </row>
    <row r="1624" spans="1:24" ht="14.25" customHeight="1">
      <c r="A1624" t="s">
        <v>955</v>
      </c>
      <c r="B1624" t="s">
        <v>5142</v>
      </c>
      <c r="E1624" s="118" t="s">
        <v>959</v>
      </c>
      <c r="H1624" s="206" t="str">
        <f>"(8.04al) TOTAL NUMBER OF "&amp;E1623&amp;" - "&amp;E1624</f>
        <v>(8.04al) TOTAL NUMBER OF MONTH 2 - IN</v>
      </c>
      <c r="I1624" s="213" t="str">
        <f t="shared" si="220"/>
        <v>integer</v>
      </c>
      <c r="J1624" s="106" t="s">
        <v>6621</v>
      </c>
      <c r="K1624" s="116" t="s">
        <v>2443</v>
      </c>
      <c r="L1624" s="118" t="str">
        <f>IF(K1624="yes",("Sorry, question MONTH 2 is required!"),"")</f>
        <v>Sorry, question MONTH 2 is required!</v>
      </c>
      <c r="M1624" s="113" t="s">
        <v>5398</v>
      </c>
      <c r="N1624" t="s">
        <v>4055</v>
      </c>
    </row>
    <row r="1625" spans="1:24" ht="14.25" customHeight="1">
      <c r="A1625" t="s">
        <v>955</v>
      </c>
      <c r="B1625" t="s">
        <v>5154</v>
      </c>
      <c r="E1625" s="118" t="s">
        <v>960</v>
      </c>
      <c r="H1625" s="206" t="str">
        <f>"(8.04al) TOTAL NUMBER OF "&amp;E1623&amp;" - "&amp;E1625</f>
        <v>(8.04al) TOTAL NUMBER OF MONTH 2 - OUT</v>
      </c>
      <c r="I1625" s="213" t="str">
        <f t="shared" si="220"/>
        <v>integer</v>
      </c>
      <c r="J1625" s="106" t="s">
        <v>6626</v>
      </c>
      <c r="K1625" s="116" t="s">
        <v>2443</v>
      </c>
      <c r="L1625" s="118" t="str">
        <f>IF(K1625="yes",("Sorry, question MONTH 2 is required!"),"")</f>
        <v>Sorry, question MONTH 2 is required!</v>
      </c>
      <c r="M1625" s="113" t="s">
        <v>5398</v>
      </c>
      <c r="N1625" t="s">
        <v>4056</v>
      </c>
    </row>
    <row r="1626" spans="1:24" ht="14.25" customHeight="1">
      <c r="A1626" t="s">
        <v>17</v>
      </c>
      <c r="B1626" t="s">
        <v>1850</v>
      </c>
      <c r="E1626" s="118" t="s">
        <v>962</v>
      </c>
      <c r="I1626" s="213" t="str">
        <f t="shared" si="220"/>
        <v>note</v>
      </c>
      <c r="J1626" s="106" t="s">
        <v>3480</v>
      </c>
      <c r="L1626" s="118" t="str">
        <f t="shared" si="223"/>
        <v/>
      </c>
    </row>
    <row r="1627" spans="1:24" ht="14.25" customHeight="1">
      <c r="A1627" t="s">
        <v>955</v>
      </c>
      <c r="B1627" t="s">
        <v>5130</v>
      </c>
      <c r="E1627" s="118" t="s">
        <v>959</v>
      </c>
      <c r="H1627" s="206" t="str">
        <f>"(8.04al) TOTAL NUMBER OF "&amp;E1626&amp;" - "&amp;E1627</f>
        <v>(8.04al) TOTAL NUMBER OF MONTH 3 - IN</v>
      </c>
      <c r="I1627" s="213" t="str">
        <f t="shared" si="220"/>
        <v>integer</v>
      </c>
      <c r="J1627" s="106" t="s">
        <v>6629</v>
      </c>
      <c r="K1627" s="116" t="s">
        <v>2443</v>
      </c>
      <c r="L1627" s="118" t="str">
        <f>IF(K1627="yes",("Sorry, question MONTH 3 is required!"),"")</f>
        <v>Sorry, question MONTH 3 is required!</v>
      </c>
      <c r="M1627" s="113" t="s">
        <v>5398</v>
      </c>
      <c r="N1627" t="s">
        <v>4057</v>
      </c>
    </row>
    <row r="1628" spans="1:24" ht="14.25" customHeight="1">
      <c r="A1628" t="s">
        <v>955</v>
      </c>
      <c r="B1628" t="s">
        <v>5118</v>
      </c>
      <c r="E1628" s="118" t="s">
        <v>960</v>
      </c>
      <c r="H1628" s="206" t="str">
        <f>"(8.04al) TOTAL NUMBER OF "&amp;E1626&amp;" - "&amp;E1628</f>
        <v>(8.04al) TOTAL NUMBER OF MONTH 3 - OUT</v>
      </c>
      <c r="I1628" s="213" t="str">
        <f t="shared" si="220"/>
        <v>integer</v>
      </c>
      <c r="J1628" s="106" t="s">
        <v>6630</v>
      </c>
      <c r="K1628" s="116" t="s">
        <v>2443</v>
      </c>
      <c r="L1628" s="118" t="str">
        <f>IF(K1628="yes",("Sorry, question MONTH 3 is required!"),"")</f>
        <v>Sorry, question MONTH 3 is required!</v>
      </c>
      <c r="M1628" s="113" t="s">
        <v>5398</v>
      </c>
      <c r="N1628" t="s">
        <v>4058</v>
      </c>
    </row>
    <row r="1629" spans="1:24" ht="14.25" customHeight="1">
      <c r="A1629" t="s">
        <v>956</v>
      </c>
      <c r="I1629" s="213" t="str">
        <f t="shared" si="220"/>
        <v>end group</v>
      </c>
      <c r="L1629" s="118" t="str">
        <f>IF(K1629="yes",("Sorry, question MONTH 3 is required!"),"")</f>
        <v/>
      </c>
      <c r="X1629" t="s">
        <v>3032</v>
      </c>
    </row>
    <row r="1630" spans="1:24" ht="14.25" customHeight="1">
      <c r="A1630" t="s">
        <v>954</v>
      </c>
      <c r="B1630" t="s">
        <v>3258</v>
      </c>
      <c r="E1630" s="118" t="s">
        <v>1067</v>
      </c>
      <c r="I1630" s="213" t="str">
        <f t="shared" si="220"/>
        <v>begin group</v>
      </c>
      <c r="J1630" s="106" t="s">
        <v>3526</v>
      </c>
      <c r="L1630" s="118" t="str">
        <f t="shared" ref="L1630" si="224">IF(K1630="yes",("Sorry, question "&amp;LEFT($E$1651, 8)&amp;" is required!"),"")</f>
        <v/>
      </c>
      <c r="X1630" t="s">
        <v>3032</v>
      </c>
    </row>
    <row r="1631" spans="1:24" ht="14.25" customHeight="1">
      <c r="A1631" t="s">
        <v>17</v>
      </c>
      <c r="B1631" s="107" t="s">
        <v>2961</v>
      </c>
      <c r="E1631" s="118" t="s">
        <v>4214</v>
      </c>
      <c r="I1631" s="213" t="str">
        <f t="shared" si="220"/>
        <v>note</v>
      </c>
      <c r="J1631" s="106" t="s">
        <v>3528</v>
      </c>
      <c r="L1631" s="118" t="str">
        <f>IF(K1631="yes",("Sorry, question "&amp;LEFT(E1631, 8)&amp;" is required!"),"")</f>
        <v/>
      </c>
    </row>
    <row r="1632" spans="1:24" ht="14.25" customHeight="1">
      <c r="A1632" t="s">
        <v>23</v>
      </c>
      <c r="B1632" s="107" t="s">
        <v>1851</v>
      </c>
      <c r="E1632" s="118" t="s">
        <v>3393</v>
      </c>
      <c r="F1632" s="118" t="s">
        <v>3394</v>
      </c>
      <c r="I1632" s="213" t="str">
        <f t="shared" si="220"/>
        <v>select_one yesno</v>
      </c>
      <c r="J1632" s="106" t="s">
        <v>3540</v>
      </c>
      <c r="L1632" s="118" t="str">
        <f>IF(K1632="yes",("Sorry, question "&amp;LEFT($E$1651, 8)&amp;" is required!"),"")</f>
        <v/>
      </c>
    </row>
    <row r="1633" spans="1:24" ht="14.25" customHeight="1">
      <c r="A1633" t="s">
        <v>23</v>
      </c>
      <c r="B1633" t="s">
        <v>1852</v>
      </c>
      <c r="E1633" s="118" t="s">
        <v>951</v>
      </c>
      <c r="H1633" s="206" t="str">
        <f>E1632&amp;E1633</f>
        <v>(8.01am) Does this facility provide 24-hour emergency care within the facility and/or as outreach? In-facility</v>
      </c>
      <c r="I1633" s="213" t="str">
        <f t="shared" si="220"/>
        <v>select_one yesno</v>
      </c>
      <c r="J1633" s="106" t="s">
        <v>3538</v>
      </c>
      <c r="K1633" s="116" t="s">
        <v>2443</v>
      </c>
      <c r="L1633" s="118" t="str">
        <f>IF(K1633="yes",("Sorry, question (8.01"&amp;RIGHT(B1632,2)&amp;") is required!"),"")</f>
        <v>Sorry, question (8.01am) is required!</v>
      </c>
    </row>
    <row r="1634" spans="1:24" ht="14.25" customHeight="1">
      <c r="A1634" t="s">
        <v>23</v>
      </c>
      <c r="B1634" t="s">
        <v>1853</v>
      </c>
      <c r="E1634" s="118" t="s">
        <v>953</v>
      </c>
      <c r="H1634" s="206" t="str">
        <f>E1632&amp;E1634</f>
        <v>(8.01am) Does this facility provide 24-hour emergency care within the facility and/or as outreach? Outreach</v>
      </c>
      <c r="I1634" s="213" t="str">
        <f t="shared" si="220"/>
        <v>select_one yesno</v>
      </c>
      <c r="J1634" s="106" t="s">
        <v>3539</v>
      </c>
      <c r="K1634" s="116" t="s">
        <v>2443</v>
      </c>
      <c r="L1634" s="118" t="str">
        <f>IF(K1634="yes",("Sorry, question (8.01"&amp;RIGHT(B1632,2)&amp;") is required!"),"")</f>
        <v>Sorry, question (8.01am) is required!</v>
      </c>
    </row>
    <row r="1635" spans="1:24" ht="14.25" customHeight="1">
      <c r="A1635" t="s">
        <v>955</v>
      </c>
      <c r="B1635" t="s">
        <v>1854</v>
      </c>
      <c r="E1635" s="118" t="s">
        <v>1968</v>
      </c>
      <c r="F1635" s="118" t="s">
        <v>6622</v>
      </c>
      <c r="H1635" s="206" t="str">
        <f>E1635</f>
        <v>(8.02am) How many days per week is this service offered?</v>
      </c>
      <c r="I1635" s="213" t="str">
        <f t="shared" si="220"/>
        <v>integer</v>
      </c>
      <c r="J1635" s="106" t="s">
        <v>6624</v>
      </c>
      <c r="K1635" s="116" t="s">
        <v>2443</v>
      </c>
      <c r="L1635" s="118" t="str">
        <f>IF(K1635="yes",("Sorry, question "&amp;LEFT(E1635, 8)&amp;" is required!"),"")</f>
        <v>Sorry, question (8.02am) is required!</v>
      </c>
      <c r="M1635" s="113" t="s">
        <v>6618</v>
      </c>
      <c r="N1635" t="str">
        <f xml:space="preserve"> LEFT(E1635,8) &amp; " MAXIMUM 7"</f>
        <v>(8.02am) MAXIMUM 7</v>
      </c>
      <c r="O1635" s="110" t="s">
        <v>1576</v>
      </c>
    </row>
    <row r="1636" spans="1:24" ht="14.25" customHeight="1">
      <c r="A1636" t="s">
        <v>955</v>
      </c>
      <c r="B1636" t="s">
        <v>1855</v>
      </c>
      <c r="E1636" s="118" t="s">
        <v>2354</v>
      </c>
      <c r="F1636" s="118" t="s">
        <v>1881</v>
      </c>
      <c r="H1636" s="206" t="str">
        <f>E1636</f>
        <v>(8.03am) What is the total price in Dalasi charged for 24-hour emergency care? INTERVIEWER: IF NO CHARGE, RECORD "0".</v>
      </c>
      <c r="I1636" s="213" t="str">
        <f t="shared" si="220"/>
        <v>integer</v>
      </c>
      <c r="J1636" s="106" t="s">
        <v>3534</v>
      </c>
      <c r="K1636" s="116" t="s">
        <v>2443</v>
      </c>
      <c r="L1636" s="118" t="str">
        <f>IF(K1636="yes",("Sorry, question "&amp;LEFT(E1636, 8)&amp;" is required!"),"")</f>
        <v>Sorry, question (8.03am) is required!</v>
      </c>
      <c r="M1636" s="113" t="s">
        <v>5398</v>
      </c>
      <c r="N1636" t="str">
        <f xml:space="preserve"> LEFT(E1635,8) &amp; " MINIMUM 0"</f>
        <v>(8.02am) MINIMUM 0</v>
      </c>
      <c r="O1636" s="110" t="s">
        <v>1576</v>
      </c>
    </row>
    <row r="1637" spans="1:24" ht="14.25" customHeight="1">
      <c r="A1637" t="s">
        <v>15</v>
      </c>
      <c r="E1637" s="118" t="s">
        <v>1067</v>
      </c>
      <c r="I1637" s="213" t="str">
        <f t="shared" si="220"/>
        <v>end group</v>
      </c>
      <c r="L1637" s="118" t="str">
        <f t="shared" ref="L1637:L1650" si="225">IF(K1637="yes",("Sorry, question "&amp;LEFT($E$1651, 8)&amp;" is required!"),"")</f>
        <v/>
      </c>
      <c r="X1637" t="s">
        <v>3032</v>
      </c>
    </row>
    <row r="1638" spans="1:24" ht="14.25" customHeight="1">
      <c r="A1638" t="s">
        <v>954</v>
      </c>
      <c r="B1638" t="s">
        <v>3259</v>
      </c>
      <c r="E1638" s="118" t="s">
        <v>1067</v>
      </c>
      <c r="I1638" s="213" t="str">
        <f t="shared" si="220"/>
        <v>begin group</v>
      </c>
      <c r="J1638" s="106" t="s">
        <v>3371</v>
      </c>
      <c r="L1638" s="118" t="str">
        <f t="shared" si="225"/>
        <v/>
      </c>
      <c r="O1638" s="110" t="s">
        <v>1576</v>
      </c>
      <c r="X1638" t="s">
        <v>3032</v>
      </c>
    </row>
    <row r="1639" spans="1:24" ht="14.25" customHeight="1">
      <c r="A1639" t="s">
        <v>17</v>
      </c>
      <c r="B1639" t="s">
        <v>1856</v>
      </c>
      <c r="E1639" s="118" t="s">
        <v>3257</v>
      </c>
      <c r="F1639" s="117" t="s">
        <v>6662</v>
      </c>
      <c r="I1639" s="213" t="str">
        <f t="shared" si="220"/>
        <v>note</v>
      </c>
      <c r="J1639" s="106" t="s">
        <v>3370</v>
      </c>
      <c r="L1639" s="118" t="str">
        <f t="shared" si="225"/>
        <v/>
      </c>
    </row>
    <row r="1640" spans="1:24" ht="14.25" customHeight="1">
      <c r="A1640" t="s">
        <v>17</v>
      </c>
      <c r="B1640" t="s">
        <v>1857</v>
      </c>
      <c r="E1640" s="118" t="s">
        <v>958</v>
      </c>
      <c r="I1640" s="213" t="str">
        <f t="shared" si="220"/>
        <v>note</v>
      </c>
      <c r="J1640" s="106" t="s">
        <v>3477</v>
      </c>
      <c r="L1640" s="118" t="str">
        <f t="shared" si="225"/>
        <v/>
      </c>
    </row>
    <row r="1641" spans="1:24" ht="14.25" customHeight="1">
      <c r="A1641" t="s">
        <v>955</v>
      </c>
      <c r="B1641" t="s">
        <v>5179</v>
      </c>
      <c r="E1641" s="118" t="s">
        <v>959</v>
      </c>
      <c r="H1641" s="206" t="str">
        <f>"(8.04am) TOTAL NUMBER OF "&amp;E1640&amp;" - "&amp;E1641</f>
        <v>(8.04am) TOTAL NUMBER OF MONTH 1 - IN</v>
      </c>
      <c r="I1641" s="213" t="str">
        <f t="shared" si="220"/>
        <v>integer</v>
      </c>
      <c r="J1641" s="106" t="s">
        <v>4907</v>
      </c>
      <c r="K1641" s="116" t="s">
        <v>2443</v>
      </c>
      <c r="L1641" s="118" t="str">
        <f>IF(K1641="yes",("Sorry, question MONTH 1 is required!"),"")</f>
        <v>Sorry, question MONTH 1 is required!</v>
      </c>
      <c r="M1641" s="113" t="s">
        <v>5398</v>
      </c>
      <c r="N1641" t="s">
        <v>4059</v>
      </c>
    </row>
    <row r="1642" spans="1:24" ht="14.25" customHeight="1">
      <c r="A1642" t="s">
        <v>955</v>
      </c>
      <c r="B1642" t="s">
        <v>5167</v>
      </c>
      <c r="E1642" s="118" t="s">
        <v>960</v>
      </c>
      <c r="H1642" s="206" t="str">
        <f>"(8.04am) TOTAL NUMBER OF "&amp;E1640&amp;" - "&amp;E1642</f>
        <v>(8.04am) TOTAL NUMBER OF MONTH 1 - OUT</v>
      </c>
      <c r="I1642" s="213" t="str">
        <f t="shared" si="220"/>
        <v>integer</v>
      </c>
      <c r="J1642" s="106" t="s">
        <v>4908</v>
      </c>
      <c r="K1642" s="116" t="s">
        <v>2443</v>
      </c>
      <c r="L1642" s="118" t="str">
        <f t="shared" ref="L1642:L1646" si="226">IF(K1642="yes",("Sorry, question MONTH 1 is required!"),"")</f>
        <v>Sorry, question MONTH 1 is required!</v>
      </c>
      <c r="M1642" s="113" t="s">
        <v>5398</v>
      </c>
      <c r="N1642" t="s">
        <v>4060</v>
      </c>
    </row>
    <row r="1643" spans="1:24" ht="14.25" customHeight="1">
      <c r="A1643" t="s">
        <v>17</v>
      </c>
      <c r="B1643" t="s">
        <v>1858</v>
      </c>
      <c r="E1643" s="118" t="s">
        <v>961</v>
      </c>
      <c r="I1643" s="213" t="str">
        <f t="shared" si="220"/>
        <v>note</v>
      </c>
      <c r="J1643" s="106" t="s">
        <v>3478</v>
      </c>
      <c r="L1643" s="118" t="str">
        <f t="shared" si="226"/>
        <v/>
      </c>
    </row>
    <row r="1644" spans="1:24" ht="14.25" customHeight="1">
      <c r="A1644" t="s">
        <v>955</v>
      </c>
      <c r="B1644" t="s">
        <v>5143</v>
      </c>
      <c r="E1644" s="118" t="s">
        <v>959</v>
      </c>
      <c r="H1644" s="206" t="str">
        <f>"(8.04am) TOTAL NUMBER OF "&amp;E1643&amp;" - "&amp;E1644</f>
        <v>(8.04am) TOTAL NUMBER OF MONTH 2 - IN</v>
      </c>
      <c r="I1644" s="213" t="str">
        <f t="shared" si="220"/>
        <v>integer</v>
      </c>
      <c r="J1644" s="106" t="s">
        <v>6621</v>
      </c>
      <c r="K1644" s="116" t="s">
        <v>2443</v>
      </c>
      <c r="L1644" s="118" t="str">
        <f>IF(K1644="yes",("Sorry, question MONTH 2 is required!"),"")</f>
        <v>Sorry, question MONTH 2 is required!</v>
      </c>
      <c r="M1644" s="113" t="s">
        <v>5398</v>
      </c>
      <c r="N1644" t="s">
        <v>4061</v>
      </c>
    </row>
    <row r="1645" spans="1:24" ht="14.25" customHeight="1">
      <c r="A1645" t="s">
        <v>955</v>
      </c>
      <c r="B1645" t="s">
        <v>5155</v>
      </c>
      <c r="E1645" s="118" t="s">
        <v>960</v>
      </c>
      <c r="H1645" s="206" t="str">
        <f>"(8.04am) TOTAL NUMBER OF "&amp;E1643&amp;" - "&amp;E1645</f>
        <v>(8.04am) TOTAL NUMBER OF MONTH 2 - OUT</v>
      </c>
      <c r="I1645" s="213" t="str">
        <f t="shared" si="220"/>
        <v>integer</v>
      </c>
      <c r="J1645" s="106" t="s">
        <v>6626</v>
      </c>
      <c r="K1645" s="116" t="s">
        <v>2443</v>
      </c>
      <c r="L1645" s="118" t="str">
        <f>IF(K1645="yes",("Sorry, question MONTH 2 is required!"),"")</f>
        <v>Sorry, question MONTH 2 is required!</v>
      </c>
      <c r="M1645" s="113" t="s">
        <v>5398</v>
      </c>
      <c r="N1645" t="s">
        <v>4062</v>
      </c>
    </row>
    <row r="1646" spans="1:24" ht="14.25" customHeight="1">
      <c r="A1646" t="s">
        <v>17</v>
      </c>
      <c r="B1646" t="s">
        <v>1859</v>
      </c>
      <c r="E1646" s="118" t="s">
        <v>962</v>
      </c>
      <c r="I1646" s="213" t="str">
        <f t="shared" si="220"/>
        <v>note</v>
      </c>
      <c r="J1646" s="106" t="s">
        <v>3480</v>
      </c>
      <c r="L1646" s="118" t="str">
        <f t="shared" si="226"/>
        <v/>
      </c>
    </row>
    <row r="1647" spans="1:24" ht="14.25" customHeight="1">
      <c r="A1647" t="s">
        <v>955</v>
      </c>
      <c r="B1647" t="s">
        <v>5131</v>
      </c>
      <c r="E1647" s="118" t="s">
        <v>959</v>
      </c>
      <c r="H1647" s="206" t="str">
        <f>"(8.04am) TOTAL NUMBER OF "&amp;E1646&amp;" - "&amp;E1647</f>
        <v>(8.04am) TOTAL NUMBER OF MONTH 3 - IN</v>
      </c>
      <c r="I1647" s="213" t="str">
        <f t="shared" si="220"/>
        <v>integer</v>
      </c>
      <c r="J1647" s="106" t="s">
        <v>6629</v>
      </c>
      <c r="K1647" s="116" t="s">
        <v>2443</v>
      </c>
      <c r="L1647" s="118" t="str">
        <f>IF(K1647="yes",("Sorry, question MONTH 3 is required!"),"")</f>
        <v>Sorry, question MONTH 3 is required!</v>
      </c>
      <c r="M1647" s="113" t="s">
        <v>5398</v>
      </c>
      <c r="N1647" t="s">
        <v>4063</v>
      </c>
    </row>
    <row r="1648" spans="1:24" ht="14.25" customHeight="1">
      <c r="A1648" t="s">
        <v>955</v>
      </c>
      <c r="B1648" t="s">
        <v>5119</v>
      </c>
      <c r="E1648" s="118" t="s">
        <v>960</v>
      </c>
      <c r="H1648" s="206" t="str">
        <f>"(8.04am) TOTAL NUMBER OF "&amp;E1646&amp;" - "&amp;E1648</f>
        <v>(8.04am) TOTAL NUMBER OF MONTH 3 - OUT</v>
      </c>
      <c r="I1648" s="213" t="str">
        <f t="shared" si="220"/>
        <v>integer</v>
      </c>
      <c r="J1648" s="106" t="s">
        <v>6630</v>
      </c>
      <c r="K1648" s="116" t="s">
        <v>2443</v>
      </c>
      <c r="L1648" s="118" t="str">
        <f>IF(K1648="yes",("Sorry, question MONTH 3 is required!"),"")</f>
        <v>Sorry, question MONTH 3 is required!</v>
      </c>
      <c r="M1648" s="113" t="s">
        <v>5398</v>
      </c>
      <c r="N1648" t="s">
        <v>4064</v>
      </c>
    </row>
    <row r="1649" spans="1:24" ht="14.25" customHeight="1">
      <c r="A1649" t="s">
        <v>956</v>
      </c>
      <c r="E1649" s="118" t="s">
        <v>1067</v>
      </c>
      <c r="I1649" s="213" t="str">
        <f t="shared" si="220"/>
        <v>end group</v>
      </c>
      <c r="L1649" s="118" t="str">
        <f t="shared" si="225"/>
        <v/>
      </c>
      <c r="X1649" t="s">
        <v>3032</v>
      </c>
    </row>
    <row r="1650" spans="1:24" ht="14.25" customHeight="1">
      <c r="A1650" t="s">
        <v>954</v>
      </c>
      <c r="B1650" t="s">
        <v>3260</v>
      </c>
      <c r="E1650" s="118" t="s">
        <v>1067</v>
      </c>
      <c r="I1650" s="213" t="str">
        <f t="shared" si="220"/>
        <v>begin group</v>
      </c>
      <c r="J1650" s="106" t="s">
        <v>13</v>
      </c>
      <c r="L1650" s="118" t="str">
        <f t="shared" si="225"/>
        <v/>
      </c>
      <c r="X1650" t="s">
        <v>3032</v>
      </c>
    </row>
    <row r="1651" spans="1:24" ht="14.25" customHeight="1">
      <c r="A1651" t="s">
        <v>23</v>
      </c>
      <c r="B1651" s="107" t="s">
        <v>1860</v>
      </c>
      <c r="E1651" s="118" t="s">
        <v>3391</v>
      </c>
      <c r="I1651" s="213" t="str">
        <f t="shared" si="220"/>
        <v>select_one yesno</v>
      </c>
      <c r="J1651" s="106" t="s">
        <v>1</v>
      </c>
      <c r="L1651" s="118" t="str">
        <f>IF(K1651="yes",("Sorry, question "&amp;LEFT($E$1651, 8)&amp;" is required!"),"")</f>
        <v/>
      </c>
    </row>
    <row r="1652" spans="1:24" ht="14.25" customHeight="1">
      <c r="A1652" t="s">
        <v>23</v>
      </c>
      <c r="B1652" t="s">
        <v>3261</v>
      </c>
      <c r="E1652" s="118" t="s">
        <v>951</v>
      </c>
      <c r="H1652" s="206" t="str">
        <f>E1651&amp;E1652</f>
        <v>(8.01an) Does this facility provide Inpatient stay within the facility  and/or as outreach?In-facility</v>
      </c>
      <c r="I1652" s="213" t="str">
        <f t="shared" si="220"/>
        <v>select_one yesno</v>
      </c>
      <c r="J1652" s="106" t="s">
        <v>1878</v>
      </c>
      <c r="K1652" s="116" t="s">
        <v>2443</v>
      </c>
      <c r="L1652" s="118" t="str">
        <f>IF(K1652="yes",("Sorry, question (8.01"&amp;RIGHT(B1651,2)&amp;") is required!"),"")</f>
        <v>Sorry, question (8.01an) is required!</v>
      </c>
    </row>
    <row r="1653" spans="1:24" ht="14.25" customHeight="1">
      <c r="A1653" t="s">
        <v>23</v>
      </c>
      <c r="B1653" t="s">
        <v>3262</v>
      </c>
      <c r="E1653" s="118" t="s">
        <v>953</v>
      </c>
      <c r="H1653" s="206" t="str">
        <f>E1651&amp;E1653</f>
        <v>(8.01an) Does this facility provide Inpatient stay within the facility  and/or as outreach?Outreach</v>
      </c>
      <c r="I1653" s="213" t="str">
        <f t="shared" si="220"/>
        <v>select_one yesno</v>
      </c>
      <c r="J1653" s="106" t="s">
        <v>1878</v>
      </c>
      <c r="K1653" s="116" t="s">
        <v>2443</v>
      </c>
      <c r="L1653" s="118" t="str">
        <f>IF(K1653="yes",("Sorry, question (8.01"&amp;RIGHT(B1651,2)&amp;") is required!"),"")</f>
        <v>Sorry, question (8.01an) is required!</v>
      </c>
    </row>
    <row r="1654" spans="1:24" ht="14.25" customHeight="1">
      <c r="A1654" t="s">
        <v>955</v>
      </c>
      <c r="B1654" t="s">
        <v>1861</v>
      </c>
      <c r="E1654" s="118" t="s">
        <v>1969</v>
      </c>
      <c r="F1654" s="118" t="s">
        <v>6622</v>
      </c>
      <c r="H1654" s="206" t="str">
        <f>E1654</f>
        <v>(8.02an) How many days per week is this service offered?</v>
      </c>
      <c r="I1654" s="213" t="str">
        <f t="shared" si="220"/>
        <v>integer</v>
      </c>
      <c r="J1654" s="106" t="s">
        <v>6625</v>
      </c>
      <c r="K1654" s="116" t="s">
        <v>2443</v>
      </c>
      <c r="L1654" s="118" t="str">
        <f>IF(K1654="yes",("Sorry, question "&amp;LEFT(E1654, 8)&amp;" is required!"),"")</f>
        <v>Sorry, question (8.02an) is required!</v>
      </c>
      <c r="M1654" s="113" t="s">
        <v>6618</v>
      </c>
      <c r="N1654" t="str">
        <f xml:space="preserve"> LEFT(E1654,8) &amp; " MAXIMUM 7"</f>
        <v>(8.02an) MAXIMUM 7</v>
      </c>
      <c r="O1654" s="110" t="s">
        <v>3263</v>
      </c>
    </row>
    <row r="1655" spans="1:24" ht="14.25" customHeight="1">
      <c r="A1655" t="s">
        <v>955</v>
      </c>
      <c r="B1655" t="s">
        <v>2520</v>
      </c>
      <c r="E1655" s="118" t="s">
        <v>2355</v>
      </c>
      <c r="F1655" s="118" t="s">
        <v>1881</v>
      </c>
      <c r="H1655" s="206" t="str">
        <f>E1655</f>
        <v>(8.03an) What is the total price in Dalasi charged for Inpatient stay? INTERVIEWER: IF NO CHARGE, RECORD "0".</v>
      </c>
      <c r="I1655" s="213" t="str">
        <f t="shared" si="220"/>
        <v>integer</v>
      </c>
      <c r="J1655" s="106" t="s">
        <v>3379</v>
      </c>
      <c r="K1655" s="116" t="s">
        <v>2443</v>
      </c>
      <c r="L1655" s="118" t="str">
        <f>IF(K1655="yes",("Sorry, question "&amp;LEFT(E1655, 8)&amp;" is required!"),"")</f>
        <v>Sorry, question (8.03an) is required!</v>
      </c>
      <c r="M1655" s="113" t="s">
        <v>5398</v>
      </c>
      <c r="N1655" t="str">
        <f xml:space="preserve"> LEFT(E1654,8) &amp; " MINIMUM 0"</f>
        <v>(8.02an) MINIMUM 0</v>
      </c>
      <c r="O1655" s="110" t="s">
        <v>3263</v>
      </c>
    </row>
    <row r="1656" spans="1:24" ht="14.25" customHeight="1">
      <c r="A1656" t="s">
        <v>15</v>
      </c>
      <c r="E1656" s="118" t="s">
        <v>1067</v>
      </c>
      <c r="I1656" s="213" t="str">
        <f t="shared" si="220"/>
        <v>end group</v>
      </c>
      <c r="L1656" s="118" t="str">
        <f t="shared" ref="L1656:L1668" si="227">IF(K1656="yes",("Sorry, question "&amp;LEFT($E$1651, 8)&amp;" is required!"),"")</f>
        <v/>
      </c>
      <c r="X1656" t="s">
        <v>3032</v>
      </c>
    </row>
    <row r="1657" spans="1:24" ht="14.25" customHeight="1">
      <c r="A1657" t="s">
        <v>954</v>
      </c>
      <c r="B1657" t="s">
        <v>3264</v>
      </c>
      <c r="E1657" s="118" t="s">
        <v>1067</v>
      </c>
      <c r="I1657" s="213" t="str">
        <f t="shared" si="220"/>
        <v>begin group</v>
      </c>
      <c r="J1657" s="106" t="s">
        <v>3371</v>
      </c>
      <c r="L1657" s="118" t="str">
        <f t="shared" si="227"/>
        <v/>
      </c>
      <c r="O1657" s="110" t="s">
        <v>3263</v>
      </c>
      <c r="X1657" t="s">
        <v>3032</v>
      </c>
    </row>
    <row r="1658" spans="1:24" ht="14.25" customHeight="1">
      <c r="A1658" t="s">
        <v>17</v>
      </c>
      <c r="B1658" t="s">
        <v>1862</v>
      </c>
      <c r="E1658" s="118" t="s">
        <v>3265</v>
      </c>
      <c r="F1658" s="117" t="s">
        <v>6662</v>
      </c>
      <c r="I1658" s="213" t="str">
        <f t="shared" si="220"/>
        <v>note</v>
      </c>
      <c r="J1658" s="106" t="s">
        <v>3370</v>
      </c>
      <c r="L1658" s="118" t="str">
        <f t="shared" si="227"/>
        <v/>
      </c>
    </row>
    <row r="1659" spans="1:24" ht="14.25" customHeight="1">
      <c r="A1659" t="s">
        <v>17</v>
      </c>
      <c r="B1659" t="s">
        <v>1863</v>
      </c>
      <c r="E1659" s="118" t="s">
        <v>958</v>
      </c>
      <c r="I1659" s="213" t="str">
        <f t="shared" si="220"/>
        <v>note</v>
      </c>
      <c r="J1659" s="106" t="s">
        <v>3477</v>
      </c>
      <c r="L1659" s="118" t="str">
        <f t="shared" si="227"/>
        <v/>
      </c>
    </row>
    <row r="1660" spans="1:24" ht="14.25" customHeight="1">
      <c r="A1660" t="s">
        <v>955</v>
      </c>
      <c r="B1660" t="s">
        <v>5180</v>
      </c>
      <c r="E1660" s="118" t="s">
        <v>959</v>
      </c>
      <c r="H1660" s="206" t="str">
        <f>"(8.04an) TOTAL NUMBER OF "&amp;E1659&amp;" - "&amp;E1660</f>
        <v>(8.04an) TOTAL NUMBER OF MONTH 1 - IN</v>
      </c>
      <c r="I1660" s="213" t="str">
        <f t="shared" si="220"/>
        <v>integer</v>
      </c>
      <c r="J1660" s="106" t="s">
        <v>4907</v>
      </c>
      <c r="K1660" s="116" t="s">
        <v>2443</v>
      </c>
      <c r="L1660" s="118" t="str">
        <f>IF(K1660="yes",("Sorry, question MONTH 1 is required!"),"")</f>
        <v>Sorry, question MONTH 1 is required!</v>
      </c>
      <c r="M1660" s="113" t="s">
        <v>5398</v>
      </c>
      <c r="N1660" t="s">
        <v>4065</v>
      </c>
    </row>
    <row r="1661" spans="1:24" ht="14.25" customHeight="1">
      <c r="A1661" t="s">
        <v>14</v>
      </c>
      <c r="B1661" t="s">
        <v>5168</v>
      </c>
      <c r="E1661" s="118" t="s">
        <v>960</v>
      </c>
      <c r="H1661" s="206" t="str">
        <f>"(8.04an) TOTAL NUMBER OF "&amp;E1659&amp;" - "&amp;E1661</f>
        <v>(8.04an) TOTAL NUMBER OF MONTH 1 - OUT</v>
      </c>
      <c r="I1661" s="213" t="str">
        <f t="shared" si="220"/>
        <v>integer</v>
      </c>
      <c r="J1661" s="106" t="s">
        <v>4908</v>
      </c>
      <c r="K1661" s="116" t="s">
        <v>2443</v>
      </c>
      <c r="L1661" s="118" t="str">
        <f t="shared" ref="L1661:L1665" si="228">IF(K1661="yes",("Sorry, question MONTH 1 is required!"),"")</f>
        <v>Sorry, question MONTH 1 is required!</v>
      </c>
      <c r="M1661" s="113" t="s">
        <v>5398</v>
      </c>
      <c r="N1661" t="s">
        <v>4066</v>
      </c>
    </row>
    <row r="1662" spans="1:24" ht="14.25" customHeight="1">
      <c r="A1662" t="s">
        <v>17</v>
      </c>
      <c r="B1662" t="s">
        <v>1864</v>
      </c>
      <c r="E1662" s="118" t="s">
        <v>961</v>
      </c>
      <c r="I1662" s="213" t="str">
        <f t="shared" si="220"/>
        <v>note</v>
      </c>
      <c r="J1662" s="106" t="s">
        <v>3478</v>
      </c>
      <c r="L1662" s="118" t="str">
        <f t="shared" si="228"/>
        <v/>
      </c>
    </row>
    <row r="1663" spans="1:24" ht="14.25" customHeight="1">
      <c r="A1663" t="s">
        <v>955</v>
      </c>
      <c r="B1663" t="s">
        <v>5144</v>
      </c>
      <c r="E1663" s="118" t="s">
        <v>959</v>
      </c>
      <c r="H1663" s="206" t="str">
        <f>"(8.04an) TOTAL NUMBER OF "&amp;E1662&amp;" - "&amp;E1663</f>
        <v>(8.04an) TOTAL NUMBER OF MONTH 2 - IN</v>
      </c>
      <c r="I1663" s="213" t="str">
        <f t="shared" si="220"/>
        <v>integer</v>
      </c>
      <c r="J1663" s="106" t="s">
        <v>6621</v>
      </c>
      <c r="K1663" s="116" t="s">
        <v>2443</v>
      </c>
      <c r="L1663" s="118" t="str">
        <f>IF(K1663="yes",("Sorry, question MONTH 2 is required!"),"")</f>
        <v>Sorry, question MONTH 2 is required!</v>
      </c>
      <c r="M1663" s="113" t="s">
        <v>5398</v>
      </c>
      <c r="N1663" t="s">
        <v>4067</v>
      </c>
    </row>
    <row r="1664" spans="1:24" ht="14.25" customHeight="1">
      <c r="A1664" t="s">
        <v>14</v>
      </c>
      <c r="B1664" t="s">
        <v>5156</v>
      </c>
      <c r="E1664" s="118" t="s">
        <v>960</v>
      </c>
      <c r="H1664" s="206" t="str">
        <f>"(8.04an) TOTAL NUMBER OF "&amp;E1662&amp;" - "&amp;E1664</f>
        <v>(8.04an) TOTAL NUMBER OF MONTH 2 - OUT</v>
      </c>
      <c r="I1664" s="213" t="str">
        <f t="shared" si="220"/>
        <v>integer</v>
      </c>
      <c r="J1664" s="106" t="s">
        <v>6626</v>
      </c>
      <c r="K1664" s="116" t="s">
        <v>2443</v>
      </c>
      <c r="L1664" s="118" t="str">
        <f>IF(K1664="yes",("Sorry, question MONTH 2 is required!"),"")</f>
        <v>Sorry, question MONTH 2 is required!</v>
      </c>
      <c r="M1664" s="113" t="s">
        <v>5398</v>
      </c>
      <c r="N1664" t="s">
        <v>4068</v>
      </c>
    </row>
    <row r="1665" spans="1:24" ht="14.25" customHeight="1">
      <c r="A1665" t="s">
        <v>17</v>
      </c>
      <c r="B1665" t="s">
        <v>1865</v>
      </c>
      <c r="E1665" s="118" t="s">
        <v>962</v>
      </c>
      <c r="I1665" s="213" t="str">
        <f t="shared" ref="I1665:I1728" si="229">A1665</f>
        <v>note</v>
      </c>
      <c r="J1665" s="106" t="s">
        <v>3480</v>
      </c>
      <c r="L1665" s="118" t="str">
        <f t="shared" si="228"/>
        <v/>
      </c>
    </row>
    <row r="1666" spans="1:24" ht="14.25" customHeight="1">
      <c r="A1666" t="s">
        <v>955</v>
      </c>
      <c r="B1666" t="s">
        <v>5132</v>
      </c>
      <c r="E1666" s="118" t="s">
        <v>959</v>
      </c>
      <c r="H1666" s="206" t="str">
        <f>"(8.04an) TOTAL NUMBER OF "&amp;E1665&amp;" - "&amp;E1666</f>
        <v>(8.04an) TOTAL NUMBER OF MONTH 3 - IN</v>
      </c>
      <c r="I1666" s="213" t="str">
        <f t="shared" si="229"/>
        <v>integer</v>
      </c>
      <c r="J1666" s="106" t="s">
        <v>6629</v>
      </c>
      <c r="K1666" s="116" t="s">
        <v>2443</v>
      </c>
      <c r="L1666" s="118" t="str">
        <f>IF(K1666="yes",("Sorry, question MONTH 3 is required!"),"")</f>
        <v>Sorry, question MONTH 3 is required!</v>
      </c>
      <c r="M1666" s="113" t="s">
        <v>5398</v>
      </c>
      <c r="N1666" t="s">
        <v>4069</v>
      </c>
    </row>
    <row r="1667" spans="1:24" ht="14.25" customHeight="1">
      <c r="A1667" t="s">
        <v>14</v>
      </c>
      <c r="B1667" t="s">
        <v>5120</v>
      </c>
      <c r="E1667" s="118" t="s">
        <v>960</v>
      </c>
      <c r="H1667" s="206" t="str">
        <f>"(8.04an) TOTAL NUMBER OF "&amp;E1665&amp;" - "&amp;E1667</f>
        <v>(8.04an) TOTAL NUMBER OF MONTH 3 - OUT</v>
      </c>
      <c r="I1667" s="213" t="str">
        <f t="shared" si="229"/>
        <v>integer</v>
      </c>
      <c r="J1667" s="106" t="s">
        <v>6630</v>
      </c>
      <c r="K1667" s="116" t="s">
        <v>2443</v>
      </c>
      <c r="L1667" s="118" t="str">
        <f>IF(K1667="yes",("Sorry, question MONTH 3 is required!"),"")</f>
        <v>Sorry, question MONTH 3 is required!</v>
      </c>
      <c r="M1667" s="113" t="s">
        <v>5398</v>
      </c>
      <c r="N1667" t="s">
        <v>4070</v>
      </c>
    </row>
    <row r="1668" spans="1:24" ht="14.25" customHeight="1">
      <c r="A1668" t="s">
        <v>956</v>
      </c>
      <c r="E1668" s="118" t="s">
        <v>1067</v>
      </c>
      <c r="I1668" s="213" t="str">
        <f t="shared" si="229"/>
        <v>end group</v>
      </c>
      <c r="L1668" s="118" t="str">
        <f t="shared" si="227"/>
        <v/>
      </c>
      <c r="X1668" t="s">
        <v>3032</v>
      </c>
    </row>
    <row r="1669" spans="1:24" ht="14.25" customHeight="1">
      <c r="A1669" t="s">
        <v>954</v>
      </c>
      <c r="B1669" t="s">
        <v>3268</v>
      </c>
      <c r="E1669" s="118" t="s">
        <v>1067</v>
      </c>
      <c r="I1669" s="213" t="str">
        <f t="shared" si="229"/>
        <v>begin group</v>
      </c>
      <c r="J1669" s="106" t="s">
        <v>13</v>
      </c>
      <c r="L1669" s="118" t="str">
        <f>IF(K1669="yes",("Sorry, question "&amp;LEFT(E1669, 8)&amp;" is required!"),"")</f>
        <v/>
      </c>
      <c r="X1669" t="s">
        <v>3032</v>
      </c>
    </row>
    <row r="1670" spans="1:24" ht="14.25" customHeight="1">
      <c r="A1670" t="s">
        <v>23</v>
      </c>
      <c r="B1670" s="107" t="s">
        <v>1866</v>
      </c>
      <c r="E1670" s="118" t="s">
        <v>3392</v>
      </c>
      <c r="I1670" s="213" t="str">
        <f t="shared" si="229"/>
        <v>select_one yesno</v>
      </c>
      <c r="J1670" s="106" t="s">
        <v>1</v>
      </c>
      <c r="L1670" s="118" t="str">
        <f>IF(K1670="yes",("Sorry, question "&amp;LEFT($E$1651, 8)&amp;" is required!"),"")</f>
        <v/>
      </c>
    </row>
    <row r="1671" spans="1:24" ht="14.25" customHeight="1">
      <c r="A1671" t="s">
        <v>23</v>
      </c>
      <c r="B1671" t="s">
        <v>3266</v>
      </c>
      <c r="E1671" s="118" t="s">
        <v>951</v>
      </c>
      <c r="H1671" s="206" t="str">
        <f>E1670&amp;E1671</f>
        <v>(8.01ao) Does this facility provide Ambulance ride to another facility for referral within the facility and/or as outreach?In-facility</v>
      </c>
      <c r="I1671" s="213" t="str">
        <f t="shared" si="229"/>
        <v>select_one yesno</v>
      </c>
      <c r="J1671" s="106" t="s">
        <v>1878</v>
      </c>
      <c r="K1671" s="116" t="s">
        <v>2443</v>
      </c>
      <c r="L1671" s="118" t="str">
        <f>IF(K1671="yes",("Sorry, question (8.01"&amp;RIGHT(B1670,2)&amp;") is required!"),"")</f>
        <v>Sorry, question (8.01ao) is required!</v>
      </c>
    </row>
    <row r="1672" spans="1:24" ht="14.25" customHeight="1">
      <c r="A1672" t="s">
        <v>23</v>
      </c>
      <c r="B1672" t="s">
        <v>3267</v>
      </c>
      <c r="E1672" s="118" t="s">
        <v>953</v>
      </c>
      <c r="H1672" s="206" t="str">
        <f>E1670&amp;E1672</f>
        <v>(8.01ao) Does this facility provide Ambulance ride to another facility for referral within the facility and/or as outreach?Outreach</v>
      </c>
      <c r="I1672" s="213" t="str">
        <f t="shared" si="229"/>
        <v>select_one yesno</v>
      </c>
      <c r="J1672" s="106" t="s">
        <v>1878</v>
      </c>
      <c r="K1672" s="116" t="s">
        <v>2443</v>
      </c>
      <c r="L1672" s="118" t="str">
        <f>IF(K1672="yes",("Sorry, question (8.01"&amp;RIGHT(B1670,2)&amp;") is required!"),"")</f>
        <v>Sorry, question (8.01ao) is required!</v>
      </c>
    </row>
    <row r="1673" spans="1:24" ht="14.25" customHeight="1">
      <c r="A1673" t="s">
        <v>955</v>
      </c>
      <c r="B1673" t="s">
        <v>1867</v>
      </c>
      <c r="E1673" s="118" t="s">
        <v>1970</v>
      </c>
      <c r="F1673" s="118" t="s">
        <v>6622</v>
      </c>
      <c r="H1673" s="206" t="str">
        <f>E1673</f>
        <v>(8.02ao) How many days per week is this service offered?</v>
      </c>
      <c r="I1673" s="213" t="str">
        <f t="shared" si="229"/>
        <v>integer</v>
      </c>
      <c r="J1673" s="106" t="s">
        <v>6625</v>
      </c>
      <c r="K1673" s="116" t="s">
        <v>2443</v>
      </c>
      <c r="L1673" s="118" t="str">
        <f>IF(K1673="yes",("Sorry, question "&amp;LEFT(E1673, 8)&amp;" is required!"),"")</f>
        <v>Sorry, question (8.02ao) is required!</v>
      </c>
      <c r="M1673" s="113" t="s">
        <v>6634</v>
      </c>
      <c r="N1673" t="str">
        <f xml:space="preserve"> LEFT(E1673,8) &amp; " MAXIMUM 7"</f>
        <v>(8.02ao) MAXIMUM 7</v>
      </c>
      <c r="O1673" s="110" t="s">
        <v>3269</v>
      </c>
    </row>
    <row r="1674" spans="1:24" ht="14.25" customHeight="1">
      <c r="A1674" t="s">
        <v>955</v>
      </c>
      <c r="B1674" t="s">
        <v>1868</v>
      </c>
      <c r="E1674" s="118" t="s">
        <v>2356</v>
      </c>
      <c r="F1674" s="118" t="s">
        <v>1888</v>
      </c>
      <c r="H1674" s="206" t="str">
        <f>E1674</f>
        <v>(8.03ao) What is the total price in Dalasi charged for Ambulance ride to another facility for referral? INTERVIEWER: IF NO CHARGE, RECORD "0".</v>
      </c>
      <c r="I1674" s="213" t="str">
        <f t="shared" si="229"/>
        <v>integer</v>
      </c>
      <c r="J1674" s="106" t="s">
        <v>3379</v>
      </c>
      <c r="K1674" s="116" t="s">
        <v>2443</v>
      </c>
      <c r="L1674" s="118" t="str">
        <f>IF(K1674="yes",("Sorry, question "&amp;LEFT(E1674, 8)&amp;" is required!"),"")</f>
        <v>Sorry, question (8.03ao) is required!</v>
      </c>
      <c r="M1674" s="113" t="s">
        <v>5398</v>
      </c>
      <c r="N1674" t="str">
        <f xml:space="preserve"> LEFT(E1673,8) &amp; " MINIMUM 0"</f>
        <v>(8.02ao) MINIMUM 0</v>
      </c>
      <c r="O1674" s="110" t="s">
        <v>3269</v>
      </c>
    </row>
    <row r="1675" spans="1:24" ht="14.25" customHeight="1">
      <c r="A1675" t="s">
        <v>15</v>
      </c>
      <c r="L1675" s="118" t="str">
        <f t="shared" ref="L1675:L1687" si="230">IF(K1675="yes",("Sorry, question "&amp;LEFT($E$1651, 8)&amp;" is required!"),"")</f>
        <v/>
      </c>
      <c r="X1675" t="s">
        <v>3032</v>
      </c>
    </row>
    <row r="1676" spans="1:24" ht="14.25" customHeight="1">
      <c r="A1676" t="s">
        <v>954</v>
      </c>
      <c r="B1676" t="s">
        <v>3271</v>
      </c>
      <c r="J1676" s="106" t="s">
        <v>3371</v>
      </c>
      <c r="L1676" s="118" t="str">
        <f t="shared" si="230"/>
        <v/>
      </c>
      <c r="O1676" s="110" t="s">
        <v>3269</v>
      </c>
      <c r="X1676" t="s">
        <v>3032</v>
      </c>
    </row>
    <row r="1677" spans="1:24" ht="14.25" customHeight="1">
      <c r="A1677" t="s">
        <v>17</v>
      </c>
      <c r="B1677" t="s">
        <v>1869</v>
      </c>
      <c r="E1677" s="118" t="s">
        <v>3270</v>
      </c>
      <c r="F1677" s="117" t="s">
        <v>6662</v>
      </c>
      <c r="I1677" s="213" t="str">
        <f t="shared" si="229"/>
        <v>note</v>
      </c>
      <c r="J1677" s="106" t="s">
        <v>3370</v>
      </c>
      <c r="L1677" s="118" t="str">
        <f t="shared" si="230"/>
        <v/>
      </c>
    </row>
    <row r="1678" spans="1:24" ht="14.25" customHeight="1">
      <c r="A1678" t="s">
        <v>17</v>
      </c>
      <c r="B1678" t="s">
        <v>1870</v>
      </c>
      <c r="E1678" s="118" t="s">
        <v>958</v>
      </c>
      <c r="I1678" s="213" t="str">
        <f t="shared" si="229"/>
        <v>note</v>
      </c>
      <c r="J1678" s="106" t="s">
        <v>3477</v>
      </c>
      <c r="L1678" s="118" t="str">
        <f t="shared" si="230"/>
        <v/>
      </c>
    </row>
    <row r="1679" spans="1:24" ht="14.25" customHeight="1">
      <c r="A1679" t="s">
        <v>955</v>
      </c>
      <c r="B1679" t="s">
        <v>5181</v>
      </c>
      <c r="E1679" s="118" t="s">
        <v>959</v>
      </c>
      <c r="H1679" s="206" t="str">
        <f>"(8.04ao) TOTAL NUMBER OF "&amp;E1678&amp;" - "&amp;E1679</f>
        <v>(8.04ao) TOTAL NUMBER OF MONTH 1 - IN</v>
      </c>
      <c r="I1679" s="213" t="str">
        <f t="shared" si="229"/>
        <v>integer</v>
      </c>
      <c r="J1679" s="106" t="s">
        <v>4907</v>
      </c>
      <c r="K1679" s="116" t="s">
        <v>2443</v>
      </c>
      <c r="L1679" s="118" t="str">
        <f>IF(K1679="yes",("Sorry, question MONTH 1 is required!"),"")</f>
        <v>Sorry, question MONTH 1 is required!</v>
      </c>
      <c r="M1679" s="113" t="s">
        <v>5398</v>
      </c>
      <c r="N1679" t="s">
        <v>4071</v>
      </c>
    </row>
    <row r="1680" spans="1:24" ht="14.25" customHeight="1">
      <c r="A1680" t="s">
        <v>955</v>
      </c>
      <c r="B1680" t="s">
        <v>5169</v>
      </c>
      <c r="E1680" s="118" t="s">
        <v>960</v>
      </c>
      <c r="H1680" s="206" t="str">
        <f>"(8.04ao) TOTAL NUMBER OF "&amp;E1678&amp;" - "&amp;E1680</f>
        <v>(8.04ao) TOTAL NUMBER OF MONTH 1 - OUT</v>
      </c>
      <c r="I1680" s="213" t="str">
        <f t="shared" si="229"/>
        <v>integer</v>
      </c>
      <c r="J1680" s="106" t="s">
        <v>4908</v>
      </c>
      <c r="K1680" s="116" t="s">
        <v>2443</v>
      </c>
      <c r="L1680" s="118" t="str">
        <f t="shared" ref="L1680:L1684" si="231">IF(K1680="yes",("Sorry, question MONTH 1 is required!"),"")</f>
        <v>Sorry, question MONTH 1 is required!</v>
      </c>
      <c r="M1680" s="113" t="s">
        <v>5398</v>
      </c>
      <c r="N1680" t="s">
        <v>4072</v>
      </c>
    </row>
    <row r="1681" spans="1:24" ht="14.25" customHeight="1">
      <c r="A1681" t="s">
        <v>17</v>
      </c>
      <c r="B1681" t="s">
        <v>1871</v>
      </c>
      <c r="E1681" s="118" t="s">
        <v>961</v>
      </c>
      <c r="I1681" s="213" t="str">
        <f t="shared" si="229"/>
        <v>note</v>
      </c>
      <c r="J1681" s="106" t="s">
        <v>3478</v>
      </c>
      <c r="L1681" s="118" t="str">
        <f t="shared" si="231"/>
        <v/>
      </c>
    </row>
    <row r="1682" spans="1:24" ht="14.25" customHeight="1">
      <c r="A1682" t="s">
        <v>955</v>
      </c>
      <c r="B1682" t="s">
        <v>5145</v>
      </c>
      <c r="E1682" s="118" t="s">
        <v>959</v>
      </c>
      <c r="H1682" s="206" t="str">
        <f>"(8.04ao) TOTAL NUMBER OF "&amp;E1681&amp;" - "&amp;E1682</f>
        <v>(8.04ao) TOTAL NUMBER OF MONTH 2 - IN</v>
      </c>
      <c r="I1682" s="213" t="str">
        <f t="shared" si="229"/>
        <v>integer</v>
      </c>
      <c r="J1682" s="106" t="s">
        <v>6621</v>
      </c>
      <c r="K1682" s="116" t="s">
        <v>2443</v>
      </c>
      <c r="L1682" s="118" t="str">
        <f>IF(K1682="yes",("Sorry, question MONTH 2 is required!"),"")</f>
        <v>Sorry, question MONTH 2 is required!</v>
      </c>
      <c r="M1682" s="113" t="s">
        <v>5398</v>
      </c>
      <c r="N1682" t="s">
        <v>4073</v>
      </c>
    </row>
    <row r="1683" spans="1:24" ht="14.25" customHeight="1">
      <c r="A1683" t="s">
        <v>955</v>
      </c>
      <c r="B1683" t="s">
        <v>5157</v>
      </c>
      <c r="E1683" s="118" t="s">
        <v>960</v>
      </c>
      <c r="H1683" s="206" t="str">
        <f>"(8.04ao) TOTAL NUMBER OF "&amp;E1681&amp;" - "&amp;E1683</f>
        <v>(8.04ao) TOTAL NUMBER OF MONTH 2 - OUT</v>
      </c>
      <c r="I1683" s="213" t="str">
        <f t="shared" si="229"/>
        <v>integer</v>
      </c>
      <c r="J1683" s="106" t="s">
        <v>6626</v>
      </c>
      <c r="K1683" s="116" t="s">
        <v>2443</v>
      </c>
      <c r="L1683" s="118" t="str">
        <f>IF(K1683="yes",("Sorry, question MONTH 2 is required!"),"")</f>
        <v>Sorry, question MONTH 2 is required!</v>
      </c>
      <c r="M1683" s="113" t="s">
        <v>5398</v>
      </c>
      <c r="N1683" t="s">
        <v>4074</v>
      </c>
    </row>
    <row r="1684" spans="1:24" ht="14.25" customHeight="1">
      <c r="A1684" t="s">
        <v>17</v>
      </c>
      <c r="B1684" t="s">
        <v>1872</v>
      </c>
      <c r="E1684" s="118" t="s">
        <v>962</v>
      </c>
      <c r="I1684" s="213" t="str">
        <f t="shared" si="229"/>
        <v>note</v>
      </c>
      <c r="J1684" s="106" t="s">
        <v>3480</v>
      </c>
      <c r="L1684" s="118" t="str">
        <f t="shared" si="231"/>
        <v/>
      </c>
    </row>
    <row r="1685" spans="1:24" ht="14.25" customHeight="1">
      <c r="A1685" t="s">
        <v>955</v>
      </c>
      <c r="B1685" t="s">
        <v>5133</v>
      </c>
      <c r="E1685" s="118" t="s">
        <v>959</v>
      </c>
      <c r="H1685" s="206" t="str">
        <f>"(8.04ao) TOTAL NUMBER OF "&amp;E1684&amp;" - "&amp;E1685</f>
        <v>(8.04ao) TOTAL NUMBER OF MONTH 3 - IN</v>
      </c>
      <c r="I1685" s="213" t="str">
        <f t="shared" si="229"/>
        <v>integer</v>
      </c>
      <c r="J1685" s="106" t="s">
        <v>6629</v>
      </c>
      <c r="K1685" s="116" t="s">
        <v>2443</v>
      </c>
      <c r="L1685" s="118" t="str">
        <f>IF(K1685="yes",("Sorry, question MONTH 3 is required!"),"")</f>
        <v>Sorry, question MONTH 3 is required!</v>
      </c>
      <c r="M1685" s="113" t="s">
        <v>5398</v>
      </c>
      <c r="N1685" t="s">
        <v>4075</v>
      </c>
    </row>
    <row r="1686" spans="1:24" ht="14.25" customHeight="1">
      <c r="A1686" t="s">
        <v>955</v>
      </c>
      <c r="B1686" t="s">
        <v>5121</v>
      </c>
      <c r="E1686" s="118" t="s">
        <v>960</v>
      </c>
      <c r="H1686" s="206" t="str">
        <f>"(8.04ao) TOTAL NUMBER OF "&amp;E1684&amp;" - "&amp;E1686</f>
        <v>(8.04ao) TOTAL NUMBER OF MONTH 3 - OUT</v>
      </c>
      <c r="I1686" s="213" t="str">
        <f t="shared" si="229"/>
        <v>integer</v>
      </c>
      <c r="J1686" s="106" t="s">
        <v>6630</v>
      </c>
      <c r="K1686" s="116" t="s">
        <v>2443</v>
      </c>
      <c r="L1686" s="118" t="str">
        <f>IF(K1686="yes",("Sorry, question MONTH 3 is required!"),"")</f>
        <v>Sorry, question MONTH 3 is required!</v>
      </c>
      <c r="M1686" s="113" t="s">
        <v>5398</v>
      </c>
      <c r="N1686" t="s">
        <v>4076</v>
      </c>
    </row>
    <row r="1687" spans="1:24" ht="14.25" customHeight="1">
      <c r="A1687" t="s">
        <v>956</v>
      </c>
      <c r="L1687" s="118" t="str">
        <f t="shared" si="230"/>
        <v/>
      </c>
      <c r="X1687" t="s">
        <v>3032</v>
      </c>
    </row>
    <row r="1688" spans="1:24" ht="14.25" customHeight="1">
      <c r="A1688" t="s">
        <v>956</v>
      </c>
      <c r="L1688" s="118" t="str">
        <f t="shared" ref="L1688:L1705" si="232">IF(K1688="yes",("Sorry, question "&amp;LEFT(E1688, 6)&amp;" is required!"),"")</f>
        <v/>
      </c>
      <c r="X1688" t="s">
        <v>2778</v>
      </c>
    </row>
    <row r="1689" spans="1:24" ht="14.25" customHeight="1">
      <c r="L1689" s="118" t="str">
        <f t="shared" si="232"/>
        <v/>
      </c>
    </row>
    <row r="1690" spans="1:24" ht="14.25" customHeight="1">
      <c r="A1690" t="s">
        <v>12</v>
      </c>
      <c r="B1690" t="s">
        <v>1480</v>
      </c>
      <c r="E1690" s="118" t="s">
        <v>2792</v>
      </c>
      <c r="J1690" s="106" t="s">
        <v>2778</v>
      </c>
      <c r="L1690" s="118" t="str">
        <f t="shared" si="232"/>
        <v/>
      </c>
      <c r="O1690" s="110" t="s">
        <v>3582</v>
      </c>
      <c r="X1690" t="s">
        <v>2778</v>
      </c>
    </row>
    <row r="1691" spans="1:24" ht="14.25" customHeight="1">
      <c r="A1691" t="s">
        <v>954</v>
      </c>
      <c r="B1691" t="s">
        <v>3272</v>
      </c>
      <c r="J1691" s="106" t="s">
        <v>3526</v>
      </c>
      <c r="L1691" s="118" t="str">
        <f t="shared" si="232"/>
        <v/>
      </c>
      <c r="X1691" t="s">
        <v>3032</v>
      </c>
    </row>
    <row r="1692" spans="1:24" ht="14.25" customHeight="1">
      <c r="A1692" t="s">
        <v>17</v>
      </c>
      <c r="B1692" t="s">
        <v>5182</v>
      </c>
      <c r="E1692" s="118" t="s">
        <v>4215</v>
      </c>
      <c r="I1692" s="213" t="str">
        <f t="shared" si="229"/>
        <v>note</v>
      </c>
      <c r="J1692" s="106" t="s">
        <v>3528</v>
      </c>
      <c r="L1692" s="118" t="str">
        <f t="shared" si="232"/>
        <v/>
      </c>
    </row>
    <row r="1693" spans="1:24" ht="14.25" customHeight="1">
      <c r="A1693" t="s">
        <v>17</v>
      </c>
      <c r="B1693" t="s">
        <v>5183</v>
      </c>
      <c r="E1693" s="118" t="s">
        <v>4216</v>
      </c>
      <c r="I1693" s="213" t="str">
        <f t="shared" si="229"/>
        <v>note</v>
      </c>
      <c r="J1693" s="106" t="s">
        <v>3372</v>
      </c>
      <c r="L1693" s="118" t="str">
        <f t="shared" si="232"/>
        <v/>
      </c>
    </row>
    <row r="1694" spans="1:24" ht="14.25" customHeight="1">
      <c r="A1694" t="s">
        <v>15</v>
      </c>
      <c r="L1694" s="118" t="str">
        <f t="shared" si="232"/>
        <v/>
      </c>
      <c r="X1694" t="s">
        <v>3032</v>
      </c>
    </row>
    <row r="1695" spans="1:24" ht="14.25" customHeight="1">
      <c r="A1695" t="s">
        <v>12</v>
      </c>
      <c r="B1695" t="s">
        <v>3536</v>
      </c>
      <c r="J1695" s="106" t="s">
        <v>13</v>
      </c>
      <c r="L1695" s="118" t="str">
        <f t="shared" si="232"/>
        <v/>
      </c>
      <c r="X1695" t="s">
        <v>3032</v>
      </c>
    </row>
    <row r="1696" spans="1:24" ht="14.25" customHeight="1">
      <c r="A1696" t="s">
        <v>23</v>
      </c>
      <c r="B1696" s="107" t="s">
        <v>1481</v>
      </c>
      <c r="E1696" s="118" t="s">
        <v>3039</v>
      </c>
      <c r="H1696" s="206" t="str">
        <f>E1696</f>
        <v xml:space="preserve">(9.01) Do patients pay for consultation or doctor’s fees? </v>
      </c>
      <c r="I1696" s="213" t="str">
        <f t="shared" si="229"/>
        <v>select_one yesno</v>
      </c>
      <c r="J1696" s="106" t="s">
        <v>4457</v>
      </c>
      <c r="K1696" s="116" t="s">
        <v>2443</v>
      </c>
      <c r="L1696" s="118" t="str">
        <f t="shared" si="232"/>
        <v>Sorry, question (9.01) is required!</v>
      </c>
    </row>
    <row r="1697" spans="1:24" ht="14.25" customHeight="1">
      <c r="A1697" t="s">
        <v>3041</v>
      </c>
      <c r="B1697" t="s">
        <v>1482</v>
      </c>
      <c r="E1697" s="118" t="s">
        <v>1974</v>
      </c>
      <c r="H1697" s="206" t="str">
        <f t="shared" ref="H1697:H1700" si="233">E1697</f>
        <v>(9.02) Do patients pay laboratory fees for tests?</v>
      </c>
      <c r="I1697" s="213" t="str">
        <f t="shared" si="229"/>
        <v>select_one yesno6</v>
      </c>
      <c r="J1697" s="106" t="s">
        <v>4457</v>
      </c>
      <c r="K1697" s="116" t="s">
        <v>2443</v>
      </c>
      <c r="L1697" s="118" t="str">
        <f t="shared" si="232"/>
        <v>Sorry, question (9.02) is required!</v>
      </c>
    </row>
    <row r="1698" spans="1:24" ht="14.25" customHeight="1">
      <c r="A1698" t="s">
        <v>2523</v>
      </c>
      <c r="B1698" t="s">
        <v>1483</v>
      </c>
      <c r="E1698" s="118" t="s">
        <v>1975</v>
      </c>
      <c r="H1698" s="206" t="str">
        <f t="shared" si="233"/>
        <v>(9.03) Do patients pay fees for x-ray tests?</v>
      </c>
      <c r="I1698" s="213" t="str">
        <f t="shared" si="229"/>
        <v>select_one yesno5</v>
      </c>
      <c r="J1698" s="106" t="s">
        <v>4457</v>
      </c>
      <c r="K1698" s="116" t="s">
        <v>2443</v>
      </c>
      <c r="L1698" s="118" t="str">
        <f t="shared" si="232"/>
        <v>Sorry, question (9.03) is required!</v>
      </c>
    </row>
    <row r="1699" spans="1:24" ht="14.25" customHeight="1">
      <c r="A1699" t="s">
        <v>23</v>
      </c>
      <c r="B1699" s="107" t="s">
        <v>1484</v>
      </c>
      <c r="E1699" s="118" t="s">
        <v>1976</v>
      </c>
      <c r="H1699" s="206" t="str">
        <f t="shared" si="233"/>
        <v>(9.04) Do patients pay fees for supplies (e.g. compresses, syringes, etc.)?</v>
      </c>
      <c r="I1699" s="213" t="str">
        <f t="shared" si="229"/>
        <v>select_one yesno</v>
      </c>
      <c r="J1699" s="106" t="s">
        <v>4457</v>
      </c>
      <c r="K1699" s="116" t="s">
        <v>2443</v>
      </c>
      <c r="L1699" s="118" t="str">
        <f t="shared" si="232"/>
        <v>Sorry, question (9.04) is required!</v>
      </c>
    </row>
    <row r="1700" spans="1:24" ht="14.25" customHeight="1">
      <c r="A1700" t="s">
        <v>23</v>
      </c>
      <c r="B1700" t="s">
        <v>1485</v>
      </c>
      <c r="E1700" s="118" t="s">
        <v>1977</v>
      </c>
      <c r="H1700" s="206" t="str">
        <f t="shared" si="233"/>
        <v>(9.05) Do patients pay fees for medicines?</v>
      </c>
      <c r="I1700" s="213" t="str">
        <f t="shared" si="229"/>
        <v>select_one yesno</v>
      </c>
      <c r="J1700" s="106" t="s">
        <v>4457</v>
      </c>
      <c r="K1700" s="116" t="s">
        <v>2443</v>
      </c>
      <c r="L1700" s="118" t="str">
        <f t="shared" si="232"/>
        <v>Sorry, question (9.05) is required!</v>
      </c>
    </row>
    <row r="1701" spans="1:24" ht="14.25" customHeight="1">
      <c r="A1701" t="s">
        <v>15</v>
      </c>
      <c r="L1701" s="118" t="str">
        <f t="shared" si="232"/>
        <v/>
      </c>
      <c r="X1701" t="s">
        <v>3032</v>
      </c>
    </row>
    <row r="1702" spans="1:24" ht="14.25" customHeight="1">
      <c r="A1702" t="s">
        <v>12</v>
      </c>
      <c r="B1702" t="s">
        <v>3273</v>
      </c>
      <c r="J1702" s="106" t="s">
        <v>13</v>
      </c>
      <c r="L1702" s="118" t="str">
        <f t="shared" si="232"/>
        <v/>
      </c>
      <c r="X1702" t="s">
        <v>3032</v>
      </c>
    </row>
    <row r="1703" spans="1:24" ht="14.25" customHeight="1">
      <c r="A1703" t="s">
        <v>2583</v>
      </c>
      <c r="B1703" t="s">
        <v>1486</v>
      </c>
      <c r="E1703" s="118" t="s">
        <v>3508</v>
      </c>
      <c r="F1703" s="118" t="s">
        <v>3509</v>
      </c>
      <c r="H1703" s="206" t="str">
        <f>E1703</f>
        <v xml:space="preserve">(9.06) What percentage of the drug cost is charged to patients? </v>
      </c>
      <c r="I1703" s="213" t="s">
        <v>14</v>
      </c>
      <c r="K1703" s="116" t="s">
        <v>2443</v>
      </c>
      <c r="L1703" s="118" t="str">
        <f t="shared" si="232"/>
        <v>Sorry, question (9.06) is required!</v>
      </c>
      <c r="M1703" s="113" t="s">
        <v>2593</v>
      </c>
      <c r="N1703" s="1" t="s">
        <v>4077</v>
      </c>
      <c r="O1703" s="110" t="s">
        <v>2753</v>
      </c>
    </row>
    <row r="1704" spans="1:24" ht="14.25" customHeight="1">
      <c r="A1704" t="s">
        <v>2962</v>
      </c>
      <c r="B1704" t="s">
        <v>1487</v>
      </c>
      <c r="E1704" s="118" t="s">
        <v>1978</v>
      </c>
      <c r="H1704" s="206" t="str">
        <f t="shared" ref="H1704:H1705" si="234">E1704</f>
        <v xml:space="preserve">(9.07) Is this percentage charged based on the wholesale or retail price? </v>
      </c>
      <c r="I1704" s="213" t="str">
        <f t="shared" si="229"/>
        <v>select_one drug</v>
      </c>
      <c r="J1704" s="106" t="s">
        <v>4457</v>
      </c>
      <c r="K1704" s="116" t="s">
        <v>2443</v>
      </c>
      <c r="L1704" s="118" t="str">
        <f t="shared" si="232"/>
        <v>Sorry, question (9.07) is required!</v>
      </c>
      <c r="O1704" s="110" t="s">
        <v>2753</v>
      </c>
    </row>
    <row r="1705" spans="1:24" ht="14.25" customHeight="1">
      <c r="A1705" t="s">
        <v>2680</v>
      </c>
      <c r="B1705" t="s">
        <v>5184</v>
      </c>
      <c r="E1705" s="130" t="s">
        <v>5185</v>
      </c>
      <c r="H1705" s="206" t="str">
        <f t="shared" si="234"/>
        <v>(9.08) The facility charge any fees from (9.01), (9.02), (9.03), (9.04) And (9.05). Please confirm?</v>
      </c>
      <c r="I1705" s="213" t="str">
        <f t="shared" si="229"/>
        <v>select_one fee</v>
      </c>
      <c r="J1705" s="106" t="s">
        <v>4457</v>
      </c>
      <c r="K1705" s="116" t="s">
        <v>2443</v>
      </c>
      <c r="L1705" s="118" t="str">
        <f t="shared" si="232"/>
        <v>Sorry, question (9.08) is required!</v>
      </c>
      <c r="M1705" s="113" t="s">
        <v>5450</v>
      </c>
      <c r="N1705" t="s">
        <v>5186</v>
      </c>
    </row>
    <row r="1706" spans="1:24" ht="14.25" customHeight="1">
      <c r="A1706" t="s">
        <v>15</v>
      </c>
      <c r="X1706" t="s">
        <v>3032</v>
      </c>
    </row>
    <row r="1707" spans="1:24" ht="14.25" customHeight="1">
      <c r="A1707" t="s">
        <v>12</v>
      </c>
      <c r="B1707" t="s">
        <v>3274</v>
      </c>
      <c r="O1707" s="110" t="s">
        <v>5196</v>
      </c>
      <c r="X1707" t="s">
        <v>3032</v>
      </c>
    </row>
    <row r="1708" spans="1:24" ht="14.25" customHeight="1">
      <c r="A1708" t="s">
        <v>954</v>
      </c>
      <c r="B1708" t="s">
        <v>3275</v>
      </c>
      <c r="J1708" s="106" t="s">
        <v>13</v>
      </c>
      <c r="X1708" t="s">
        <v>3033</v>
      </c>
    </row>
    <row r="1709" spans="1:24" ht="14.25" customHeight="1">
      <c r="A1709" t="s">
        <v>17</v>
      </c>
      <c r="B1709" t="s">
        <v>5187</v>
      </c>
      <c r="F1709" s="130" t="s">
        <v>4133</v>
      </c>
      <c r="I1709" s="213" t="str">
        <f t="shared" si="229"/>
        <v>note</v>
      </c>
    </row>
    <row r="1710" spans="1:24" ht="14.25" customHeight="1">
      <c r="A1710" t="s">
        <v>17</v>
      </c>
      <c r="B1710" t="s">
        <v>5188</v>
      </c>
      <c r="E1710" s="118" t="s">
        <v>1979</v>
      </c>
      <c r="I1710" s="213" t="str">
        <f t="shared" si="229"/>
        <v>note</v>
      </c>
    </row>
    <row r="1711" spans="1:24" ht="14.25" customHeight="1">
      <c r="A1711" t="s">
        <v>23</v>
      </c>
      <c r="B1711" t="s">
        <v>1488</v>
      </c>
      <c r="E1711" s="118" t="s">
        <v>1013</v>
      </c>
      <c r="H1711" s="206" t="str">
        <f>E1710&amp;"-"&amp;E1711</f>
        <v>(9.09) Who was involved in setting the fees?-a. Health facility manager/ in charge</v>
      </c>
      <c r="I1711" s="213" t="str">
        <f t="shared" si="229"/>
        <v>select_one yesno</v>
      </c>
      <c r="J1711" s="106" t="s">
        <v>4457</v>
      </c>
      <c r="K1711" s="116" t="s">
        <v>2443</v>
      </c>
      <c r="L1711" s="118" t="str">
        <f t="shared" ref="L1711:L1719" si="235">IF(K1711="yes","Sorry, question (9.19) "&amp;LEFT(E1711,1)&amp;" is required!")</f>
        <v>Sorry, question (9.19) a is required!</v>
      </c>
    </row>
    <row r="1712" spans="1:24" ht="14.25" customHeight="1">
      <c r="A1712" t="s">
        <v>23</v>
      </c>
      <c r="B1712" t="s">
        <v>1489</v>
      </c>
      <c r="E1712" s="118" t="s">
        <v>1014</v>
      </c>
      <c r="H1712" s="206" t="str">
        <f>E1710&amp;"-"&amp;E1712</f>
        <v xml:space="preserve">(9.09) Who was involved in setting the fees?-b. Health facility staff </v>
      </c>
      <c r="I1712" s="213" t="str">
        <f t="shared" si="229"/>
        <v>select_one yesno</v>
      </c>
      <c r="J1712" s="106" t="s">
        <v>4457</v>
      </c>
      <c r="K1712" s="116" t="s">
        <v>2443</v>
      </c>
      <c r="L1712" s="118" t="str">
        <f t="shared" si="235"/>
        <v>Sorry, question (9.19) b is required!</v>
      </c>
    </row>
    <row r="1713" spans="1:24" ht="14.25" customHeight="1">
      <c r="A1713" t="s">
        <v>23</v>
      </c>
      <c r="B1713" t="s">
        <v>1490</v>
      </c>
      <c r="E1713" s="118" t="s">
        <v>1015</v>
      </c>
      <c r="H1713" s="206" t="str">
        <f>E1710&amp;"-"&amp;E1713</f>
        <v>(9.09) Who was involved in setting the fees?-c. Non Governmental Organization staff</v>
      </c>
      <c r="I1713" s="213" t="str">
        <f t="shared" si="229"/>
        <v>select_one yesno</v>
      </c>
      <c r="J1713" s="106" t="s">
        <v>4457</v>
      </c>
      <c r="K1713" s="116" t="s">
        <v>2443</v>
      </c>
      <c r="L1713" s="118" t="str">
        <f t="shared" si="235"/>
        <v>Sorry, question (9.19) c is required!</v>
      </c>
    </row>
    <row r="1714" spans="1:24" ht="14.25" customHeight="1">
      <c r="A1714" t="s">
        <v>23</v>
      </c>
      <c r="B1714" t="s">
        <v>1491</v>
      </c>
      <c r="E1714" s="118" t="s">
        <v>3031</v>
      </c>
      <c r="H1714" s="206" t="str">
        <f>E1710&amp;"-"&amp;E1714</f>
        <v>(9.09) Who was involved in setting the fees?-d. Ministry of Health and Social Welfare (Headquarters)</v>
      </c>
      <c r="I1714" s="213" t="str">
        <f t="shared" si="229"/>
        <v>select_one yesno</v>
      </c>
      <c r="J1714" s="106" t="s">
        <v>4457</v>
      </c>
      <c r="K1714" s="116" t="s">
        <v>2443</v>
      </c>
      <c r="L1714" s="118" t="str">
        <f t="shared" si="235"/>
        <v>Sorry, question (9.19) d is required!</v>
      </c>
    </row>
    <row r="1715" spans="1:24" ht="14.25" customHeight="1">
      <c r="A1715" t="s">
        <v>23</v>
      </c>
      <c r="B1715" t="s">
        <v>1492</v>
      </c>
      <c r="E1715" s="118" t="s">
        <v>3415</v>
      </c>
      <c r="H1715" s="206" t="str">
        <f>E1710&amp;"-"&amp;E1715</f>
        <v>(9.09) Who was involved in setting the fees?-e. VDC Chairman</v>
      </c>
      <c r="I1715" s="213" t="str">
        <f t="shared" si="229"/>
        <v>select_one yesno</v>
      </c>
      <c r="J1715" s="106" t="s">
        <v>4457</v>
      </c>
      <c r="K1715" s="116" t="s">
        <v>2443</v>
      </c>
      <c r="L1715" s="118" t="str">
        <f t="shared" si="235"/>
        <v>Sorry, question (9.19) e is required!</v>
      </c>
    </row>
    <row r="1716" spans="1:24" ht="14.25" customHeight="1">
      <c r="A1716" t="s">
        <v>23</v>
      </c>
      <c r="B1716" t="s">
        <v>1493</v>
      </c>
      <c r="E1716" s="118" t="s">
        <v>1018</v>
      </c>
      <c r="H1716" s="206" t="str">
        <f>E1710&amp;"-"&amp;E1716</f>
        <v>(9.09) Who was involved in setting the fees?-f. Community Health Workers</v>
      </c>
      <c r="I1716" s="213" t="str">
        <f t="shared" si="229"/>
        <v>select_one yesno</v>
      </c>
      <c r="J1716" s="106" t="s">
        <v>4457</v>
      </c>
      <c r="K1716" s="116" t="s">
        <v>2443</v>
      </c>
      <c r="L1716" s="118" t="str">
        <f t="shared" si="235"/>
        <v>Sorry, question (9.19) f is required!</v>
      </c>
    </row>
    <row r="1717" spans="1:24" ht="14.25" customHeight="1">
      <c r="A1717" t="s">
        <v>23</v>
      </c>
      <c r="B1717" t="s">
        <v>1494</v>
      </c>
      <c r="E1717" s="118" t="s">
        <v>1019</v>
      </c>
      <c r="H1717" s="206" t="str">
        <f>E1710&amp;"-"&amp;E1717</f>
        <v>(9.09) Who was involved in setting the fees?-g. Community members</v>
      </c>
      <c r="I1717" s="213" t="str">
        <f t="shared" si="229"/>
        <v>select_one yesno</v>
      </c>
      <c r="J1717" s="106" t="s">
        <v>4457</v>
      </c>
      <c r="K1717" s="116" t="s">
        <v>2443</v>
      </c>
      <c r="L1717" s="118" t="str">
        <f t="shared" si="235"/>
        <v>Sorry, question (9.19) g is required!</v>
      </c>
    </row>
    <row r="1718" spans="1:24" ht="14.25" customHeight="1">
      <c r="A1718" t="s">
        <v>23</v>
      </c>
      <c r="B1718" t="s">
        <v>1495</v>
      </c>
      <c r="E1718" s="132" t="s">
        <v>4295</v>
      </c>
      <c r="H1718" s="206" t="str">
        <f>E1710&amp;"-"&amp;E1718</f>
        <v>(9.09) Who was involved in setting the fees?-h. RHD Health Committee</v>
      </c>
      <c r="I1718" s="213" t="str">
        <f t="shared" si="229"/>
        <v>select_one yesno</v>
      </c>
      <c r="J1718" s="106" t="s">
        <v>4457</v>
      </c>
      <c r="K1718" s="116" t="s">
        <v>2443</v>
      </c>
      <c r="L1718" s="118" t="str">
        <f t="shared" si="235"/>
        <v>Sorry, question (9.19) h is required!</v>
      </c>
    </row>
    <row r="1719" spans="1:24" ht="14.25" customHeight="1">
      <c r="A1719" t="s">
        <v>23</v>
      </c>
      <c r="B1719" t="s">
        <v>1889</v>
      </c>
      <c r="E1719" s="118" t="s">
        <v>1021</v>
      </c>
      <c r="H1719" s="206" t="str">
        <f>E1710&amp;"-"&amp;E1719</f>
        <v xml:space="preserve">(9.09) Who was involved in setting the fees?-i. Other, specify: </v>
      </c>
      <c r="I1719" s="213" t="str">
        <f t="shared" si="229"/>
        <v>select_one yesno</v>
      </c>
      <c r="J1719" s="106" t="s">
        <v>4457</v>
      </c>
      <c r="K1719" s="116" t="s">
        <v>2443</v>
      </c>
      <c r="L1719" s="118" t="str">
        <f t="shared" si="235"/>
        <v>Sorry, question (9.19) i is required!</v>
      </c>
    </row>
    <row r="1720" spans="1:24" ht="14.25" customHeight="1">
      <c r="A1720" t="s">
        <v>16</v>
      </c>
      <c r="B1720" t="s">
        <v>1536</v>
      </c>
      <c r="E1720" s="118" t="s">
        <v>1021</v>
      </c>
      <c r="F1720" s="118" t="s">
        <v>35</v>
      </c>
      <c r="H1720" s="206" t="str">
        <f>E1710&amp;"-"&amp;E1720</f>
        <v xml:space="preserve">(9.09) Who was involved in setting the fees?-i. Other, specify: </v>
      </c>
      <c r="I1720" s="213" t="str">
        <f t="shared" si="229"/>
        <v>text</v>
      </c>
      <c r="J1720" s="106" t="s">
        <v>2773</v>
      </c>
      <c r="K1720" s="116" t="s">
        <v>2443</v>
      </c>
      <c r="L1720" s="118" t="str">
        <f>IF(K1720="yes",("Sorry, question "&amp;LEFT(E1720, 6)&amp;" is required!"),"")</f>
        <v>Sorry, question i. Oth is required!</v>
      </c>
      <c r="O1720" s="110" t="s">
        <v>2674</v>
      </c>
    </row>
    <row r="1721" spans="1:24" ht="14.25" customHeight="1">
      <c r="A1721" t="s">
        <v>15</v>
      </c>
      <c r="L1721" s="118" t="str">
        <f>IF(K1721="yes",("Sorry, question "&amp;LEFT(E1721, 6)&amp;" is required!"),"")</f>
        <v/>
      </c>
      <c r="X1721" t="s">
        <v>3033</v>
      </c>
    </row>
    <row r="1722" spans="1:24" ht="14.25" customHeight="1">
      <c r="A1722" t="s">
        <v>954</v>
      </c>
      <c r="B1722" t="s">
        <v>3276</v>
      </c>
      <c r="E1722" s="118" t="s">
        <v>1067</v>
      </c>
      <c r="J1722" s="106" t="s">
        <v>13</v>
      </c>
      <c r="L1722" s="118" t="str">
        <f>IF(K1722="yes",("Sorry, question "&amp;LEFT(E1722, 6)&amp;" is required!"),"")</f>
        <v/>
      </c>
      <c r="X1722" t="s">
        <v>3033</v>
      </c>
    </row>
    <row r="1723" spans="1:24" ht="14.25" customHeight="1">
      <c r="A1723" t="s">
        <v>17</v>
      </c>
      <c r="B1723" t="s">
        <v>5189</v>
      </c>
      <c r="F1723" s="130" t="s">
        <v>4133</v>
      </c>
      <c r="I1723" s="213" t="str">
        <f t="shared" si="229"/>
        <v>note</v>
      </c>
      <c r="L1723" s="118" t="str">
        <f>IF(K1723="yes",("Sorry, question "&amp;LEFT(E1723, 6)&amp;" is required!"),"")</f>
        <v/>
      </c>
    </row>
    <row r="1724" spans="1:24" ht="14.25" customHeight="1">
      <c r="A1724" t="s">
        <v>17</v>
      </c>
      <c r="B1724" t="s">
        <v>5190</v>
      </c>
      <c r="E1724" s="118" t="s">
        <v>5191</v>
      </c>
      <c r="I1724" s="213" t="str">
        <f t="shared" si="229"/>
        <v>note</v>
      </c>
    </row>
    <row r="1725" spans="1:24" ht="14.25" customHeight="1">
      <c r="A1725" t="s">
        <v>23</v>
      </c>
      <c r="B1725" t="s">
        <v>964</v>
      </c>
      <c r="E1725" s="118" t="s">
        <v>1022</v>
      </c>
      <c r="H1725" s="206" t="str">
        <f>E1724&amp;"-"&amp;E1725</f>
        <v>(9.10) In the &lt;u&gt;last 3 months&lt;/u&gt;, where did the facility direct revenue from user fees?-a. Facility infrastructure</v>
      </c>
      <c r="I1725" s="213" t="str">
        <f t="shared" si="229"/>
        <v>select_one yesno</v>
      </c>
      <c r="J1725" s="106" t="s">
        <v>4457</v>
      </c>
      <c r="K1725" s="116" t="s">
        <v>2443</v>
      </c>
      <c r="L1725" s="118" t="str">
        <f t="shared" ref="L1725:L1736" si="236">IF(K1725="yes","Sorry, question (9.10) "&amp;LEFT(E1725,1)&amp;" is required!")</f>
        <v>Sorry, question (9.10) a is required!</v>
      </c>
    </row>
    <row r="1726" spans="1:24" ht="14.25" customHeight="1">
      <c r="A1726" t="s">
        <v>23</v>
      </c>
      <c r="B1726" t="s">
        <v>965</v>
      </c>
      <c r="E1726" s="118" t="s">
        <v>1023</v>
      </c>
      <c r="H1726" s="206" t="str">
        <f>E1724&amp;"-"&amp;E1726</f>
        <v>(9.10) In the &lt;u&gt;last 3 months&lt;/u&gt;, where did the facility direct revenue from user fees?-b. Facility equipment and supplies</v>
      </c>
      <c r="I1726" s="213" t="str">
        <f t="shared" si="229"/>
        <v>select_one yesno</v>
      </c>
      <c r="J1726" s="106" t="s">
        <v>4457</v>
      </c>
      <c r="K1726" s="116" t="s">
        <v>2443</v>
      </c>
      <c r="L1726" s="118" t="str">
        <f t="shared" si="236"/>
        <v>Sorry, question (9.10) b is required!</v>
      </c>
    </row>
    <row r="1727" spans="1:24" ht="14.25" customHeight="1">
      <c r="A1727" t="s">
        <v>23</v>
      </c>
      <c r="B1727" t="s">
        <v>966</v>
      </c>
      <c r="E1727" s="118" t="s">
        <v>1024</v>
      </c>
      <c r="H1727" s="206" t="str">
        <f>E1724&amp;"-"&amp;E1727</f>
        <v>(9.10) In the &lt;u&gt;last 3 months&lt;/u&gt;, where did the facility direct revenue from user fees?-c. Drugs</v>
      </c>
      <c r="I1727" s="213" t="str">
        <f t="shared" si="229"/>
        <v>select_one yesno</v>
      </c>
      <c r="J1727" s="106" t="s">
        <v>4457</v>
      </c>
      <c r="K1727" s="116" t="s">
        <v>2443</v>
      </c>
      <c r="L1727" s="118" t="str">
        <f t="shared" si="236"/>
        <v>Sorry, question (9.10) c is required!</v>
      </c>
    </row>
    <row r="1728" spans="1:24" ht="14.25" customHeight="1">
      <c r="A1728" t="s">
        <v>23</v>
      </c>
      <c r="B1728" t="s">
        <v>967</v>
      </c>
      <c r="E1728" s="118" t="s">
        <v>1025</v>
      </c>
      <c r="H1728" s="206" t="str">
        <f>E1724&amp;"-"&amp;E1728</f>
        <v>(9.10) In the &lt;u&gt;last 3 months&lt;/u&gt;, where did the facility direct revenue from user fees?-d. Facility programs</v>
      </c>
      <c r="I1728" s="213" t="str">
        <f t="shared" si="229"/>
        <v>select_one yesno</v>
      </c>
      <c r="J1728" s="106" t="s">
        <v>4457</v>
      </c>
      <c r="K1728" s="116" t="s">
        <v>2443</v>
      </c>
      <c r="L1728" s="118" t="str">
        <f t="shared" si="236"/>
        <v>Sorry, question (9.10) d is required!</v>
      </c>
    </row>
    <row r="1729" spans="1:24" ht="14.25" customHeight="1">
      <c r="A1729" t="s">
        <v>23</v>
      </c>
      <c r="B1729" t="s">
        <v>968</v>
      </c>
      <c r="E1729" s="118" t="s">
        <v>1026</v>
      </c>
      <c r="H1729" s="206" t="str">
        <f>E1724&amp;"-"&amp;E1729</f>
        <v>(9.10) In the &lt;u&gt;last 3 months&lt;/u&gt;, where did the facility direct revenue from user fees?-e. Use in community</v>
      </c>
      <c r="I1729" s="213" t="str">
        <f t="shared" ref="I1729:I1792" si="237">A1729</f>
        <v>select_one yesno</v>
      </c>
      <c r="J1729" s="106" t="s">
        <v>4457</v>
      </c>
      <c r="K1729" s="116" t="s">
        <v>2443</v>
      </c>
      <c r="L1729" s="118" t="str">
        <f t="shared" si="236"/>
        <v>Sorry, question (9.10) e is required!</v>
      </c>
    </row>
    <row r="1730" spans="1:24" ht="14.25" customHeight="1">
      <c r="A1730" t="s">
        <v>23</v>
      </c>
      <c r="B1730" t="s">
        <v>969</v>
      </c>
      <c r="E1730" s="118" t="s">
        <v>1027</v>
      </c>
      <c r="H1730" s="206" t="str">
        <f>E1724&amp;"-"&amp;E1730</f>
        <v>(9.10) In the &lt;u&gt;last 3 months&lt;/u&gt;, where did the facility direct revenue from user fees?-f. Sent back to managing agency</v>
      </c>
      <c r="I1730" s="213" t="str">
        <f t="shared" si="237"/>
        <v>select_one yesno</v>
      </c>
      <c r="J1730" s="106" t="s">
        <v>4457</v>
      </c>
      <c r="K1730" s="116" t="s">
        <v>2443</v>
      </c>
      <c r="L1730" s="118" t="str">
        <f t="shared" si="236"/>
        <v>Sorry, question (9.10) f is required!</v>
      </c>
    </row>
    <row r="1731" spans="1:24" ht="14.25" customHeight="1">
      <c r="A1731" t="s">
        <v>23</v>
      </c>
      <c r="B1731" t="s">
        <v>970</v>
      </c>
      <c r="E1731" s="118" t="s">
        <v>1028</v>
      </c>
      <c r="H1731" s="206" t="str">
        <f>E1724&amp;"-"&amp;E1731</f>
        <v>(9.10) In the &lt;u&gt;last 3 months&lt;/u&gt;, where did the facility direct revenue from user fees?-g. Staff salaries</v>
      </c>
      <c r="I1731" s="213" t="str">
        <f t="shared" si="237"/>
        <v>select_one yesno</v>
      </c>
      <c r="J1731" s="106" t="s">
        <v>4457</v>
      </c>
      <c r="K1731" s="116" t="s">
        <v>2443</v>
      </c>
      <c r="L1731" s="118" t="str">
        <f t="shared" si="236"/>
        <v>Sorry, question (9.10) g is required!</v>
      </c>
    </row>
    <row r="1732" spans="1:24" ht="14.25" customHeight="1">
      <c r="A1732" t="s">
        <v>23</v>
      </c>
      <c r="B1732" t="s">
        <v>971</v>
      </c>
      <c r="E1732" s="118" t="s">
        <v>1029</v>
      </c>
      <c r="H1732" s="206" t="str">
        <f>E1724&amp;"-"&amp;E1732</f>
        <v>(9.10) In the &lt;u&gt;last 3 months&lt;/u&gt;, where did the facility direct revenue from user fees?-h. Staff performance bonuses</v>
      </c>
      <c r="I1732" s="213" t="str">
        <f t="shared" si="237"/>
        <v>select_one yesno</v>
      </c>
      <c r="J1732" s="106" t="s">
        <v>4457</v>
      </c>
      <c r="K1732" s="116" t="s">
        <v>2443</v>
      </c>
      <c r="L1732" s="118" t="str">
        <f t="shared" si="236"/>
        <v>Sorry, question (9.10) h is required!</v>
      </c>
    </row>
    <row r="1733" spans="1:24" ht="14.25" customHeight="1">
      <c r="A1733" t="s">
        <v>23</v>
      </c>
      <c r="B1733" t="s">
        <v>972</v>
      </c>
      <c r="E1733" s="118" t="s">
        <v>1030</v>
      </c>
      <c r="H1733" s="206" t="str">
        <f>E1724&amp;"-"&amp;E1733</f>
        <v>(9.10) In the &lt;u&gt;last 3 months&lt;/u&gt;, where did the facility direct revenue from user fees?-i. Sent back to central government</v>
      </c>
      <c r="I1733" s="213" t="str">
        <f t="shared" si="237"/>
        <v>select_one yesno</v>
      </c>
      <c r="J1733" s="106" t="s">
        <v>4457</v>
      </c>
      <c r="K1733" s="116" t="s">
        <v>2443</v>
      </c>
      <c r="L1733" s="118" t="str">
        <f t="shared" si="236"/>
        <v>Sorry, question (9.10) i is required!</v>
      </c>
    </row>
    <row r="1734" spans="1:24" ht="14.25" customHeight="1">
      <c r="A1734" t="s">
        <v>23</v>
      </c>
      <c r="B1734" t="s">
        <v>973</v>
      </c>
      <c r="E1734" s="118" t="s">
        <v>1031</v>
      </c>
      <c r="H1734" s="206" t="str">
        <f>E1724&amp;"-"&amp;E1734</f>
        <v>(9.10) In the &lt;u&gt;last 3 months&lt;/u&gt;, where did the facility direct revenue from user fees?-j. Sent back to decentralized government</v>
      </c>
      <c r="I1734" s="213" t="str">
        <f t="shared" si="237"/>
        <v>select_one yesno</v>
      </c>
      <c r="J1734" s="106" t="s">
        <v>4457</v>
      </c>
      <c r="K1734" s="116" t="s">
        <v>2443</v>
      </c>
      <c r="L1734" s="118" t="str">
        <f t="shared" si="236"/>
        <v>Sorry, question (9.10) j is required!</v>
      </c>
    </row>
    <row r="1735" spans="1:24" ht="14.25" customHeight="1">
      <c r="A1735" t="s">
        <v>23</v>
      </c>
      <c r="B1735" t="s">
        <v>1890</v>
      </c>
      <c r="E1735" s="118" t="s">
        <v>101</v>
      </c>
      <c r="H1735" s="206" t="str">
        <f>E1724&amp;"-"&amp;E1735</f>
        <v>(9.10) In the &lt;u&gt;last 3 months&lt;/u&gt;, where did the facility direct revenue from user fees?-k. Other, specify:</v>
      </c>
      <c r="I1735" s="213" t="str">
        <f t="shared" si="237"/>
        <v>select_one yesno</v>
      </c>
      <c r="J1735" s="106" t="s">
        <v>4457</v>
      </c>
      <c r="K1735" s="116" t="s">
        <v>2443</v>
      </c>
      <c r="L1735" s="118" t="str">
        <f t="shared" si="236"/>
        <v>Sorry, question (9.10) k is required!</v>
      </c>
    </row>
    <row r="1736" spans="1:24" ht="14.25" customHeight="1">
      <c r="A1736" t="s">
        <v>16</v>
      </c>
      <c r="B1736" t="s">
        <v>1537</v>
      </c>
      <c r="E1736" s="118" t="s">
        <v>101</v>
      </c>
      <c r="F1736" s="118" t="s">
        <v>35</v>
      </c>
      <c r="H1736" s="206" t="str">
        <f>E1724&amp;"-"&amp;E1736</f>
        <v>(9.10) In the &lt;u&gt;last 3 months&lt;/u&gt;, where did the facility direct revenue from user fees?-k. Other, specify:</v>
      </c>
      <c r="I1736" s="213" t="str">
        <f t="shared" si="237"/>
        <v>text</v>
      </c>
      <c r="J1736" s="106" t="s">
        <v>2773</v>
      </c>
      <c r="K1736" s="116" t="s">
        <v>2443</v>
      </c>
      <c r="L1736" s="118" t="str">
        <f t="shared" si="236"/>
        <v>Sorry, question (9.10) k is required!</v>
      </c>
      <c r="O1736" s="110" t="s">
        <v>2675</v>
      </c>
    </row>
    <row r="1737" spans="1:24" ht="14.25" customHeight="1">
      <c r="A1737" t="s">
        <v>15</v>
      </c>
      <c r="E1737" s="118" t="s">
        <v>1067</v>
      </c>
      <c r="X1737" t="s">
        <v>3033</v>
      </c>
    </row>
    <row r="1738" spans="1:24" ht="14.25" customHeight="1">
      <c r="A1738" t="s">
        <v>954</v>
      </c>
      <c r="B1738" t="s">
        <v>3277</v>
      </c>
      <c r="E1738" s="118" t="s">
        <v>1067</v>
      </c>
      <c r="J1738" s="106" t="s">
        <v>13</v>
      </c>
      <c r="X1738" t="s">
        <v>3033</v>
      </c>
    </row>
    <row r="1739" spans="1:24" ht="14.25" customHeight="1">
      <c r="A1739" t="s">
        <v>17</v>
      </c>
      <c r="B1739" t="s">
        <v>5192</v>
      </c>
      <c r="F1739" s="130" t="s">
        <v>4133</v>
      </c>
      <c r="I1739" s="213" t="str">
        <f t="shared" si="237"/>
        <v>note</v>
      </c>
    </row>
    <row r="1740" spans="1:24" ht="14.25" customHeight="1">
      <c r="A1740" t="s">
        <v>17</v>
      </c>
      <c r="B1740" t="s">
        <v>5193</v>
      </c>
      <c r="E1740" s="118" t="s">
        <v>1980</v>
      </c>
      <c r="I1740" s="213" t="str">
        <f t="shared" si="237"/>
        <v>note</v>
      </c>
    </row>
    <row r="1741" spans="1:24" ht="14.25" customHeight="1">
      <c r="A1741" t="s">
        <v>23</v>
      </c>
      <c r="B1741" t="s">
        <v>974</v>
      </c>
      <c r="E1741" s="118" t="s">
        <v>1032</v>
      </c>
      <c r="H1741" s="206" t="str">
        <f>E1740&amp;" -"&amp;E1741</f>
        <v>(9.11) Are any of the following individuals exempt from paying fees? -a. Widows</v>
      </c>
      <c r="I1741" s="213" t="str">
        <f t="shared" si="237"/>
        <v>select_one yesno</v>
      </c>
      <c r="J1741" s="106" t="s">
        <v>4457</v>
      </c>
      <c r="K1741" s="116" t="s">
        <v>2443</v>
      </c>
      <c r="L1741" s="118" t="str">
        <f t="shared" ref="L1741:L1753" si="238">IF(K1741="yes","Sorry, question (9.11) "&amp;LEFT(E1741,1)&amp;" is required!")</f>
        <v>Sorry, question (9.11) a is required!</v>
      </c>
    </row>
    <row r="1742" spans="1:24" ht="14.25" customHeight="1">
      <c r="A1742" t="s">
        <v>23</v>
      </c>
      <c r="B1742" t="s">
        <v>975</v>
      </c>
      <c r="E1742" s="118" t="s">
        <v>1033</v>
      </c>
      <c r="H1742" s="206" t="str">
        <f>E1740&amp;" -"&amp;E1742</f>
        <v>(9.11) Are any of the following individuals exempt from paying fees? -b. Children under 5</v>
      </c>
      <c r="I1742" s="213" t="str">
        <f t="shared" si="237"/>
        <v>select_one yesno</v>
      </c>
      <c r="J1742" s="106" t="s">
        <v>4457</v>
      </c>
      <c r="K1742" s="116" t="s">
        <v>2443</v>
      </c>
      <c r="L1742" s="118" t="str">
        <f t="shared" si="238"/>
        <v>Sorry, question (9.11) b is required!</v>
      </c>
    </row>
    <row r="1743" spans="1:24" ht="14.25" customHeight="1">
      <c r="A1743" t="s">
        <v>23</v>
      </c>
      <c r="B1743" t="s">
        <v>976</v>
      </c>
      <c r="E1743" s="118" t="s">
        <v>1034</v>
      </c>
      <c r="H1743" s="206" t="str">
        <f>E1740&amp;" -"&amp;E1743</f>
        <v>(9.11) Are any of the following individuals exempt from paying fees? -c. Elderly (above 65 years)</v>
      </c>
      <c r="I1743" s="213" t="str">
        <f t="shared" si="237"/>
        <v>select_one yesno</v>
      </c>
      <c r="J1743" s="106" t="s">
        <v>4457</v>
      </c>
      <c r="K1743" s="116" t="s">
        <v>2443</v>
      </c>
      <c r="L1743" s="118" t="str">
        <f t="shared" si="238"/>
        <v>Sorry, question (9.11) c is required!</v>
      </c>
    </row>
    <row r="1744" spans="1:24" ht="14.25" customHeight="1">
      <c r="A1744" t="s">
        <v>23</v>
      </c>
      <c r="B1744" t="s">
        <v>977</v>
      </c>
      <c r="E1744" s="118" t="s">
        <v>1035</v>
      </c>
      <c r="H1744" s="206" t="str">
        <f>E1740&amp;" -"&amp;E1744</f>
        <v>(9.11) Are any of the following individuals exempt from paying fees? -d. Orphans</v>
      </c>
      <c r="I1744" s="213" t="str">
        <f t="shared" si="237"/>
        <v>select_one yesno</v>
      </c>
      <c r="J1744" s="106" t="s">
        <v>4457</v>
      </c>
      <c r="K1744" s="116" t="s">
        <v>2443</v>
      </c>
      <c r="L1744" s="118" t="str">
        <f t="shared" si="238"/>
        <v>Sorry, question (9.11) d is required!</v>
      </c>
    </row>
    <row r="1745" spans="1:24" ht="14.25" customHeight="1">
      <c r="A1745" t="s">
        <v>23</v>
      </c>
      <c r="B1745" t="s">
        <v>978</v>
      </c>
      <c r="E1745" s="118" t="s">
        <v>1036</v>
      </c>
      <c r="H1745" s="206" t="str">
        <f>E1740&amp;" -"&amp;E1745</f>
        <v>(9.11) Are any of the following individuals exempt from paying fees? -e. Tuberculosis patients</v>
      </c>
      <c r="I1745" s="213" t="str">
        <f t="shared" si="237"/>
        <v>select_one yesno</v>
      </c>
      <c r="J1745" s="106" t="s">
        <v>4457</v>
      </c>
      <c r="K1745" s="116" t="s">
        <v>2443</v>
      </c>
      <c r="L1745" s="118" t="str">
        <f t="shared" si="238"/>
        <v>Sorry, question (9.11) e is required!</v>
      </c>
    </row>
    <row r="1746" spans="1:24" ht="14.25" customHeight="1">
      <c r="A1746" t="s">
        <v>23</v>
      </c>
      <c r="B1746" t="s">
        <v>979</v>
      </c>
      <c r="E1746" s="118" t="s">
        <v>1037</v>
      </c>
      <c r="H1746" s="206" t="str">
        <f>E1740&amp;" -"&amp;E1746</f>
        <v>(9.11) Are any of the following individuals exempt from paying fees? -f. HIV/AIDS patients</v>
      </c>
      <c r="I1746" s="213" t="str">
        <f t="shared" si="237"/>
        <v>select_one yesno</v>
      </c>
      <c r="J1746" s="106" t="s">
        <v>4457</v>
      </c>
      <c r="K1746" s="116" t="s">
        <v>2443</v>
      </c>
      <c r="L1746" s="118" t="str">
        <f t="shared" si="238"/>
        <v>Sorry, question (9.11) f is required!</v>
      </c>
    </row>
    <row r="1747" spans="1:24" ht="14.25" customHeight="1">
      <c r="A1747" t="s">
        <v>23</v>
      </c>
      <c r="B1747" t="s">
        <v>980</v>
      </c>
      <c r="E1747" s="118" t="s">
        <v>1038</v>
      </c>
      <c r="H1747" s="206" t="str">
        <f>E1740&amp;" -"&amp;E1747</f>
        <v>(9.11) Are any of the following individuals exempt from paying fees? -g. Extreme poor</v>
      </c>
      <c r="I1747" s="213" t="str">
        <f t="shared" si="237"/>
        <v>select_one yesno</v>
      </c>
      <c r="J1747" s="106" t="s">
        <v>4457</v>
      </c>
      <c r="K1747" s="116" t="s">
        <v>2443</v>
      </c>
      <c r="L1747" s="118" t="str">
        <f t="shared" si="238"/>
        <v>Sorry, question (9.11) g is required!</v>
      </c>
    </row>
    <row r="1748" spans="1:24" ht="14.25" customHeight="1">
      <c r="A1748" t="s">
        <v>23</v>
      </c>
      <c r="B1748" t="s">
        <v>981</v>
      </c>
      <c r="E1748" s="118" t="s">
        <v>1039</v>
      </c>
      <c r="H1748" s="206" t="str">
        <f>E1740&amp;" -"&amp;E1748</f>
        <v>(9.11) Are any of the following individuals exempt from paying fees? -h. Physically disabled persons</v>
      </c>
      <c r="I1748" s="213" t="str">
        <f t="shared" si="237"/>
        <v>select_one yesno</v>
      </c>
      <c r="J1748" s="106" t="s">
        <v>4457</v>
      </c>
      <c r="K1748" s="116" t="s">
        <v>2443</v>
      </c>
      <c r="L1748" s="118" t="str">
        <f t="shared" si="238"/>
        <v>Sorry, question (9.11) h is required!</v>
      </c>
    </row>
    <row r="1749" spans="1:24" ht="14.25" customHeight="1">
      <c r="A1749" t="s">
        <v>23</v>
      </c>
      <c r="B1749" t="s">
        <v>982</v>
      </c>
      <c r="E1749" s="118" t="s">
        <v>1040</v>
      </c>
      <c r="H1749" s="206" t="str">
        <f>E1740&amp;" -"&amp;E1749</f>
        <v xml:space="preserve">(9.11) Are any of the following individuals exempt from paying fees? -i. Military personnel  </v>
      </c>
      <c r="I1749" s="213" t="str">
        <f t="shared" si="237"/>
        <v>select_one yesno</v>
      </c>
      <c r="J1749" s="106" t="s">
        <v>4457</v>
      </c>
      <c r="K1749" s="116" t="s">
        <v>2443</v>
      </c>
      <c r="L1749" s="118" t="str">
        <f t="shared" si="238"/>
        <v>Sorry, question (9.11) i is required!</v>
      </c>
    </row>
    <row r="1750" spans="1:24" ht="14.25" customHeight="1">
      <c r="A1750" t="s">
        <v>23</v>
      </c>
      <c r="B1750" t="s">
        <v>983</v>
      </c>
      <c r="E1750" s="118" t="s">
        <v>1041</v>
      </c>
      <c r="H1750" s="206" t="str">
        <f>E1740&amp;" -"&amp;E1750</f>
        <v xml:space="preserve">(9.11) Are any of the following individuals exempt from paying fees? -j. Pregnant women  </v>
      </c>
      <c r="I1750" s="213" t="str">
        <f t="shared" si="237"/>
        <v>select_one yesno</v>
      </c>
      <c r="J1750" s="106" t="s">
        <v>4457</v>
      </c>
      <c r="K1750" s="116" t="s">
        <v>2443</v>
      </c>
      <c r="L1750" s="118" t="str">
        <f t="shared" si="238"/>
        <v>Sorry, question (9.11) j is required!</v>
      </c>
    </row>
    <row r="1751" spans="1:24" ht="14.25" customHeight="1">
      <c r="A1751" t="s">
        <v>23</v>
      </c>
      <c r="B1751" t="s">
        <v>984</v>
      </c>
      <c r="E1751" s="118" t="s">
        <v>1042</v>
      </c>
      <c r="H1751" s="206" t="str">
        <f>E1740&amp;" -"&amp;E1751</f>
        <v>(9.11) Are any of the following individuals exempt from paying fees? -k. Refugees</v>
      </c>
      <c r="I1751" s="213" t="str">
        <f t="shared" si="237"/>
        <v>select_one yesno</v>
      </c>
      <c r="J1751" s="106" t="s">
        <v>4457</v>
      </c>
      <c r="K1751" s="116" t="s">
        <v>2443</v>
      </c>
      <c r="L1751" s="118" t="str">
        <f t="shared" si="238"/>
        <v>Sorry, question (9.11) k is required!</v>
      </c>
    </row>
    <row r="1752" spans="1:24" ht="14.25" customHeight="1">
      <c r="A1752" t="s">
        <v>23</v>
      </c>
      <c r="B1752" t="s">
        <v>1891</v>
      </c>
      <c r="E1752" s="118" t="s">
        <v>1043</v>
      </c>
      <c r="H1752" s="206" t="str">
        <f>E1740&amp;" -"&amp;E1752</f>
        <v>(9.11) Are any of the following individuals exempt from paying fees? -l. Other, specify:</v>
      </c>
      <c r="I1752" s="213" t="str">
        <f t="shared" si="237"/>
        <v>select_one yesno</v>
      </c>
      <c r="J1752" s="106" t="s">
        <v>4457</v>
      </c>
      <c r="K1752" s="116" t="s">
        <v>2443</v>
      </c>
      <c r="L1752" s="118" t="str">
        <f t="shared" si="238"/>
        <v>Sorry, question (9.11) l is required!</v>
      </c>
    </row>
    <row r="1753" spans="1:24" ht="14.25" customHeight="1">
      <c r="A1753" t="s">
        <v>16</v>
      </c>
      <c r="B1753" t="s">
        <v>1538</v>
      </c>
      <c r="E1753" s="118" t="s">
        <v>1043</v>
      </c>
      <c r="F1753" s="118" t="s">
        <v>35</v>
      </c>
      <c r="H1753" s="206" t="str">
        <f>E1740&amp;" -"&amp;E1753</f>
        <v>(9.11) Are any of the following individuals exempt from paying fees? -l. Other, specify:</v>
      </c>
      <c r="I1753" s="213" t="str">
        <f t="shared" si="237"/>
        <v>text</v>
      </c>
      <c r="J1753" s="106" t="s">
        <v>2773</v>
      </c>
      <c r="K1753" s="116" t="s">
        <v>2443</v>
      </c>
      <c r="L1753" s="118" t="str">
        <f t="shared" si="238"/>
        <v>Sorry, question (9.11) l is required!</v>
      </c>
      <c r="O1753" s="110" t="s">
        <v>2676</v>
      </c>
    </row>
    <row r="1754" spans="1:24" ht="14.25" customHeight="1">
      <c r="A1754" t="s">
        <v>15</v>
      </c>
      <c r="E1754" s="118" t="s">
        <v>1067</v>
      </c>
      <c r="X1754" t="s">
        <v>3033</v>
      </c>
    </row>
    <row r="1755" spans="1:24" ht="14.25" customHeight="1">
      <c r="A1755" t="s">
        <v>954</v>
      </c>
      <c r="B1755" t="s">
        <v>3278</v>
      </c>
      <c r="E1755" s="118" t="s">
        <v>1067</v>
      </c>
      <c r="J1755" s="106" t="s">
        <v>13</v>
      </c>
      <c r="X1755" t="s">
        <v>3033</v>
      </c>
    </row>
    <row r="1756" spans="1:24" ht="14.25" customHeight="1">
      <c r="A1756" t="s">
        <v>17</v>
      </c>
      <c r="B1756" t="s">
        <v>5194</v>
      </c>
      <c r="F1756" s="130" t="s">
        <v>4133</v>
      </c>
      <c r="I1756" s="213" t="str">
        <f t="shared" si="237"/>
        <v>note</v>
      </c>
    </row>
    <row r="1757" spans="1:24" ht="14.25" customHeight="1">
      <c r="A1757" t="s">
        <v>17</v>
      </c>
      <c r="B1757" t="s">
        <v>5195</v>
      </c>
      <c r="E1757" s="118" t="s">
        <v>1981</v>
      </c>
      <c r="I1757" s="213" t="str">
        <f t="shared" si="237"/>
        <v>note</v>
      </c>
    </row>
    <row r="1758" spans="1:24" ht="14.25" customHeight="1">
      <c r="A1758" t="s">
        <v>23</v>
      </c>
      <c r="B1758" t="s">
        <v>985</v>
      </c>
      <c r="E1758" s="118" t="s">
        <v>1013</v>
      </c>
      <c r="H1758" s="206" t="str">
        <f>E1757&amp;"-"&amp;E1758</f>
        <v>(9.12) Who decides which patients are exempt from paying fees? -a. Health facility manager/ in charge</v>
      </c>
      <c r="I1758" s="213" t="str">
        <f t="shared" si="237"/>
        <v>select_one yesno</v>
      </c>
      <c r="J1758" s="106" t="s">
        <v>4457</v>
      </c>
      <c r="K1758" s="116" t="s">
        <v>2443</v>
      </c>
      <c r="L1758" s="118" t="str">
        <f t="shared" ref="L1758:L1767" si="239">IF(K1758="yes","Sorry, question (9.12) "&amp;LEFT(E1758,1)&amp;" is required!")</f>
        <v>Sorry, question (9.12) a is required!</v>
      </c>
    </row>
    <row r="1759" spans="1:24" ht="14.25" customHeight="1">
      <c r="A1759" t="s">
        <v>23</v>
      </c>
      <c r="B1759" t="s">
        <v>986</v>
      </c>
      <c r="E1759" s="118" t="s">
        <v>1014</v>
      </c>
      <c r="H1759" s="206" t="str">
        <f>E1757&amp;"-"&amp;E1759</f>
        <v xml:space="preserve">(9.12) Who decides which patients are exempt from paying fees? -b. Health facility staff </v>
      </c>
      <c r="I1759" s="213" t="str">
        <f t="shared" si="237"/>
        <v>select_one yesno</v>
      </c>
      <c r="J1759" s="106" t="s">
        <v>4457</v>
      </c>
      <c r="K1759" s="116" t="s">
        <v>2443</v>
      </c>
      <c r="L1759" s="118" t="str">
        <f t="shared" si="239"/>
        <v>Sorry, question (9.12) b is required!</v>
      </c>
    </row>
    <row r="1760" spans="1:24" ht="14.25" customHeight="1">
      <c r="A1760" t="s">
        <v>23</v>
      </c>
      <c r="B1760" t="s">
        <v>987</v>
      </c>
      <c r="E1760" s="118" t="s">
        <v>1015</v>
      </c>
      <c r="H1760" s="206" t="str">
        <f>E1757&amp;"-"&amp;E1760</f>
        <v>(9.12) Who decides which patients are exempt from paying fees? -c. Non Governmental Organization staff</v>
      </c>
      <c r="I1760" s="213" t="str">
        <f t="shared" si="237"/>
        <v>select_one yesno</v>
      </c>
      <c r="J1760" s="106" t="s">
        <v>4457</v>
      </c>
      <c r="K1760" s="116" t="s">
        <v>2443</v>
      </c>
      <c r="L1760" s="118" t="str">
        <f t="shared" si="239"/>
        <v>Sorry, question (9.12) c is required!</v>
      </c>
    </row>
    <row r="1761" spans="1:24" ht="14.25" customHeight="1">
      <c r="A1761" t="s">
        <v>23</v>
      </c>
      <c r="B1761" t="s">
        <v>988</v>
      </c>
      <c r="E1761" s="118" t="s">
        <v>1016</v>
      </c>
      <c r="H1761" s="206" t="str">
        <f>E1757&amp;"-"&amp;E1761</f>
        <v>(9.12) Who decides which patients are exempt from paying fees? -d. Ministry of Health (Headquarters)</v>
      </c>
      <c r="I1761" s="213" t="str">
        <f t="shared" si="237"/>
        <v>select_one yesno</v>
      </c>
      <c r="J1761" s="106" t="s">
        <v>4457</v>
      </c>
      <c r="K1761" s="116" t="s">
        <v>2443</v>
      </c>
      <c r="L1761" s="118" t="str">
        <f t="shared" si="239"/>
        <v>Sorry, question (9.12) d is required!</v>
      </c>
    </row>
    <row r="1762" spans="1:24" ht="14.25" customHeight="1">
      <c r="A1762" t="s">
        <v>23</v>
      </c>
      <c r="B1762" t="s">
        <v>989</v>
      </c>
      <c r="E1762" s="118" t="s">
        <v>1017</v>
      </c>
      <c r="H1762" s="206" t="str">
        <f>E1757&amp;"-"&amp;E1762</f>
        <v>(9.12) Who decides which patients are exempt from paying fees? -e. Community Health Worker Cooperative president / leader</v>
      </c>
      <c r="I1762" s="213" t="str">
        <f t="shared" si="237"/>
        <v>select_one yesno</v>
      </c>
      <c r="J1762" s="106" t="s">
        <v>4457</v>
      </c>
      <c r="K1762" s="116" t="s">
        <v>2443</v>
      </c>
      <c r="L1762" s="118" t="str">
        <f t="shared" si="239"/>
        <v>Sorry, question (9.12) e is required!</v>
      </c>
    </row>
    <row r="1763" spans="1:24" ht="14.25" customHeight="1">
      <c r="A1763" t="s">
        <v>23</v>
      </c>
      <c r="B1763" t="s">
        <v>990</v>
      </c>
      <c r="E1763" s="118" t="s">
        <v>1018</v>
      </c>
      <c r="H1763" s="206" t="str">
        <f>E1757&amp;"-"&amp;E1763</f>
        <v>(9.12) Who decides which patients are exempt from paying fees? -f. Community Health Workers</v>
      </c>
      <c r="I1763" s="213" t="str">
        <f t="shared" si="237"/>
        <v>select_one yesno</v>
      </c>
      <c r="J1763" s="106" t="s">
        <v>4457</v>
      </c>
      <c r="K1763" s="116" t="s">
        <v>2443</v>
      </c>
      <c r="L1763" s="118" t="str">
        <f t="shared" si="239"/>
        <v>Sorry, question (9.12) f is required!</v>
      </c>
    </row>
    <row r="1764" spans="1:24" ht="14.25" customHeight="1">
      <c r="A1764" t="s">
        <v>23</v>
      </c>
      <c r="B1764" t="s">
        <v>991</v>
      </c>
      <c r="E1764" s="118" t="s">
        <v>1019</v>
      </c>
      <c r="H1764" s="206" t="str">
        <f>E1757&amp;"-"&amp;E1764</f>
        <v>(9.12) Who decides which patients are exempt from paying fees? -g. Community members</v>
      </c>
      <c r="I1764" s="213" t="str">
        <f t="shared" si="237"/>
        <v>select_one yesno</v>
      </c>
      <c r="J1764" s="106" t="s">
        <v>4457</v>
      </c>
      <c r="K1764" s="116" t="s">
        <v>2443</v>
      </c>
      <c r="L1764" s="118" t="str">
        <f t="shared" si="239"/>
        <v>Sorry, question (9.12) g is required!</v>
      </c>
    </row>
    <row r="1765" spans="1:24" ht="14.25" customHeight="1">
      <c r="A1765" t="s">
        <v>23</v>
      </c>
      <c r="B1765" t="s">
        <v>992</v>
      </c>
      <c r="E1765" s="118" t="s">
        <v>1020</v>
      </c>
      <c r="H1765" s="206" t="str">
        <f>E1757&amp;"-"&amp;E1765</f>
        <v>(9.12) Who decides which patients are exempt from paying fees? -h. Health Committee</v>
      </c>
      <c r="I1765" s="213" t="str">
        <f t="shared" si="237"/>
        <v>select_one yesno</v>
      </c>
      <c r="J1765" s="106" t="s">
        <v>4457</v>
      </c>
      <c r="K1765" s="116" t="s">
        <v>2443</v>
      </c>
      <c r="L1765" s="118" t="str">
        <f t="shared" si="239"/>
        <v>Sorry, question (9.12) h is required!</v>
      </c>
    </row>
    <row r="1766" spans="1:24" ht="14.25" customHeight="1">
      <c r="A1766" t="s">
        <v>23</v>
      </c>
      <c r="B1766" t="s">
        <v>1892</v>
      </c>
      <c r="E1766" s="118" t="s">
        <v>1044</v>
      </c>
      <c r="H1766" s="206" t="str">
        <f>E1757&amp;"-"&amp;E1766</f>
        <v>(9.12) Who decides which patients are exempt from paying fees? -i. Other, specify:</v>
      </c>
      <c r="I1766" s="213" t="str">
        <f t="shared" si="237"/>
        <v>select_one yesno</v>
      </c>
      <c r="J1766" s="106" t="s">
        <v>4457</v>
      </c>
      <c r="K1766" s="116" t="s">
        <v>2443</v>
      </c>
      <c r="L1766" s="118" t="str">
        <f t="shared" si="239"/>
        <v>Sorry, question (9.12) i is required!</v>
      </c>
    </row>
    <row r="1767" spans="1:24" ht="14.25" customHeight="1">
      <c r="A1767" t="s">
        <v>16</v>
      </c>
      <c r="B1767" t="s">
        <v>1539</v>
      </c>
      <c r="E1767" s="118" t="s">
        <v>1044</v>
      </c>
      <c r="F1767" s="118" t="s">
        <v>35</v>
      </c>
      <c r="H1767" s="206" t="str">
        <f>E1757&amp;"-"&amp;E1767</f>
        <v>(9.12) Who decides which patients are exempt from paying fees? -i. Other, specify:</v>
      </c>
      <c r="I1767" s="213" t="str">
        <f t="shared" si="237"/>
        <v>text</v>
      </c>
      <c r="J1767" s="106" t="s">
        <v>2773</v>
      </c>
      <c r="K1767" s="116" t="s">
        <v>2443</v>
      </c>
      <c r="L1767" s="118" t="str">
        <f t="shared" si="239"/>
        <v>Sorry, question (9.12) i is required!</v>
      </c>
      <c r="O1767" s="110" t="s">
        <v>2677</v>
      </c>
    </row>
    <row r="1768" spans="1:24" ht="14.25" customHeight="1">
      <c r="A1768" t="s">
        <v>15</v>
      </c>
      <c r="E1768" s="118" t="s">
        <v>1067</v>
      </c>
      <c r="X1768" t="s">
        <v>3033</v>
      </c>
    </row>
    <row r="1769" spans="1:24" ht="14.25" customHeight="1">
      <c r="A1769" t="s">
        <v>15</v>
      </c>
      <c r="X1769" t="s">
        <v>3032</v>
      </c>
    </row>
    <row r="1770" spans="1:24" ht="14.25" customHeight="1">
      <c r="A1770" t="s">
        <v>954</v>
      </c>
      <c r="B1770" t="s">
        <v>3279</v>
      </c>
      <c r="E1770" s="118" t="s">
        <v>1067</v>
      </c>
      <c r="J1770" s="106" t="s">
        <v>13</v>
      </c>
      <c r="X1770" t="s">
        <v>3032</v>
      </c>
    </row>
    <row r="1771" spans="1:24" ht="14.25" customHeight="1">
      <c r="A1771" t="s">
        <v>23</v>
      </c>
      <c r="B1771" s="107" t="s">
        <v>993</v>
      </c>
      <c r="E1771" s="118" t="s">
        <v>1982</v>
      </c>
      <c r="H1771" s="206" t="str">
        <f>E1771</f>
        <v>(9.13) Do exempt patients receive a special exemption card that allows them to receive services for free?</v>
      </c>
      <c r="I1771" s="213" t="str">
        <f t="shared" si="237"/>
        <v>select_one yesno</v>
      </c>
      <c r="J1771" s="106" t="s">
        <v>4457</v>
      </c>
      <c r="K1771" s="116" t="s">
        <v>2443</v>
      </c>
      <c r="L1771" s="118" t="str">
        <f>"Sorry, question "&amp;LEFT(E1771, 6)&amp;" is required!"</f>
        <v>Sorry, question (9.13) is required!</v>
      </c>
      <c r="O1771" s="110" t="s">
        <v>5196</v>
      </c>
    </row>
    <row r="1772" spans="1:24" ht="14.25" customHeight="1">
      <c r="A1772" t="s">
        <v>23</v>
      </c>
      <c r="B1772" s="107" t="s">
        <v>994</v>
      </c>
      <c r="E1772" s="118" t="s">
        <v>1983</v>
      </c>
      <c r="H1772" s="206" t="str">
        <f t="shared" ref="H1772:H1774" si="240">E1772</f>
        <v>(9.14) Does this facility participate in a health insurance scheme?</v>
      </c>
      <c r="I1772" s="213" t="str">
        <f t="shared" si="237"/>
        <v>select_one yesno</v>
      </c>
      <c r="J1772" s="106" t="s">
        <v>4457</v>
      </c>
      <c r="K1772" s="116" t="s">
        <v>2443</v>
      </c>
      <c r="L1772" s="118" t="str">
        <f>"Sorry, question "&amp;LEFT(E1772, 6)&amp;" is required!"</f>
        <v>Sorry, question (9.14) is required!</v>
      </c>
    </row>
    <row r="1773" spans="1:24" ht="14.25" customHeight="1">
      <c r="A1773" t="s">
        <v>963</v>
      </c>
      <c r="B1773" t="s">
        <v>995</v>
      </c>
      <c r="E1773" s="118" t="s">
        <v>1984</v>
      </c>
      <c r="H1773" s="206" t="str">
        <f t="shared" si="240"/>
        <v>(9.15) What type of health insurance?</v>
      </c>
      <c r="I1773" s="213" t="str">
        <f t="shared" si="237"/>
        <v>select_one ins</v>
      </c>
      <c r="J1773" s="106" t="s">
        <v>4457</v>
      </c>
      <c r="K1773" s="116" t="s">
        <v>2443</v>
      </c>
      <c r="L1773" s="118" t="str">
        <f>"Sorry, question "&amp;LEFT(E1773, 6)&amp;" is required!"</f>
        <v>Sorry, question (9.15) is required!</v>
      </c>
      <c r="O1773" s="110" t="s">
        <v>1460</v>
      </c>
    </row>
    <row r="1774" spans="1:24" ht="14.25" customHeight="1">
      <c r="A1774" t="s">
        <v>17</v>
      </c>
      <c r="B1774" t="s">
        <v>5197</v>
      </c>
      <c r="E1774" s="118" t="s">
        <v>4217</v>
      </c>
      <c r="H1774" s="206" t="str">
        <f t="shared" si="240"/>
        <v>&lt;b&gt;&lt;font&gt;INTERVIEWER: READ ALL OPTIONS ALOUD&lt;/font&gt;&lt;b&gt;</v>
      </c>
      <c r="I1774" s="213" t="str">
        <f t="shared" si="237"/>
        <v>note</v>
      </c>
      <c r="O1774" s="110" t="s">
        <v>1460</v>
      </c>
    </row>
    <row r="1775" spans="1:24" ht="14.25" customHeight="1">
      <c r="A1775" t="s">
        <v>17</v>
      </c>
      <c r="B1775" t="s">
        <v>5198</v>
      </c>
      <c r="E1775" s="118" t="s">
        <v>1985</v>
      </c>
      <c r="I1775" s="213" t="str">
        <f t="shared" si="237"/>
        <v>note</v>
      </c>
      <c r="O1775" s="110" t="s">
        <v>1460</v>
      </c>
    </row>
    <row r="1776" spans="1:24" ht="14.25" customHeight="1">
      <c r="A1776" t="s">
        <v>23</v>
      </c>
      <c r="B1776" t="s">
        <v>996</v>
      </c>
      <c r="E1776" s="118" t="s">
        <v>1045</v>
      </c>
      <c r="H1776" s="206" t="str">
        <f>"(9.16) - "&amp;E1776</f>
        <v>(9.16) - a. Routine well baby visits (Including vaccination)</v>
      </c>
      <c r="I1776" s="213" t="str">
        <f t="shared" si="237"/>
        <v>select_one yesno</v>
      </c>
      <c r="J1776" s="106" t="s">
        <v>4457</v>
      </c>
      <c r="K1776" s="116" t="s">
        <v>2443</v>
      </c>
      <c r="L1776" s="118" t="str">
        <f t="shared" ref="L1776:L1784" si="241">IF(K1776="yes","Sorry, question (9.16) "&amp;LEFT(E1776,1)&amp;" is required!")</f>
        <v>Sorry, question (9.16) a is required!</v>
      </c>
      <c r="O1776" s="110" t="s">
        <v>1460</v>
      </c>
    </row>
    <row r="1777" spans="1:24" ht="14.25" customHeight="1">
      <c r="A1777" t="s">
        <v>23</v>
      </c>
      <c r="B1777" t="s">
        <v>997</v>
      </c>
      <c r="E1777" s="118" t="s">
        <v>1046</v>
      </c>
      <c r="H1777" s="206" t="str">
        <f t="shared" ref="H1777:H1784" si="242">"(9.16) - "&amp;E1777</f>
        <v>(9.16) - b. Sick child care</v>
      </c>
      <c r="I1777" s="213" t="str">
        <f t="shared" si="237"/>
        <v>select_one yesno</v>
      </c>
      <c r="J1777" s="106" t="s">
        <v>4457</v>
      </c>
      <c r="K1777" s="116" t="s">
        <v>2443</v>
      </c>
      <c r="L1777" s="118" t="str">
        <f t="shared" si="241"/>
        <v>Sorry, question (9.16) b is required!</v>
      </c>
      <c r="O1777" s="110" t="s">
        <v>1460</v>
      </c>
    </row>
    <row r="1778" spans="1:24" ht="14.25" customHeight="1">
      <c r="A1778" t="s">
        <v>23</v>
      </c>
      <c r="B1778" t="s">
        <v>998</v>
      </c>
      <c r="E1778" s="118" t="s">
        <v>1047</v>
      </c>
      <c r="H1778" s="206" t="str">
        <f t="shared" si="242"/>
        <v>(9.16) - c. Adult outpatient care</v>
      </c>
      <c r="I1778" s="213" t="str">
        <f t="shared" si="237"/>
        <v>select_one yesno</v>
      </c>
      <c r="J1778" s="106" t="s">
        <v>4457</v>
      </c>
      <c r="K1778" s="116" t="s">
        <v>2443</v>
      </c>
      <c r="L1778" s="118" t="str">
        <f t="shared" si="241"/>
        <v>Sorry, question (9.16) c is required!</v>
      </c>
      <c r="O1778" s="110" t="s">
        <v>1460</v>
      </c>
    </row>
    <row r="1779" spans="1:24" ht="14.25" customHeight="1">
      <c r="A1779" t="s">
        <v>23</v>
      </c>
      <c r="B1779" t="s">
        <v>999</v>
      </c>
      <c r="E1779" s="118" t="s">
        <v>1048</v>
      </c>
      <c r="H1779" s="206" t="str">
        <f t="shared" si="242"/>
        <v>(9.16) - d. Antenatal care for pregnant women</v>
      </c>
      <c r="I1779" s="213" t="str">
        <f t="shared" si="237"/>
        <v>select_one yesno</v>
      </c>
      <c r="J1779" s="106" t="s">
        <v>4457</v>
      </c>
      <c r="K1779" s="116" t="s">
        <v>2443</v>
      </c>
      <c r="L1779" s="118" t="str">
        <f t="shared" si="241"/>
        <v>Sorry, question (9.16) d is required!</v>
      </c>
      <c r="O1779" s="110" t="s">
        <v>1460</v>
      </c>
    </row>
    <row r="1780" spans="1:24" ht="14.25" customHeight="1">
      <c r="A1780" t="s">
        <v>23</v>
      </c>
      <c r="B1780" t="s">
        <v>1000</v>
      </c>
      <c r="E1780" s="118" t="s">
        <v>1049</v>
      </c>
      <c r="H1780" s="206" t="str">
        <f t="shared" si="242"/>
        <v>(9.16) - e. Delivery care for pregnant women</v>
      </c>
      <c r="I1780" s="213" t="str">
        <f t="shared" si="237"/>
        <v>select_one yesno</v>
      </c>
      <c r="J1780" s="106" t="s">
        <v>4457</v>
      </c>
      <c r="K1780" s="116" t="s">
        <v>2443</v>
      </c>
      <c r="L1780" s="118" t="str">
        <f t="shared" si="241"/>
        <v>Sorry, question (9.16) e is required!</v>
      </c>
      <c r="O1780" s="110" t="s">
        <v>1460</v>
      </c>
    </row>
    <row r="1781" spans="1:24" ht="14.25" customHeight="1">
      <c r="A1781" t="s">
        <v>23</v>
      </c>
      <c r="B1781" t="s">
        <v>1001</v>
      </c>
      <c r="E1781" s="118" t="s">
        <v>1050</v>
      </c>
      <c r="H1781" s="206" t="str">
        <f t="shared" si="242"/>
        <v>(9.16) - f. Post partum care for women and newborns</v>
      </c>
      <c r="I1781" s="213" t="str">
        <f t="shared" si="237"/>
        <v>select_one yesno</v>
      </c>
      <c r="J1781" s="106" t="s">
        <v>4457</v>
      </c>
      <c r="K1781" s="116" t="s">
        <v>2443</v>
      </c>
      <c r="L1781" s="118" t="str">
        <f t="shared" si="241"/>
        <v>Sorry, question (9.16) f is required!</v>
      </c>
      <c r="O1781" s="110" t="s">
        <v>1460</v>
      </c>
    </row>
    <row r="1782" spans="1:24" ht="14.25" customHeight="1">
      <c r="A1782" t="s">
        <v>23</v>
      </c>
      <c r="B1782" t="s">
        <v>1002</v>
      </c>
      <c r="E1782" s="118" t="s">
        <v>1051</v>
      </c>
      <c r="H1782" s="206" t="str">
        <f t="shared" si="242"/>
        <v>(9.16) - g. Hospital admission and inpatient care</v>
      </c>
      <c r="I1782" s="213" t="str">
        <f t="shared" si="237"/>
        <v>select_one yesno</v>
      </c>
      <c r="J1782" s="106" t="s">
        <v>4457</v>
      </c>
      <c r="K1782" s="116" t="s">
        <v>2443</v>
      </c>
      <c r="L1782" s="118" t="str">
        <f t="shared" si="241"/>
        <v>Sorry, question (9.16) g is required!</v>
      </c>
      <c r="O1782" s="110" t="s">
        <v>1460</v>
      </c>
    </row>
    <row r="1783" spans="1:24" ht="14.25" customHeight="1">
      <c r="A1783" t="s">
        <v>23</v>
      </c>
      <c r="B1783" t="s">
        <v>1893</v>
      </c>
      <c r="E1783" s="118" t="s">
        <v>1052</v>
      </c>
      <c r="H1783" s="206" t="str">
        <f t="shared" si="242"/>
        <v xml:space="preserve">(9.16) - h. Other, specify: </v>
      </c>
      <c r="I1783" s="213" t="str">
        <f t="shared" si="237"/>
        <v>select_one yesno</v>
      </c>
      <c r="J1783" s="106" t="s">
        <v>4457</v>
      </c>
      <c r="K1783" s="116" t="s">
        <v>2443</v>
      </c>
      <c r="L1783" s="118" t="str">
        <f t="shared" si="241"/>
        <v>Sorry, question (9.16) h is required!</v>
      </c>
      <c r="O1783" s="110" t="s">
        <v>1460</v>
      </c>
    </row>
    <row r="1784" spans="1:24" ht="14.25" customHeight="1">
      <c r="A1784" t="s">
        <v>16</v>
      </c>
      <c r="B1784" t="s">
        <v>1540</v>
      </c>
      <c r="E1784" s="118" t="s">
        <v>1052</v>
      </c>
      <c r="F1784" s="118" t="s">
        <v>35</v>
      </c>
      <c r="H1784" s="206" t="str">
        <f t="shared" si="242"/>
        <v xml:space="preserve">(9.16) - h. Other, specify: </v>
      </c>
      <c r="I1784" s="213" t="str">
        <f t="shared" si="237"/>
        <v>text</v>
      </c>
      <c r="J1784" s="106" t="s">
        <v>2773</v>
      </c>
      <c r="K1784" s="116" t="s">
        <v>2443</v>
      </c>
      <c r="L1784" s="118" t="str">
        <f t="shared" si="241"/>
        <v>Sorry, question (9.16) h is required!</v>
      </c>
      <c r="O1784" s="110" t="s">
        <v>2678</v>
      </c>
    </row>
    <row r="1785" spans="1:24" ht="14.25" customHeight="1">
      <c r="A1785" t="s">
        <v>15</v>
      </c>
      <c r="X1785" t="s">
        <v>3032</v>
      </c>
    </row>
    <row r="1786" spans="1:24" ht="14.25" customHeight="1">
      <c r="A1786" t="s">
        <v>954</v>
      </c>
      <c r="B1786" t="s">
        <v>3280</v>
      </c>
      <c r="E1786" s="118" t="s">
        <v>1067</v>
      </c>
      <c r="J1786" s="106" t="s">
        <v>13</v>
      </c>
      <c r="O1786" s="110" t="s">
        <v>1460</v>
      </c>
      <c r="X1786" t="s">
        <v>3032</v>
      </c>
    </row>
    <row r="1787" spans="1:24" ht="14.25" customHeight="1">
      <c r="A1787" t="s">
        <v>17</v>
      </c>
      <c r="B1787" t="s">
        <v>5199</v>
      </c>
      <c r="F1787" s="130" t="s">
        <v>4133</v>
      </c>
      <c r="I1787" s="213" t="str">
        <f t="shared" si="237"/>
        <v>note</v>
      </c>
    </row>
    <row r="1788" spans="1:24" ht="14.25" customHeight="1">
      <c r="A1788" t="s">
        <v>17</v>
      </c>
      <c r="B1788" t="s">
        <v>5200</v>
      </c>
      <c r="E1788" s="118" t="s">
        <v>1986</v>
      </c>
      <c r="I1788" s="213" t="str">
        <f t="shared" si="237"/>
        <v>note</v>
      </c>
    </row>
    <row r="1789" spans="1:24" ht="14.25" customHeight="1">
      <c r="A1789" t="s">
        <v>17</v>
      </c>
      <c r="B1789" s="107" t="s">
        <v>5201</v>
      </c>
      <c r="E1789" s="118" t="s">
        <v>3122</v>
      </c>
      <c r="I1789" s="213" t="str">
        <f t="shared" si="237"/>
        <v>note</v>
      </c>
    </row>
    <row r="1790" spans="1:24" ht="14.25" customHeight="1">
      <c r="A1790" t="s">
        <v>23</v>
      </c>
      <c r="B1790" t="s">
        <v>1003</v>
      </c>
      <c r="E1790" s="118" t="s">
        <v>1022</v>
      </c>
      <c r="H1790" s="206" t="str">
        <f>E1788&amp;"-"&amp;E1790</f>
        <v>(9.17) Where are the funds collected through the insurance scheme allocated by the facility?-a. Facility infrastructure</v>
      </c>
      <c r="I1790" s="213" t="str">
        <f t="shared" si="237"/>
        <v>select_one yesno</v>
      </c>
      <c r="J1790" s="106" t="s">
        <v>4457</v>
      </c>
      <c r="K1790" s="116" t="s">
        <v>2443</v>
      </c>
      <c r="L1790" s="118" t="str">
        <f t="shared" ref="L1790:L1800" si="243">IF(K1790="yes","Sorry, question (9.17) "&amp;LEFT(E1790,1)&amp;" is required!")</f>
        <v>Sorry, question (9.17) a is required!</v>
      </c>
    </row>
    <row r="1791" spans="1:24" ht="14.25" customHeight="1">
      <c r="A1791" t="s">
        <v>23</v>
      </c>
      <c r="B1791" t="s">
        <v>1004</v>
      </c>
      <c r="E1791" s="118" t="s">
        <v>1023</v>
      </c>
      <c r="H1791" s="206" t="str">
        <f>"(9.17) - "&amp;E1791</f>
        <v>(9.17) - b. Facility equipment and supplies</v>
      </c>
      <c r="I1791" s="213" t="str">
        <f t="shared" si="237"/>
        <v>select_one yesno</v>
      </c>
      <c r="J1791" s="106" t="s">
        <v>4457</v>
      </c>
      <c r="K1791" s="116" t="s">
        <v>2443</v>
      </c>
      <c r="L1791" s="118" t="str">
        <f t="shared" si="243"/>
        <v>Sorry, question (9.17) b is required!</v>
      </c>
    </row>
    <row r="1792" spans="1:24" ht="14.25" customHeight="1">
      <c r="A1792" t="s">
        <v>23</v>
      </c>
      <c r="B1792" t="s">
        <v>1005</v>
      </c>
      <c r="E1792" s="118" t="s">
        <v>1024</v>
      </c>
      <c r="H1792" s="206" t="str">
        <f t="shared" ref="H1792:H1801" si="244">"(9.17) - "&amp;E1792</f>
        <v>(9.17) - c. Drugs</v>
      </c>
      <c r="I1792" s="213" t="str">
        <f t="shared" si="237"/>
        <v>select_one yesno</v>
      </c>
      <c r="J1792" s="106" t="s">
        <v>4457</v>
      </c>
      <c r="K1792" s="116" t="s">
        <v>2443</v>
      </c>
      <c r="L1792" s="118" t="str">
        <f t="shared" si="243"/>
        <v>Sorry, question (9.17) c is required!</v>
      </c>
    </row>
    <row r="1793" spans="1:24" ht="14.25" customHeight="1">
      <c r="A1793" t="s">
        <v>23</v>
      </c>
      <c r="B1793" t="s">
        <v>1006</v>
      </c>
      <c r="E1793" s="118" t="s">
        <v>1025</v>
      </c>
      <c r="H1793" s="206" t="str">
        <f t="shared" si="244"/>
        <v>(9.17) - d. Facility programs</v>
      </c>
      <c r="I1793" s="213" t="str">
        <f t="shared" ref="I1793:I1854" si="245">A1793</f>
        <v>select_one yesno</v>
      </c>
      <c r="J1793" s="106" t="s">
        <v>4457</v>
      </c>
      <c r="K1793" s="116" t="s">
        <v>2443</v>
      </c>
      <c r="L1793" s="118" t="str">
        <f t="shared" si="243"/>
        <v>Sorry, question (9.17) d is required!</v>
      </c>
    </row>
    <row r="1794" spans="1:24" ht="14.25" customHeight="1">
      <c r="A1794" t="s">
        <v>23</v>
      </c>
      <c r="B1794" t="s">
        <v>1007</v>
      </c>
      <c r="E1794" s="118" t="s">
        <v>1026</v>
      </c>
      <c r="H1794" s="206" t="str">
        <f t="shared" si="244"/>
        <v>(9.17) - e. Use in community</v>
      </c>
      <c r="I1794" s="213" t="str">
        <f t="shared" si="245"/>
        <v>select_one yesno</v>
      </c>
      <c r="J1794" s="106" t="s">
        <v>4457</v>
      </c>
      <c r="K1794" s="116" t="s">
        <v>2443</v>
      </c>
      <c r="L1794" s="118" t="str">
        <f t="shared" si="243"/>
        <v>Sorry, question (9.17) e is required!</v>
      </c>
    </row>
    <row r="1795" spans="1:24" ht="14.25" customHeight="1">
      <c r="A1795" t="s">
        <v>23</v>
      </c>
      <c r="B1795" t="s">
        <v>1008</v>
      </c>
      <c r="E1795" s="118" t="s">
        <v>1027</v>
      </c>
      <c r="H1795" s="206" t="str">
        <f t="shared" si="244"/>
        <v>(9.17) - f. Sent back to managing agency</v>
      </c>
      <c r="I1795" s="213" t="str">
        <f t="shared" si="245"/>
        <v>select_one yesno</v>
      </c>
      <c r="J1795" s="106" t="s">
        <v>4457</v>
      </c>
      <c r="K1795" s="116" t="s">
        <v>2443</v>
      </c>
      <c r="L1795" s="118" t="str">
        <f t="shared" si="243"/>
        <v>Sorry, question (9.17) f is required!</v>
      </c>
    </row>
    <row r="1796" spans="1:24" ht="14.25" customHeight="1">
      <c r="A1796" t="s">
        <v>23</v>
      </c>
      <c r="B1796" t="s">
        <v>1009</v>
      </c>
      <c r="E1796" s="118" t="s">
        <v>1028</v>
      </c>
      <c r="H1796" s="206" t="str">
        <f t="shared" si="244"/>
        <v>(9.17) - g. Staff salaries</v>
      </c>
      <c r="I1796" s="213" t="str">
        <f t="shared" si="245"/>
        <v>select_one yesno</v>
      </c>
      <c r="J1796" s="106" t="s">
        <v>4457</v>
      </c>
      <c r="K1796" s="116" t="s">
        <v>2443</v>
      </c>
      <c r="L1796" s="118" t="str">
        <f t="shared" si="243"/>
        <v>Sorry, question (9.17) g is required!</v>
      </c>
    </row>
    <row r="1797" spans="1:24" ht="14.25" customHeight="1">
      <c r="A1797" t="s">
        <v>23</v>
      </c>
      <c r="B1797" t="s">
        <v>1010</v>
      </c>
      <c r="E1797" s="118" t="s">
        <v>1029</v>
      </c>
      <c r="H1797" s="206" t="str">
        <f t="shared" si="244"/>
        <v>(9.17) - h. Staff performance bonuses</v>
      </c>
      <c r="I1797" s="213" t="str">
        <f t="shared" si="245"/>
        <v>select_one yesno</v>
      </c>
      <c r="J1797" s="106" t="s">
        <v>4457</v>
      </c>
      <c r="K1797" s="116" t="s">
        <v>2443</v>
      </c>
      <c r="L1797" s="118" t="str">
        <f t="shared" si="243"/>
        <v>Sorry, question (9.17) h is required!</v>
      </c>
    </row>
    <row r="1798" spans="1:24" ht="14.25" customHeight="1">
      <c r="A1798" t="s">
        <v>23</v>
      </c>
      <c r="B1798" t="s">
        <v>1011</v>
      </c>
      <c r="E1798" s="118" t="s">
        <v>1030</v>
      </c>
      <c r="H1798" s="206" t="str">
        <f t="shared" si="244"/>
        <v>(9.17) - i. Sent back to central government</v>
      </c>
      <c r="I1798" s="213" t="str">
        <f t="shared" si="245"/>
        <v>select_one yesno</v>
      </c>
      <c r="J1798" s="106" t="s">
        <v>4457</v>
      </c>
      <c r="K1798" s="116" t="s">
        <v>2443</v>
      </c>
      <c r="L1798" s="118" t="str">
        <f t="shared" si="243"/>
        <v>Sorry, question (9.17) i is required!</v>
      </c>
    </row>
    <row r="1799" spans="1:24" ht="14.25" customHeight="1">
      <c r="A1799" t="s">
        <v>23</v>
      </c>
      <c r="B1799" t="s">
        <v>1012</v>
      </c>
      <c r="E1799" s="118" t="s">
        <v>1031</v>
      </c>
      <c r="H1799" s="206" t="str">
        <f t="shared" si="244"/>
        <v>(9.17) - j. Sent back to decentralized government</v>
      </c>
      <c r="I1799" s="213" t="str">
        <f t="shared" si="245"/>
        <v>select_one yesno</v>
      </c>
      <c r="J1799" s="106" t="s">
        <v>4457</v>
      </c>
      <c r="K1799" s="116" t="s">
        <v>2443</v>
      </c>
      <c r="L1799" s="118" t="str">
        <f t="shared" si="243"/>
        <v>Sorry, question (9.17) j is required!</v>
      </c>
    </row>
    <row r="1800" spans="1:24" ht="14.25" customHeight="1">
      <c r="A1800" t="s">
        <v>23</v>
      </c>
      <c r="B1800" t="s">
        <v>1894</v>
      </c>
      <c r="E1800" s="118" t="s">
        <v>101</v>
      </c>
      <c r="H1800" s="206" t="str">
        <f t="shared" si="244"/>
        <v>(9.17) - k. Other, specify:</v>
      </c>
      <c r="I1800" s="213" t="str">
        <f t="shared" si="245"/>
        <v>select_one yesno</v>
      </c>
      <c r="J1800" s="106" t="s">
        <v>4457</v>
      </c>
      <c r="K1800" s="116" t="s">
        <v>2443</v>
      </c>
      <c r="L1800" s="118" t="str">
        <f t="shared" si="243"/>
        <v>Sorry, question (9.17) k is required!</v>
      </c>
    </row>
    <row r="1801" spans="1:24" ht="14.25" customHeight="1">
      <c r="A1801" t="s">
        <v>16</v>
      </c>
      <c r="B1801" t="s">
        <v>1541</v>
      </c>
      <c r="E1801" s="118" t="s">
        <v>101</v>
      </c>
      <c r="F1801" s="118" t="s">
        <v>35</v>
      </c>
      <c r="H1801" s="206" t="str">
        <f t="shared" si="244"/>
        <v>(9.17) - k. Other, specify:</v>
      </c>
      <c r="I1801" s="213" t="str">
        <f t="shared" si="245"/>
        <v>text</v>
      </c>
      <c r="J1801" s="106" t="s">
        <v>2773</v>
      </c>
      <c r="K1801" s="116" t="s">
        <v>2443</v>
      </c>
      <c r="L1801" s="118" t="str">
        <f>IF(K1801="yes","Sorry, question (9.17) "&amp;LEFT(E1801,9)&amp;" is required!")</f>
        <v>Sorry, question (9.17) k. Other, is required!</v>
      </c>
      <c r="O1801" s="110" t="s">
        <v>2679</v>
      </c>
    </row>
    <row r="1802" spans="1:24" ht="14.25" customHeight="1">
      <c r="A1802" t="s">
        <v>15</v>
      </c>
      <c r="E1802" s="118" t="s">
        <v>1067</v>
      </c>
      <c r="L1802" s="118" t="str">
        <f t="shared" ref="L1802:L1831" si="246">IF(K1802="yes",("Sorry, question "&amp;LEFT(E1802, 7)&amp;" is required!"),"")</f>
        <v/>
      </c>
      <c r="X1802" t="s">
        <v>3032</v>
      </c>
    </row>
    <row r="1803" spans="1:24" ht="14.25" customHeight="1">
      <c r="A1803" t="s">
        <v>956</v>
      </c>
      <c r="E1803" s="118" t="s">
        <v>1067</v>
      </c>
      <c r="L1803" s="118" t="str">
        <f t="shared" si="246"/>
        <v/>
      </c>
      <c r="X1803" t="s">
        <v>2778</v>
      </c>
    </row>
    <row r="1804" spans="1:24" ht="14.25" customHeight="1">
      <c r="E1804" s="118" t="s">
        <v>1067</v>
      </c>
      <c r="L1804" s="118" t="str">
        <f t="shared" si="246"/>
        <v/>
      </c>
    </row>
    <row r="1805" spans="1:24" ht="14.25" customHeight="1">
      <c r="A1805" t="s">
        <v>12</v>
      </c>
      <c r="B1805" t="s">
        <v>1496</v>
      </c>
      <c r="E1805" s="118" t="s">
        <v>2793</v>
      </c>
      <c r="J1805" s="106" t="s">
        <v>2778</v>
      </c>
      <c r="L1805" s="118" t="str">
        <f t="shared" si="246"/>
        <v/>
      </c>
      <c r="O1805" s="110" t="s">
        <v>3582</v>
      </c>
      <c r="X1805" t="s">
        <v>2778</v>
      </c>
    </row>
    <row r="1806" spans="1:24" ht="14.25" customHeight="1">
      <c r="A1806" t="s">
        <v>12</v>
      </c>
      <c r="B1806" t="s">
        <v>3281</v>
      </c>
      <c r="E1806" s="118" t="s">
        <v>1067</v>
      </c>
      <c r="J1806" s="106" t="s">
        <v>3526</v>
      </c>
      <c r="L1806" s="118" t="str">
        <f t="shared" si="246"/>
        <v/>
      </c>
      <c r="X1806" t="s">
        <v>3032</v>
      </c>
    </row>
    <row r="1807" spans="1:24" ht="14.25" customHeight="1">
      <c r="A1807" t="s">
        <v>17</v>
      </c>
      <c r="B1807" t="s">
        <v>1497</v>
      </c>
      <c r="E1807" s="117" t="s">
        <v>4288</v>
      </c>
      <c r="I1807" s="213" t="str">
        <f t="shared" si="245"/>
        <v>note</v>
      </c>
      <c r="J1807" s="106" t="s">
        <v>3528</v>
      </c>
      <c r="L1807" s="118" t="str">
        <f t="shared" si="246"/>
        <v/>
      </c>
    </row>
    <row r="1808" spans="1:24" ht="14.25" customHeight="1">
      <c r="A1808" s="1" t="s">
        <v>2713</v>
      </c>
      <c r="B1808" t="s">
        <v>1498</v>
      </c>
      <c r="E1808" s="118" t="s">
        <v>289</v>
      </c>
      <c r="F1808" s="118" t="s">
        <v>6696</v>
      </c>
      <c r="H1808" s="206" t="str">
        <f>"(f1_10id) "&amp;E1808</f>
        <v>(f1_10id) ID CODE OF THE RESPONDENT FROM THE STAFF ROSTER</v>
      </c>
      <c r="I1808" s="213" t="s">
        <v>6816</v>
      </c>
      <c r="J1808" s="165" t="s">
        <v>6699</v>
      </c>
      <c r="K1808" s="116" t="s">
        <v>2443</v>
      </c>
      <c r="L1808" s="118" t="str">
        <f t="shared" si="246"/>
        <v>Sorry, question ID CODE is required!</v>
      </c>
      <c r="M1808" s="113" t="s">
        <v>6700</v>
      </c>
      <c r="N1808" t="s">
        <v>5378</v>
      </c>
    </row>
    <row r="1809" spans="1:24" ht="14.25" customHeight="1">
      <c r="A1809" s="1" t="s">
        <v>4149</v>
      </c>
      <c r="B1809" t="s">
        <v>6697</v>
      </c>
      <c r="E1809" s="118" t="s">
        <v>6763</v>
      </c>
      <c r="H1809" s="206" t="str">
        <f>"(f1_10lb) "&amp;E1809</f>
        <v>(f1_10lb) NAME OF THE RESPONDENT FROM THE STAFF ROSTER</v>
      </c>
      <c r="I1809" s="213" t="s">
        <v>16</v>
      </c>
      <c r="J1809" s="200" t="s">
        <v>6698</v>
      </c>
    </row>
    <row r="1810" spans="1:24" ht="14.25" customHeight="1">
      <c r="A1810" t="s">
        <v>17</v>
      </c>
      <c r="B1810" t="s">
        <v>3510</v>
      </c>
      <c r="E1810" s="118" t="s">
        <v>4218</v>
      </c>
      <c r="I1810" s="213" t="str">
        <f t="shared" si="245"/>
        <v>note</v>
      </c>
      <c r="J1810" s="106" t="s">
        <v>3530</v>
      </c>
      <c r="L1810" s="118" t="str">
        <f t="shared" si="246"/>
        <v/>
      </c>
    </row>
    <row r="1811" spans="1:24" ht="14.25" customHeight="1">
      <c r="A1811" t="s">
        <v>23</v>
      </c>
      <c r="B1811" s="107" t="s">
        <v>4296</v>
      </c>
      <c r="E1811" s="118" t="s">
        <v>2796</v>
      </c>
      <c r="H1811" s="206" t="str">
        <f>E1811</f>
        <v>INTERVIEWER CONFIRM:IS HEAD OF FACILITY AVAILABLE FOR THIS INTERVIEW?</v>
      </c>
      <c r="I1811" s="213" t="str">
        <f t="shared" si="245"/>
        <v>select_one yesno</v>
      </c>
      <c r="J1811" s="106" t="s">
        <v>4460</v>
      </c>
      <c r="K1811" s="116" t="s">
        <v>2443</v>
      </c>
      <c r="L1811" s="118" t="str">
        <f>IF(K1811="yes",("Sorry, question "&amp;LEFT(E1811, 20)&amp;"... is required!"),"")</f>
        <v>Sorry, question INTERVIEWER CONFIRM:... is required!</v>
      </c>
    </row>
    <row r="1812" spans="1:24" ht="14.25" customHeight="1">
      <c r="A1812" t="s">
        <v>15</v>
      </c>
      <c r="E1812" s="118" t="s">
        <v>1067</v>
      </c>
      <c r="L1812" s="118" t="str">
        <f t="shared" si="246"/>
        <v/>
      </c>
      <c r="X1812" t="s">
        <v>3032</v>
      </c>
    </row>
    <row r="1813" spans="1:24" ht="14.25" customHeight="1">
      <c r="A1813" t="s">
        <v>954</v>
      </c>
      <c r="B1813" t="s">
        <v>3282</v>
      </c>
      <c r="E1813" s="118" t="s">
        <v>1067</v>
      </c>
      <c r="J1813" s="106" t="s">
        <v>13</v>
      </c>
      <c r="L1813" s="118" t="str">
        <f t="shared" si="246"/>
        <v/>
      </c>
      <c r="O1813" s="110" t="s">
        <v>4297</v>
      </c>
      <c r="X1813" t="s">
        <v>3032</v>
      </c>
    </row>
    <row r="1814" spans="1:24" ht="14.25" customHeight="1">
      <c r="A1814" t="s">
        <v>2963</v>
      </c>
      <c r="B1814" t="s">
        <v>1499</v>
      </c>
      <c r="E1814" s="118" t="s">
        <v>2964</v>
      </c>
      <c r="H1814" s="206" t="str">
        <f>E1814</f>
        <v xml:space="preserve">(10.01) Scenario 1: The performance of your staff is improving. </v>
      </c>
      <c r="I1814" s="213" t="str">
        <f t="shared" si="245"/>
        <v>select_one sce1</v>
      </c>
      <c r="K1814" s="116" t="s">
        <v>2443</v>
      </c>
      <c r="L1814" s="118" t="str">
        <f t="shared" si="246"/>
        <v>Sorry, question (10.01) is required!</v>
      </c>
    </row>
    <row r="1815" spans="1:24" ht="14.25" customHeight="1">
      <c r="A1815" t="s">
        <v>2965</v>
      </c>
      <c r="B1815" t="s">
        <v>1063</v>
      </c>
      <c r="E1815" s="118" t="s">
        <v>1987</v>
      </c>
      <c r="H1815" s="206" t="str">
        <f t="shared" ref="H1815:H1821" si="247">E1815</f>
        <v>(10.02) Scenario 2: Members of your staff have been unable to solve a problem over the past month, though they have been trying to address it.</v>
      </c>
      <c r="I1815" s="213" t="str">
        <f t="shared" si="245"/>
        <v>select_one sce2</v>
      </c>
      <c r="K1815" s="116" t="s">
        <v>2443</v>
      </c>
      <c r="L1815" s="118" t="str">
        <f t="shared" si="246"/>
        <v>Sorry, question (10.02) is required!</v>
      </c>
    </row>
    <row r="1816" spans="1:24" ht="14.25" customHeight="1">
      <c r="A1816" t="s">
        <v>2966</v>
      </c>
      <c r="B1816" t="s">
        <v>1064</v>
      </c>
      <c r="E1816" s="118" t="s">
        <v>1988</v>
      </c>
      <c r="H1816" s="206" t="str">
        <f t="shared" si="247"/>
        <v>(10.03) Scenario 3: You are considering a major change in how things are done in the facility.</v>
      </c>
      <c r="I1816" s="213" t="str">
        <f t="shared" si="245"/>
        <v>select_one sce3</v>
      </c>
      <c r="K1816" s="116" t="s">
        <v>2443</v>
      </c>
      <c r="L1816" s="118" t="str">
        <f t="shared" si="246"/>
        <v>Sorry, question (10.03) is required!</v>
      </c>
    </row>
    <row r="1817" spans="1:24" ht="14.25" customHeight="1">
      <c r="A1817" t="s">
        <v>15</v>
      </c>
      <c r="H1817" s="206">
        <f t="shared" si="247"/>
        <v>0</v>
      </c>
      <c r="L1817" s="118" t="str">
        <f t="shared" si="246"/>
        <v/>
      </c>
      <c r="X1817" t="s">
        <v>3032</v>
      </c>
    </row>
    <row r="1818" spans="1:24" ht="14.25" customHeight="1">
      <c r="A1818" t="s">
        <v>954</v>
      </c>
      <c r="B1818" t="s">
        <v>3283</v>
      </c>
      <c r="H1818" s="206">
        <f t="shared" si="247"/>
        <v>0</v>
      </c>
      <c r="J1818" s="106" t="s">
        <v>13</v>
      </c>
      <c r="L1818" s="118" t="str">
        <f t="shared" si="246"/>
        <v/>
      </c>
      <c r="O1818" s="110" t="s">
        <v>4297</v>
      </c>
      <c r="X1818" t="s">
        <v>3032</v>
      </c>
    </row>
    <row r="1819" spans="1:24" ht="14.25" customHeight="1">
      <c r="A1819" t="s">
        <v>2967</v>
      </c>
      <c r="B1819" t="s">
        <v>1065</v>
      </c>
      <c r="E1819" s="118" t="s">
        <v>1989</v>
      </c>
      <c r="H1819" s="206" t="str">
        <f t="shared" si="247"/>
        <v>(10.04) Scenario 4: The performance of your staff has been falling in recent months.</v>
      </c>
      <c r="I1819" s="213" t="str">
        <f t="shared" si="245"/>
        <v>select_one sce4</v>
      </c>
      <c r="K1819" s="116" t="s">
        <v>2443</v>
      </c>
      <c r="L1819" s="118" t="str">
        <f t="shared" si="246"/>
        <v>Sorry, question (10.04) is required!</v>
      </c>
    </row>
    <row r="1820" spans="1:24" ht="14.25" customHeight="1">
      <c r="A1820" t="s">
        <v>2968</v>
      </c>
      <c r="B1820" t="s">
        <v>1066</v>
      </c>
      <c r="E1820" s="118" t="s">
        <v>1990</v>
      </c>
      <c r="H1820" s="206" t="str">
        <f t="shared" si="247"/>
        <v>(10.05) Scenario 5: Your staff are no longer working together as an effective team.</v>
      </c>
      <c r="I1820" s="213" t="str">
        <f t="shared" si="245"/>
        <v>select_one sce5</v>
      </c>
      <c r="K1820" s="116" t="s">
        <v>2443</v>
      </c>
      <c r="L1820" s="118" t="str">
        <f t="shared" si="246"/>
        <v>Sorry, question (10.05) is required!</v>
      </c>
    </row>
    <row r="1821" spans="1:24" ht="14.25" customHeight="1">
      <c r="A1821" t="s">
        <v>3042</v>
      </c>
      <c r="B1821" t="s">
        <v>3043</v>
      </c>
      <c r="E1821" s="118" t="s">
        <v>3044</v>
      </c>
      <c r="H1821" s="206" t="str">
        <f t="shared" si="247"/>
        <v>(10.06) Scenario 6: You sense dissatisfaction amongst your staff in terms of their salaries and benefits.</v>
      </c>
      <c r="I1821" s="213" t="str">
        <f t="shared" si="245"/>
        <v>select_one sce6</v>
      </c>
      <c r="K1821" s="116" t="s">
        <v>2443</v>
      </c>
      <c r="L1821" s="118" t="str">
        <f t="shared" si="246"/>
        <v>Sorry, question (10.06) is required!</v>
      </c>
    </row>
    <row r="1822" spans="1:24" ht="14.25" customHeight="1">
      <c r="A1822" t="s">
        <v>15</v>
      </c>
      <c r="E1822" s="118" t="s">
        <v>1067</v>
      </c>
      <c r="L1822" s="118" t="str">
        <f t="shared" si="246"/>
        <v/>
      </c>
      <c r="X1822" t="s">
        <v>3032</v>
      </c>
    </row>
    <row r="1823" spans="1:24" ht="14.25" customHeight="1">
      <c r="A1823" t="s">
        <v>956</v>
      </c>
      <c r="E1823" s="118" t="s">
        <v>1067</v>
      </c>
      <c r="L1823" s="118" t="str">
        <f t="shared" si="246"/>
        <v/>
      </c>
      <c r="X1823" t="s">
        <v>2778</v>
      </c>
    </row>
    <row r="1824" spans="1:24" ht="14.25" customHeight="1">
      <c r="E1824" s="118" t="s">
        <v>1067</v>
      </c>
      <c r="L1824" s="118" t="str">
        <f t="shared" si="246"/>
        <v/>
      </c>
    </row>
    <row r="1825" spans="1:24" ht="14.25" customHeight="1">
      <c r="A1825" t="s">
        <v>12</v>
      </c>
      <c r="B1825" t="s">
        <v>2779</v>
      </c>
      <c r="E1825" s="118" t="s">
        <v>2794</v>
      </c>
      <c r="J1825" s="106" t="s">
        <v>2778</v>
      </c>
      <c r="L1825" s="118" t="str">
        <f t="shared" si="246"/>
        <v/>
      </c>
      <c r="O1825" s="110" t="s">
        <v>3582</v>
      </c>
      <c r="X1825" t="s">
        <v>2778</v>
      </c>
    </row>
    <row r="1826" spans="1:24" ht="14.25" customHeight="1">
      <c r="A1826" t="s">
        <v>12</v>
      </c>
      <c r="B1826" t="s">
        <v>3284</v>
      </c>
      <c r="E1826" s="118" t="s">
        <v>1067</v>
      </c>
      <c r="J1826" s="106" t="s">
        <v>3526</v>
      </c>
      <c r="L1826" s="118" t="str">
        <f t="shared" si="246"/>
        <v/>
      </c>
      <c r="X1826" t="s">
        <v>3032</v>
      </c>
    </row>
    <row r="1827" spans="1:24" ht="14.25" customHeight="1">
      <c r="A1827" t="s">
        <v>17</v>
      </c>
      <c r="B1827" t="s">
        <v>5204</v>
      </c>
      <c r="E1827" s="117" t="s">
        <v>4289</v>
      </c>
      <c r="I1827" s="213" t="str">
        <f t="shared" si="245"/>
        <v>note</v>
      </c>
      <c r="J1827" s="106" t="s">
        <v>3528</v>
      </c>
      <c r="L1827" s="118" t="str">
        <f t="shared" si="246"/>
        <v/>
      </c>
    </row>
    <row r="1828" spans="1:24" ht="14.25" customHeight="1">
      <c r="A1828" s="1" t="s">
        <v>2713</v>
      </c>
      <c r="B1828" t="s">
        <v>1500</v>
      </c>
      <c r="E1828" s="118" t="s">
        <v>289</v>
      </c>
      <c r="F1828" s="118" t="s">
        <v>6689</v>
      </c>
      <c r="H1828" s="206" t="str">
        <f>"(f1_11id) "&amp;E1828</f>
        <v>(f1_11id) ID CODE OF THE RESPONDENT FROM THE STAFF ROSTER</v>
      </c>
      <c r="I1828" s="213" t="s">
        <v>6816</v>
      </c>
      <c r="J1828" s="165" t="s">
        <v>6636</v>
      </c>
      <c r="K1828" s="116" t="s">
        <v>2443</v>
      </c>
      <c r="L1828" s="118" t="str">
        <f t="shared" si="246"/>
        <v>Sorry, question ID CODE is required!</v>
      </c>
    </row>
    <row r="1829" spans="1:24" ht="14.25" customHeight="1">
      <c r="A1829" s="1" t="s">
        <v>4149</v>
      </c>
      <c r="B1829" t="s">
        <v>6637</v>
      </c>
      <c r="E1829" s="118" t="s">
        <v>6763</v>
      </c>
      <c r="H1829" s="206" t="str">
        <f>"(f1_11lb) "&amp;E1829</f>
        <v>(f1_11lb) NAME OF THE RESPONDENT FROM THE STAFF ROSTER</v>
      </c>
      <c r="I1829" s="213" t="s">
        <v>16</v>
      </c>
      <c r="J1829" s="200" t="s">
        <v>6638</v>
      </c>
    </row>
    <row r="1830" spans="1:24" ht="14.25" customHeight="1">
      <c r="A1830" t="s">
        <v>17</v>
      </c>
      <c r="B1830" t="s">
        <v>5202</v>
      </c>
      <c r="E1830" s="118" t="s">
        <v>4219</v>
      </c>
      <c r="I1830" s="213" t="str">
        <f t="shared" si="245"/>
        <v>note</v>
      </c>
      <c r="J1830" s="202"/>
      <c r="L1830" s="118" t="str">
        <f t="shared" si="246"/>
        <v/>
      </c>
    </row>
    <row r="1831" spans="1:24" ht="14.25" customHeight="1">
      <c r="A1831" t="s">
        <v>17</v>
      </c>
      <c r="B1831" t="s">
        <v>5203</v>
      </c>
      <c r="E1831" s="130" t="s">
        <v>4220</v>
      </c>
      <c r="I1831" s="213" t="str">
        <f t="shared" si="245"/>
        <v>note</v>
      </c>
      <c r="J1831" s="106" t="s">
        <v>3374</v>
      </c>
      <c r="L1831" s="118" t="str">
        <f t="shared" si="246"/>
        <v/>
      </c>
    </row>
    <row r="1832" spans="1:24" ht="14.25" customHeight="1">
      <c r="A1832" t="s">
        <v>23</v>
      </c>
      <c r="B1832" s="107" t="s">
        <v>2524</v>
      </c>
      <c r="E1832" s="118" t="s">
        <v>2796</v>
      </c>
      <c r="H1832" s="206" t="str">
        <f>E1832</f>
        <v>INTERVIEWER CONFIRM:IS HEAD OF FACILITY AVAILABLE FOR THIS INTERVIEW?</v>
      </c>
      <c r="I1832" s="213" t="str">
        <f t="shared" si="245"/>
        <v>select_one yesno</v>
      </c>
      <c r="J1832" s="106" t="s">
        <v>4460</v>
      </c>
      <c r="K1832" s="116" t="s">
        <v>2443</v>
      </c>
      <c r="L1832" s="118" t="str">
        <f>IF(K1832="yes",("Sorry, question "&amp;LEFT(E1832, 20)&amp;"... is required!"),"")</f>
        <v>Sorry, question INTERVIEWER CONFIRM:... is required!</v>
      </c>
      <c r="M1832" s="107"/>
    </row>
    <row r="1833" spans="1:24" ht="14.25" customHeight="1">
      <c r="A1833" t="s">
        <v>15</v>
      </c>
      <c r="E1833" s="118" t="s">
        <v>1067</v>
      </c>
      <c r="L1833" s="118" t="str">
        <f t="shared" ref="L1833:L1862" si="248">IF(K1833="yes",("Sorry, question "&amp;LEFT(E1833, 7)&amp;" is required!"),"")</f>
        <v/>
      </c>
      <c r="X1833" t="s">
        <v>3032</v>
      </c>
    </row>
    <row r="1834" spans="1:24" ht="14.25" customHeight="1">
      <c r="A1834" t="s">
        <v>954</v>
      </c>
      <c r="B1834" t="s">
        <v>3285</v>
      </c>
      <c r="E1834" s="118" t="s">
        <v>1067</v>
      </c>
      <c r="J1834" s="106" t="s">
        <v>13</v>
      </c>
      <c r="L1834" s="118" t="str">
        <f t="shared" si="248"/>
        <v/>
      </c>
      <c r="O1834" s="110" t="s">
        <v>2525</v>
      </c>
      <c r="X1834" t="s">
        <v>3032</v>
      </c>
    </row>
    <row r="1835" spans="1:24" ht="14.25" customHeight="1">
      <c r="A1835" t="s">
        <v>17</v>
      </c>
      <c r="B1835" t="s">
        <v>1501</v>
      </c>
      <c r="E1835" s="118" t="s">
        <v>5451</v>
      </c>
      <c r="I1835" s="213" t="str">
        <f t="shared" si="245"/>
        <v>note</v>
      </c>
      <c r="L1835" s="118" t="str">
        <f t="shared" si="248"/>
        <v/>
      </c>
    </row>
    <row r="1836" spans="1:24" ht="14.25" customHeight="1">
      <c r="A1836" t="s">
        <v>1877</v>
      </c>
      <c r="B1836" t="s">
        <v>1461</v>
      </c>
      <c r="E1836" s="118" t="s">
        <v>1991</v>
      </c>
      <c r="H1836" s="206" t="str">
        <f>E1836</f>
        <v>(11.01) I am able to allocate my facility budget according to how it is needed. There is enough flexibility in my budget.</v>
      </c>
      <c r="I1836" s="213" t="str">
        <f t="shared" si="245"/>
        <v>select_one frequency</v>
      </c>
      <c r="J1836" s="106" t="s">
        <v>4457</v>
      </c>
      <c r="K1836" s="116" t="s">
        <v>2443</v>
      </c>
      <c r="L1836" s="118" t="str">
        <f t="shared" si="248"/>
        <v>Sorry, question (11.01) is required!</v>
      </c>
    </row>
    <row r="1837" spans="1:24" ht="14.25" customHeight="1">
      <c r="A1837" t="s">
        <v>1877</v>
      </c>
      <c r="B1837" t="s">
        <v>1462</v>
      </c>
      <c r="E1837" s="118" t="s">
        <v>2359</v>
      </c>
      <c r="H1837" s="206" t="str">
        <f t="shared" ref="H1837:H1839" si="249">E1837</f>
        <v>(11.02) I am able to assign tasks and activities to staff as needed to achieve the outcomes I want in the facility. There is enough flexibility to use staff to address needs.</v>
      </c>
      <c r="I1837" s="213" t="str">
        <f t="shared" si="245"/>
        <v>select_one frequency</v>
      </c>
      <c r="J1837" s="106" t="s">
        <v>4457</v>
      </c>
      <c r="K1837" s="116" t="s">
        <v>2443</v>
      </c>
      <c r="L1837" s="118" t="str">
        <f t="shared" si="248"/>
        <v>Sorry, question (11.02) is required!</v>
      </c>
    </row>
    <row r="1838" spans="1:24" ht="14.25" customHeight="1">
      <c r="A1838" t="s">
        <v>1877</v>
      </c>
      <c r="B1838" t="s">
        <v>1463</v>
      </c>
      <c r="E1838" s="132" t="s">
        <v>4298</v>
      </c>
      <c r="H1838" s="206" t="str">
        <f t="shared" si="249"/>
        <v>(11.03) The Regional Health Directorate supports my decisions and actions for doing a better job in my facility.</v>
      </c>
      <c r="I1838" s="213" t="str">
        <f t="shared" si="245"/>
        <v>select_one frequency</v>
      </c>
      <c r="J1838" s="106" t="s">
        <v>4457</v>
      </c>
      <c r="K1838" s="116" t="s">
        <v>2443</v>
      </c>
      <c r="L1838" s="118" t="str">
        <f t="shared" si="248"/>
        <v>Sorry, question (11.03) is required!</v>
      </c>
    </row>
    <row r="1839" spans="1:24" ht="14.25" customHeight="1">
      <c r="A1839" t="s">
        <v>1877</v>
      </c>
      <c r="B1839" t="s">
        <v>1464</v>
      </c>
      <c r="E1839" s="118" t="s">
        <v>1992</v>
      </c>
      <c r="H1839" s="206" t="str">
        <f t="shared" si="249"/>
        <v>(11.04) I have choice over who I allocate for what tasks.</v>
      </c>
      <c r="I1839" s="213" t="str">
        <f t="shared" si="245"/>
        <v>select_one frequency</v>
      </c>
      <c r="J1839" s="106" t="s">
        <v>4457</v>
      </c>
      <c r="K1839" s="116" t="s">
        <v>2443</v>
      </c>
      <c r="L1839" s="118" t="str">
        <f t="shared" si="248"/>
        <v>Sorry, question (11.04) is required!</v>
      </c>
    </row>
    <row r="1840" spans="1:24" ht="14.25" customHeight="1">
      <c r="A1840" t="s">
        <v>15</v>
      </c>
      <c r="L1840" s="118" t="str">
        <f t="shared" si="248"/>
        <v/>
      </c>
      <c r="X1840" t="s">
        <v>3032</v>
      </c>
    </row>
    <row r="1841" spans="1:24" ht="14.25" customHeight="1">
      <c r="A1841" t="s">
        <v>954</v>
      </c>
      <c r="B1841" t="s">
        <v>3286</v>
      </c>
      <c r="J1841" s="106" t="s">
        <v>13</v>
      </c>
      <c r="L1841" s="118" t="str">
        <f t="shared" si="248"/>
        <v/>
      </c>
      <c r="O1841" s="110" t="s">
        <v>2525</v>
      </c>
      <c r="X1841" t="s">
        <v>3032</v>
      </c>
    </row>
    <row r="1842" spans="1:24" ht="14.25" customHeight="1">
      <c r="A1842" t="s">
        <v>17</v>
      </c>
      <c r="B1842" t="s">
        <v>5203</v>
      </c>
      <c r="E1842" s="118" t="s">
        <v>5451</v>
      </c>
      <c r="I1842" s="213" t="str">
        <f t="shared" si="245"/>
        <v>note</v>
      </c>
      <c r="L1842" s="118" t="str">
        <f t="shared" si="248"/>
        <v/>
      </c>
    </row>
    <row r="1843" spans="1:24" ht="14.25" customHeight="1">
      <c r="A1843" t="s">
        <v>1877</v>
      </c>
      <c r="B1843" t="s">
        <v>1465</v>
      </c>
      <c r="E1843" s="118" t="s">
        <v>1993</v>
      </c>
      <c r="H1843" s="206" t="str">
        <f>E1843</f>
        <v>(11.05) I have choice over what services are provided in the facility.</v>
      </c>
      <c r="I1843" s="213" t="str">
        <f t="shared" si="245"/>
        <v>select_one frequency</v>
      </c>
      <c r="J1843" s="106" t="s">
        <v>4457</v>
      </c>
      <c r="K1843" s="116" t="s">
        <v>2443</v>
      </c>
      <c r="L1843" s="118" t="str">
        <f t="shared" si="248"/>
        <v>Sorry, question (11.05) is required!</v>
      </c>
    </row>
    <row r="1844" spans="1:24" ht="14.25" customHeight="1">
      <c r="A1844" t="s">
        <v>1877</v>
      </c>
      <c r="B1844" t="s">
        <v>1466</v>
      </c>
      <c r="E1844" s="118" t="s">
        <v>1994</v>
      </c>
      <c r="H1844" s="206" t="str">
        <f t="shared" ref="H1844:H1847" si="250">E1844</f>
        <v>(11.06) I have enough authority to obtain the resources I need (drugs, supplies, funding) to meet the needs of my facility.</v>
      </c>
      <c r="I1844" s="213" t="str">
        <f t="shared" si="245"/>
        <v>select_one frequency</v>
      </c>
      <c r="J1844" s="106" t="s">
        <v>4457</v>
      </c>
      <c r="K1844" s="116" t="s">
        <v>2443</v>
      </c>
      <c r="L1844" s="118" t="str">
        <f t="shared" si="248"/>
        <v>Sorry, question (11.06) is required!</v>
      </c>
    </row>
    <row r="1845" spans="1:24" ht="14.25" customHeight="1">
      <c r="A1845" t="s">
        <v>1877</v>
      </c>
      <c r="B1845" t="s">
        <v>1467</v>
      </c>
      <c r="E1845" s="118" t="s">
        <v>1995</v>
      </c>
      <c r="H1845" s="206" t="str">
        <f t="shared" si="250"/>
        <v>(11.07) The policies and procedures for doing things are clear to me.</v>
      </c>
      <c r="I1845" s="213" t="str">
        <f t="shared" si="245"/>
        <v>select_one frequency</v>
      </c>
      <c r="J1845" s="106" t="s">
        <v>4457</v>
      </c>
      <c r="K1845" s="116" t="s">
        <v>2443</v>
      </c>
      <c r="L1845" s="118" t="str">
        <f t="shared" si="248"/>
        <v>Sorry, question (11.07) is required!</v>
      </c>
    </row>
    <row r="1846" spans="1:24" ht="14.25" customHeight="1">
      <c r="A1846" t="s">
        <v>1877</v>
      </c>
      <c r="B1846" t="s">
        <v>1468</v>
      </c>
      <c r="E1846" s="118" t="s">
        <v>2360</v>
      </c>
      <c r="H1846" s="206" t="str">
        <f t="shared" si="250"/>
        <v>(11.08) The policies and procedures for doing things are useful tools for the challenges I face in providing services and reporting on activities.</v>
      </c>
      <c r="I1846" s="213" t="str">
        <f t="shared" si="245"/>
        <v>select_one frequency</v>
      </c>
      <c r="J1846" s="106" t="s">
        <v>4457</v>
      </c>
      <c r="K1846" s="116" t="s">
        <v>2443</v>
      </c>
      <c r="L1846" s="118" t="str">
        <f t="shared" si="248"/>
        <v>Sorry, question (11.08) is required!</v>
      </c>
    </row>
    <row r="1847" spans="1:24" ht="14.25" customHeight="1">
      <c r="A1847" t="s">
        <v>1877</v>
      </c>
      <c r="B1847" t="s">
        <v>1469</v>
      </c>
      <c r="E1847" s="132" t="s">
        <v>4299</v>
      </c>
      <c r="H1847" s="206" t="str">
        <f t="shared" si="250"/>
        <v>(11.09) The Regional Health Directorate provides adequate feedback to me about my job and the performance of my facility.</v>
      </c>
      <c r="I1847" s="213" t="str">
        <f t="shared" si="245"/>
        <v>select_one frequency</v>
      </c>
      <c r="J1847" s="106" t="s">
        <v>4457</v>
      </c>
      <c r="K1847" s="116" t="s">
        <v>2443</v>
      </c>
      <c r="L1847" s="118" t="str">
        <f t="shared" si="248"/>
        <v>Sorry, question (11.09) is required!</v>
      </c>
    </row>
    <row r="1848" spans="1:24" ht="14.25" customHeight="1">
      <c r="A1848" t="s">
        <v>15</v>
      </c>
      <c r="E1848" s="118" t="s">
        <v>1067</v>
      </c>
      <c r="L1848" s="118" t="str">
        <f t="shared" si="248"/>
        <v/>
      </c>
      <c r="X1848" t="s">
        <v>3032</v>
      </c>
    </row>
    <row r="1849" spans="1:24" ht="14.25" customHeight="1">
      <c r="A1849" t="s">
        <v>15</v>
      </c>
      <c r="E1849" s="118" t="s">
        <v>1067</v>
      </c>
      <c r="L1849" s="118" t="str">
        <f t="shared" si="248"/>
        <v/>
      </c>
      <c r="X1849" t="s">
        <v>2778</v>
      </c>
    </row>
    <row r="1850" spans="1:24" ht="14.25" customHeight="1">
      <c r="L1850" s="118" t="str">
        <f t="shared" si="248"/>
        <v/>
      </c>
    </row>
    <row r="1851" spans="1:24" ht="14.25" customHeight="1">
      <c r="A1851" t="s">
        <v>12</v>
      </c>
      <c r="B1851" t="s">
        <v>1502</v>
      </c>
      <c r="E1851" s="118" t="s">
        <v>2780</v>
      </c>
      <c r="J1851" s="106" t="s">
        <v>2778</v>
      </c>
      <c r="L1851" s="118" t="str">
        <f t="shared" si="248"/>
        <v/>
      </c>
      <c r="O1851" s="110" t="s">
        <v>3582</v>
      </c>
      <c r="X1851" t="s">
        <v>2778</v>
      </c>
    </row>
    <row r="1852" spans="1:24" ht="14.25" customHeight="1">
      <c r="A1852" t="s">
        <v>12</v>
      </c>
      <c r="B1852" t="s">
        <v>3287</v>
      </c>
      <c r="J1852" s="106" t="s">
        <v>3526</v>
      </c>
      <c r="L1852" s="118" t="str">
        <f t="shared" si="248"/>
        <v/>
      </c>
      <c r="X1852" t="s">
        <v>3032</v>
      </c>
    </row>
    <row r="1853" spans="1:24" ht="14.25" customHeight="1">
      <c r="A1853" t="s">
        <v>17</v>
      </c>
      <c r="B1853" t="s">
        <v>5205</v>
      </c>
      <c r="E1853" s="118" t="s">
        <v>4221</v>
      </c>
      <c r="I1853" s="213" t="str">
        <f t="shared" si="245"/>
        <v>note</v>
      </c>
      <c r="J1853" s="106" t="s">
        <v>3528</v>
      </c>
      <c r="L1853" s="118" t="str">
        <f t="shared" si="248"/>
        <v/>
      </c>
    </row>
    <row r="1854" spans="1:24" ht="14.25" customHeight="1">
      <c r="A1854" t="s">
        <v>17</v>
      </c>
      <c r="B1854" t="s">
        <v>5206</v>
      </c>
      <c r="E1854" s="117" t="s">
        <v>4290</v>
      </c>
      <c r="I1854" s="213" t="str">
        <f t="shared" si="245"/>
        <v>note</v>
      </c>
      <c r="J1854" s="106" t="s">
        <v>3372</v>
      </c>
      <c r="L1854" s="118" t="str">
        <f t="shared" si="248"/>
        <v/>
      </c>
    </row>
    <row r="1855" spans="1:24" ht="14.25" customHeight="1">
      <c r="A1855" t="s">
        <v>15</v>
      </c>
      <c r="L1855" s="118" t="str">
        <f t="shared" si="248"/>
        <v/>
      </c>
      <c r="X1855" t="s">
        <v>3032</v>
      </c>
    </row>
    <row r="1856" spans="1:24" ht="14.25" customHeight="1">
      <c r="A1856" t="s">
        <v>12</v>
      </c>
      <c r="B1856" t="s">
        <v>3535</v>
      </c>
      <c r="E1856" s="118" t="s">
        <v>5452</v>
      </c>
      <c r="J1856" s="106" t="s">
        <v>13</v>
      </c>
      <c r="L1856" s="118" t="str">
        <f t="shared" si="248"/>
        <v/>
      </c>
      <c r="X1856" t="s">
        <v>3032</v>
      </c>
    </row>
    <row r="1857" spans="1:24" ht="14.25" customHeight="1">
      <c r="A1857" t="s">
        <v>17</v>
      </c>
      <c r="B1857" t="s">
        <v>5207</v>
      </c>
      <c r="E1857" s="118" t="s">
        <v>4147</v>
      </c>
      <c r="I1857" s="213" t="str">
        <f t="shared" ref="I1857:I1920" si="251">A1857</f>
        <v>note</v>
      </c>
      <c r="L1857" s="118" t="str">
        <f>IF(K1857="yes",("Sorry, question "&amp;LEFT(E1857, 7)&amp;" is required!"),"")</f>
        <v/>
      </c>
    </row>
    <row r="1858" spans="1:24" ht="14.25" customHeight="1">
      <c r="A1858" t="s">
        <v>23</v>
      </c>
      <c r="B1858" s="107" t="s">
        <v>1470</v>
      </c>
      <c r="E1858" s="118" t="s">
        <v>2004</v>
      </c>
      <c r="F1858" s="118" t="s">
        <v>1896</v>
      </c>
      <c r="H1858" s="206" t="str">
        <f>E1858</f>
        <v xml:space="preserve">(12.01) Is there a reception/registration room in this facility? </v>
      </c>
      <c r="I1858" s="213" t="str">
        <f t="shared" si="251"/>
        <v>select_one yesno</v>
      </c>
      <c r="J1858" s="106" t="s">
        <v>4457</v>
      </c>
      <c r="K1858" s="116" t="s">
        <v>2443</v>
      </c>
      <c r="L1858" s="118" t="str">
        <f t="shared" si="248"/>
        <v>Sorry, question (12.01) is required!</v>
      </c>
    </row>
    <row r="1859" spans="1:24" ht="14.25" customHeight="1">
      <c r="A1859" t="s">
        <v>23</v>
      </c>
      <c r="B1859" t="s">
        <v>1471</v>
      </c>
      <c r="E1859" s="118" t="s">
        <v>3050</v>
      </c>
      <c r="F1859" s="118" t="s">
        <v>1896</v>
      </c>
      <c r="H1859" s="206" t="str">
        <f t="shared" ref="H1859:H1861" si="252">E1859</f>
        <v xml:space="preserve">(12.02) Is there a covered waiting area in this facility? That is, an area with seats for patients that is covered and protected from the sun and rain. </v>
      </c>
      <c r="I1859" s="213" t="str">
        <f t="shared" si="251"/>
        <v>select_one yesno</v>
      </c>
      <c r="J1859" s="106" t="s">
        <v>4457</v>
      </c>
      <c r="K1859" s="116" t="s">
        <v>2443</v>
      </c>
      <c r="L1859" s="118" t="str">
        <f t="shared" si="248"/>
        <v>Sorry, question (12.02) is required!</v>
      </c>
    </row>
    <row r="1860" spans="1:24" ht="14.25" customHeight="1">
      <c r="A1860" t="s">
        <v>23</v>
      </c>
      <c r="B1860" t="s">
        <v>1472</v>
      </c>
      <c r="E1860" s="118" t="s">
        <v>3051</v>
      </c>
      <c r="F1860" s="118" t="s">
        <v>1896</v>
      </c>
      <c r="H1860" s="206" t="str">
        <f t="shared" si="252"/>
        <v>(12.03) Is there a separate waiting area for women in this facility?</v>
      </c>
      <c r="I1860" s="213" t="str">
        <f t="shared" si="251"/>
        <v>select_one yesno</v>
      </c>
      <c r="J1860" s="106" t="s">
        <v>4457</v>
      </c>
      <c r="K1860" s="116" t="s">
        <v>2443</v>
      </c>
      <c r="L1860" s="118" t="str">
        <f t="shared" si="248"/>
        <v>Sorry, question (12.03) is required!</v>
      </c>
    </row>
    <row r="1861" spans="1:24" ht="14.25" customHeight="1">
      <c r="A1861" t="s">
        <v>23</v>
      </c>
      <c r="B1861" t="s">
        <v>1473</v>
      </c>
      <c r="E1861" s="118" t="s">
        <v>2005</v>
      </c>
      <c r="F1861" s="118" t="s">
        <v>1896</v>
      </c>
      <c r="H1861" s="206" t="str">
        <f t="shared" si="252"/>
        <v xml:space="preserve">(12.04) Is there a room with auditory and visual privacy for patient consultations in this facility? </v>
      </c>
      <c r="I1861" s="213" t="str">
        <f t="shared" si="251"/>
        <v>select_one yesno</v>
      </c>
      <c r="J1861" s="106" t="s">
        <v>4457</v>
      </c>
      <c r="K1861" s="116" t="s">
        <v>2443</v>
      </c>
      <c r="L1861" s="118" t="str">
        <f t="shared" si="248"/>
        <v>Sorry, question (12.04) is required!</v>
      </c>
    </row>
    <row r="1862" spans="1:24" ht="14.25" customHeight="1">
      <c r="A1862" t="s">
        <v>15</v>
      </c>
      <c r="L1862" s="118" t="str">
        <f t="shared" si="248"/>
        <v/>
      </c>
      <c r="X1862" t="s">
        <v>3032</v>
      </c>
    </row>
    <row r="1863" spans="1:24" ht="14.25" customHeight="1">
      <c r="A1863" t="s">
        <v>12</v>
      </c>
      <c r="B1863" t="s">
        <v>3288</v>
      </c>
      <c r="E1863" s="118" t="s">
        <v>5452</v>
      </c>
      <c r="J1863" s="106" t="s">
        <v>13</v>
      </c>
      <c r="L1863" s="118" t="str">
        <f t="shared" ref="L1863:L1894" si="253">IF(K1863="yes",("Sorry, question "&amp;LEFT(E1863, 7)&amp;" is required!"),"")</f>
        <v/>
      </c>
      <c r="X1863" t="s">
        <v>3032</v>
      </c>
    </row>
    <row r="1864" spans="1:24" ht="14.25" customHeight="1">
      <c r="A1864" t="s">
        <v>23</v>
      </c>
      <c r="B1864" t="s">
        <v>1474</v>
      </c>
      <c r="E1864" s="118" t="s">
        <v>2006</v>
      </c>
      <c r="F1864" s="118" t="s">
        <v>1896</v>
      </c>
      <c r="H1864" s="206" t="str">
        <f>E1864</f>
        <v xml:space="preserve">(12.05) Is there a minor surgery theater in this facility? </v>
      </c>
      <c r="I1864" s="213" t="str">
        <f t="shared" si="251"/>
        <v>select_one yesno</v>
      </c>
      <c r="J1864" s="106" t="s">
        <v>4457</v>
      </c>
      <c r="K1864" s="116" t="s">
        <v>2443</v>
      </c>
      <c r="L1864" s="118" t="str">
        <f t="shared" si="253"/>
        <v>Sorry, question (12.05) is required!</v>
      </c>
    </row>
    <row r="1865" spans="1:24" ht="14.25" customHeight="1">
      <c r="A1865" t="s">
        <v>23</v>
      </c>
      <c r="B1865" t="s">
        <v>1475</v>
      </c>
      <c r="E1865" s="118" t="s">
        <v>2007</v>
      </c>
      <c r="F1865" s="118" t="s">
        <v>1896</v>
      </c>
      <c r="H1865" s="206" t="str">
        <f t="shared" ref="H1865:H1873" si="254">E1865</f>
        <v xml:space="preserve">(12.06) Are there observation beds in this facility? </v>
      </c>
      <c r="I1865" s="213" t="str">
        <f t="shared" si="251"/>
        <v>select_one yesno</v>
      </c>
      <c r="J1865" s="106" t="s">
        <v>4457</v>
      </c>
      <c r="K1865" s="116" t="s">
        <v>2443</v>
      </c>
      <c r="L1865" s="118" t="str">
        <f t="shared" si="253"/>
        <v>Sorry, question (12.06) is required!</v>
      </c>
    </row>
    <row r="1866" spans="1:24" ht="14.25" customHeight="1">
      <c r="A1866" t="s">
        <v>14</v>
      </c>
      <c r="B1866" t="s">
        <v>1476</v>
      </c>
      <c r="E1866" s="118" t="s">
        <v>3511</v>
      </c>
      <c r="F1866" s="118" t="s">
        <v>3512</v>
      </c>
      <c r="H1866" s="206" t="str">
        <f t="shared" si="254"/>
        <v xml:space="preserve">(12.07) INTERVIEWER: RECORD HOW MANY OBSERVATION BEDS ARE PRESENT. </v>
      </c>
      <c r="I1866" s="213" t="str">
        <f t="shared" si="251"/>
        <v>integer</v>
      </c>
      <c r="J1866" s="106" t="s">
        <v>3379</v>
      </c>
      <c r="K1866" s="116" t="s">
        <v>2443</v>
      </c>
      <c r="L1866" s="118" t="str">
        <f t="shared" si="253"/>
        <v>Sorry, question (12.07) is required!</v>
      </c>
      <c r="O1866" s="110" t="s">
        <v>2602</v>
      </c>
    </row>
    <row r="1867" spans="1:24" ht="14.25" customHeight="1">
      <c r="A1867" t="s">
        <v>23</v>
      </c>
      <c r="B1867" t="s">
        <v>1477</v>
      </c>
      <c r="E1867" s="118" t="s">
        <v>2008</v>
      </c>
      <c r="F1867" s="118" t="s">
        <v>1895</v>
      </c>
      <c r="H1867" s="206" t="str">
        <f t="shared" si="254"/>
        <v xml:space="preserve">(12.08) Are there separate wards for men and women in this facility? </v>
      </c>
      <c r="I1867" s="213" t="str">
        <f t="shared" si="251"/>
        <v>select_one yesno</v>
      </c>
      <c r="J1867" s="106" t="s">
        <v>4457</v>
      </c>
      <c r="K1867" s="116" t="s">
        <v>2443</v>
      </c>
      <c r="L1867" s="118" t="str">
        <f t="shared" si="253"/>
        <v>Sorry, question (12.08) is required!</v>
      </c>
    </row>
    <row r="1868" spans="1:24" ht="14.25" customHeight="1">
      <c r="A1868" t="s">
        <v>14</v>
      </c>
      <c r="B1868" t="s">
        <v>1478</v>
      </c>
      <c r="E1868" s="118" t="s">
        <v>2009</v>
      </c>
      <c r="F1868" s="118" t="s">
        <v>1895</v>
      </c>
      <c r="H1868" s="206" t="str">
        <f t="shared" si="254"/>
        <v xml:space="preserve">(12.09) Number of beds for Men.  </v>
      </c>
      <c r="I1868" s="213" t="str">
        <f t="shared" si="251"/>
        <v>integer</v>
      </c>
      <c r="J1868" s="106" t="s">
        <v>3379</v>
      </c>
      <c r="K1868" s="116" t="s">
        <v>2443</v>
      </c>
      <c r="L1868" s="118" t="str">
        <f t="shared" si="253"/>
        <v>Sorry, question (12.09) is required!</v>
      </c>
      <c r="M1868" s="113" t="s">
        <v>2710</v>
      </c>
      <c r="N1868" s="1" t="s">
        <v>4078</v>
      </c>
      <c r="O1868" s="110" t="s">
        <v>2601</v>
      </c>
    </row>
    <row r="1869" spans="1:24" ht="14.25" customHeight="1">
      <c r="A1869" t="s">
        <v>14</v>
      </c>
      <c r="B1869" t="s">
        <v>1097</v>
      </c>
      <c r="E1869" s="118" t="s">
        <v>2010</v>
      </c>
      <c r="F1869" s="118" t="s">
        <v>1895</v>
      </c>
      <c r="H1869" s="206" t="str">
        <f t="shared" si="254"/>
        <v xml:space="preserve">(12.10) Number of beds for Women.  </v>
      </c>
      <c r="I1869" s="213" t="str">
        <f t="shared" si="251"/>
        <v>integer</v>
      </c>
      <c r="J1869" s="106" t="s">
        <v>3379</v>
      </c>
      <c r="K1869" s="116" t="s">
        <v>2443</v>
      </c>
      <c r="L1869" s="118" t="str">
        <f t="shared" si="253"/>
        <v>Sorry, question (12.10) is required!</v>
      </c>
      <c r="M1869" s="113" t="s">
        <v>2711</v>
      </c>
      <c r="N1869" s="1" t="s">
        <v>4079</v>
      </c>
      <c r="O1869" s="110" t="s">
        <v>2601</v>
      </c>
    </row>
    <row r="1870" spans="1:24" ht="14.25" customHeight="1">
      <c r="A1870" t="s">
        <v>14</v>
      </c>
      <c r="B1870" t="s">
        <v>4306</v>
      </c>
      <c r="E1870" s="118" t="s">
        <v>4307</v>
      </c>
      <c r="F1870" s="118" t="s">
        <v>1895</v>
      </c>
      <c r="H1870" s="206" t="str">
        <f t="shared" si="254"/>
        <v>(12.10_1n) Number of adult in-patient beds</v>
      </c>
      <c r="J1870" s="106" t="s">
        <v>3379</v>
      </c>
      <c r="K1870" s="116" t="s">
        <v>2443</v>
      </c>
      <c r="L1870" s="118" t="str">
        <f>IF(K1870="yes",("Sorry, question "&amp;LEFT(E1870, 9)&amp;" is required!"),"")</f>
        <v>Sorry, question (12.10_1n is required!</v>
      </c>
      <c r="M1870" s="113" t="s">
        <v>4303</v>
      </c>
      <c r="N1870" s="1"/>
      <c r="O1870" s="110" t="s">
        <v>4304</v>
      </c>
      <c r="S1870" t="s">
        <v>2443</v>
      </c>
    </row>
    <row r="1871" spans="1:24" ht="14.25" customHeight="1">
      <c r="A1871" t="s">
        <v>23</v>
      </c>
      <c r="B1871" t="s">
        <v>1503</v>
      </c>
      <c r="E1871" s="118" t="s">
        <v>2362</v>
      </c>
      <c r="H1871" s="206" t="str">
        <f t="shared" si="254"/>
        <v>(12.11) Is there a separate ward for women waiting to deliver?</v>
      </c>
      <c r="I1871" s="213" t="str">
        <f t="shared" si="251"/>
        <v>select_one yesno</v>
      </c>
      <c r="J1871" s="106" t="s">
        <v>4457</v>
      </c>
      <c r="K1871" s="116" t="s">
        <v>2443</v>
      </c>
      <c r="L1871" s="118" t="str">
        <f t="shared" si="253"/>
        <v>Sorry, question (12.11) is required!</v>
      </c>
    </row>
    <row r="1872" spans="1:24" ht="14.25" customHeight="1">
      <c r="A1872" t="s">
        <v>14</v>
      </c>
      <c r="B1872" t="s">
        <v>1098</v>
      </c>
      <c r="E1872" s="118" t="s">
        <v>3513</v>
      </c>
      <c r="F1872" s="118" t="s">
        <v>3512</v>
      </c>
      <c r="H1872" s="206" t="str">
        <f t="shared" si="254"/>
        <v xml:space="preserve">(12.12) INTERVIEWER: RECORD HOW MANY DELIVERY BEDS ARE PRESENT. </v>
      </c>
      <c r="I1872" s="213" t="str">
        <f t="shared" si="251"/>
        <v>integer</v>
      </c>
      <c r="J1872" s="106" t="s">
        <v>3379</v>
      </c>
      <c r="K1872" s="116" t="s">
        <v>2443</v>
      </c>
      <c r="L1872" s="118" t="str">
        <f t="shared" si="253"/>
        <v>Sorry, question (12.12) is required!</v>
      </c>
      <c r="O1872" s="110" t="s">
        <v>2603</v>
      </c>
    </row>
    <row r="1873" spans="1:24" ht="14.25" customHeight="1">
      <c r="A1873" t="s">
        <v>23</v>
      </c>
      <c r="B1873" t="s">
        <v>1099</v>
      </c>
      <c r="E1873" s="118" t="s">
        <v>3052</v>
      </c>
      <c r="H1873" s="206" t="str">
        <f t="shared" si="254"/>
        <v>(12.13) Is there a separate ward for women and infants after giving birth?</v>
      </c>
      <c r="I1873" s="213" t="str">
        <f t="shared" si="251"/>
        <v>select_one yesno</v>
      </c>
      <c r="J1873" s="106" t="s">
        <v>4457</v>
      </c>
      <c r="K1873" s="116" t="s">
        <v>2443</v>
      </c>
      <c r="L1873" s="118" t="str">
        <f t="shared" si="253"/>
        <v>Sorry, question (12.13) is required!</v>
      </c>
    </row>
    <row r="1874" spans="1:24" ht="14.25" customHeight="1">
      <c r="A1874" t="s">
        <v>15</v>
      </c>
      <c r="L1874" s="118" t="str">
        <f t="shared" si="253"/>
        <v/>
      </c>
      <c r="X1874" t="s">
        <v>3032</v>
      </c>
    </row>
    <row r="1875" spans="1:24" ht="14.25" customHeight="1">
      <c r="A1875" t="s">
        <v>12</v>
      </c>
      <c r="B1875" t="s">
        <v>3289</v>
      </c>
      <c r="E1875" s="118" t="s">
        <v>5452</v>
      </c>
      <c r="J1875" s="106" t="s">
        <v>13</v>
      </c>
      <c r="L1875" s="118" t="str">
        <f t="shared" si="253"/>
        <v/>
      </c>
      <c r="X1875" t="s">
        <v>3032</v>
      </c>
    </row>
    <row r="1876" spans="1:24" ht="14.25" customHeight="1">
      <c r="A1876" t="s">
        <v>14</v>
      </c>
      <c r="B1876" t="s">
        <v>1100</v>
      </c>
      <c r="E1876" s="132" t="s">
        <v>4300</v>
      </c>
      <c r="F1876" s="118" t="s">
        <v>3514</v>
      </c>
      <c r="H1876" s="206" t="str">
        <f>E1876</f>
        <v>(12.14) INTERVIEWER: RECORD HOW MANY POST-PARTUM BEDS ARE PRESENT.</v>
      </c>
      <c r="I1876" s="213" t="str">
        <f t="shared" si="251"/>
        <v>integer</v>
      </c>
      <c r="J1876" s="106" t="s">
        <v>3379</v>
      </c>
      <c r="K1876" s="116" t="s">
        <v>2443</v>
      </c>
      <c r="L1876" s="118" t="str">
        <f t="shared" si="253"/>
        <v>Sorry, question (12.14) is required!</v>
      </c>
      <c r="O1876" s="110" t="s">
        <v>2604</v>
      </c>
    </row>
    <row r="1877" spans="1:24" ht="14.25" customHeight="1">
      <c r="A1877" t="s">
        <v>23</v>
      </c>
      <c r="B1877" t="s">
        <v>1101</v>
      </c>
      <c r="E1877" s="118" t="s">
        <v>2363</v>
      </c>
      <c r="H1877" s="206" t="str">
        <f t="shared" ref="H1877:H1881" si="255">E1877</f>
        <v>(12.15) Is there a separate ward for children?</v>
      </c>
      <c r="I1877" s="213" t="str">
        <f t="shared" si="251"/>
        <v>select_one yesno</v>
      </c>
      <c r="J1877" s="106" t="s">
        <v>4457</v>
      </c>
      <c r="K1877" s="116" t="s">
        <v>2443</v>
      </c>
      <c r="L1877" s="118" t="str">
        <f t="shared" si="253"/>
        <v>Sorry, question (12.15) is required!</v>
      </c>
    </row>
    <row r="1878" spans="1:24" ht="14.25" customHeight="1">
      <c r="A1878" t="s">
        <v>14</v>
      </c>
      <c r="B1878" t="s">
        <v>1102</v>
      </c>
      <c r="E1878" s="132" t="s">
        <v>4301</v>
      </c>
      <c r="F1878" s="118" t="s">
        <v>3512</v>
      </c>
      <c r="H1878" s="206" t="str">
        <f t="shared" si="255"/>
        <v xml:space="preserve">(12.16) INTERVIEWER: RECORD HOW MANY BEDS ARE PRESENT. </v>
      </c>
      <c r="I1878" s="213" t="str">
        <f t="shared" si="251"/>
        <v>integer</v>
      </c>
      <c r="J1878" s="106" t="s">
        <v>3379</v>
      </c>
      <c r="K1878" s="116" t="s">
        <v>2443</v>
      </c>
      <c r="L1878" s="118" t="str">
        <f t="shared" si="253"/>
        <v>Sorry, question (12.16) is required!</v>
      </c>
      <c r="O1878" s="110" t="s">
        <v>2605</v>
      </c>
    </row>
    <row r="1879" spans="1:24" ht="14.25" customHeight="1">
      <c r="A1879" t="s">
        <v>23</v>
      </c>
      <c r="B1879" s="1" t="s">
        <v>1103</v>
      </c>
      <c r="E1879" s="118" t="s">
        <v>2364</v>
      </c>
      <c r="F1879" s="118" t="s">
        <v>1896</v>
      </c>
      <c r="H1879" s="206" t="str">
        <f t="shared" si="255"/>
        <v xml:space="preserve">(12.17) Is a functional toilet facility available for patients? </v>
      </c>
      <c r="I1879" s="213" t="str">
        <f t="shared" si="251"/>
        <v>select_one yesno</v>
      </c>
      <c r="J1879" s="106" t="s">
        <v>4457</v>
      </c>
      <c r="K1879" s="116" t="s">
        <v>2443</v>
      </c>
      <c r="L1879" s="118" t="str">
        <f t="shared" si="253"/>
        <v>Sorry, question (12.17) is required!</v>
      </c>
    </row>
    <row r="1880" spans="1:24" ht="14.25" customHeight="1">
      <c r="A1880" t="s">
        <v>23</v>
      </c>
      <c r="B1880" t="s">
        <v>1104</v>
      </c>
      <c r="E1880" s="118" t="s">
        <v>2365</v>
      </c>
      <c r="F1880" s="118" t="s">
        <v>1896</v>
      </c>
      <c r="H1880" s="206" t="str">
        <f t="shared" si="255"/>
        <v xml:space="preserve">(12.18) Are there separate toilet facilities for male and female patients? </v>
      </c>
      <c r="I1880" s="213" t="str">
        <f t="shared" si="251"/>
        <v>select_one yesno</v>
      </c>
      <c r="J1880" s="106" t="s">
        <v>4457</v>
      </c>
      <c r="K1880" s="116" t="s">
        <v>2443</v>
      </c>
      <c r="L1880" s="118" t="str">
        <f t="shared" si="253"/>
        <v>Sorry, question (12.18) is required!</v>
      </c>
      <c r="O1880" s="110" t="s">
        <v>4302</v>
      </c>
    </row>
    <row r="1881" spans="1:24" ht="14.25" customHeight="1">
      <c r="A1881" t="s">
        <v>23</v>
      </c>
      <c r="B1881" t="s">
        <v>1504</v>
      </c>
      <c r="E1881" s="118" t="s">
        <v>2366</v>
      </c>
      <c r="F1881" s="118" t="s">
        <v>1896</v>
      </c>
      <c r="H1881" s="206" t="str">
        <f t="shared" si="255"/>
        <v xml:space="preserve">(12.19) Does the facility have accommodations for health workers who are on-call during non-routine hours, e.g. night shift? </v>
      </c>
      <c r="I1881" s="213" t="str">
        <f t="shared" si="251"/>
        <v>select_one yesno</v>
      </c>
      <c r="J1881" s="106" t="s">
        <v>4457</v>
      </c>
      <c r="K1881" s="116" t="s">
        <v>2443</v>
      </c>
      <c r="L1881" s="118" t="str">
        <f t="shared" si="253"/>
        <v>Sorry, question (12.19) is required!</v>
      </c>
    </row>
    <row r="1882" spans="1:24" ht="14.25" customHeight="1">
      <c r="A1882" t="s">
        <v>15</v>
      </c>
      <c r="E1882" s="118" t="s">
        <v>1067</v>
      </c>
      <c r="L1882" s="118" t="str">
        <f t="shared" si="253"/>
        <v/>
      </c>
      <c r="X1882" t="s">
        <v>3032</v>
      </c>
    </row>
    <row r="1883" spans="1:24" ht="14.25" customHeight="1">
      <c r="A1883" t="s">
        <v>12</v>
      </c>
      <c r="B1883" t="s">
        <v>3290</v>
      </c>
      <c r="J1883" s="106" t="s">
        <v>13</v>
      </c>
      <c r="L1883" s="118" t="str">
        <f t="shared" si="253"/>
        <v/>
      </c>
      <c r="X1883" t="s">
        <v>3032</v>
      </c>
    </row>
    <row r="1884" spans="1:24" ht="14.25" customHeight="1">
      <c r="A1884" t="s">
        <v>17</v>
      </c>
      <c r="B1884" t="s">
        <v>5208</v>
      </c>
      <c r="E1884" s="118" t="s">
        <v>4222</v>
      </c>
      <c r="I1884" s="213" t="str">
        <f t="shared" si="251"/>
        <v>note</v>
      </c>
      <c r="L1884" s="118" t="str">
        <f t="shared" si="253"/>
        <v/>
      </c>
    </row>
    <row r="1885" spans="1:24" ht="14.25" customHeight="1">
      <c r="A1885" t="s">
        <v>2969</v>
      </c>
      <c r="B1885" t="s">
        <v>1105</v>
      </c>
      <c r="E1885" s="118" t="s">
        <v>2367</v>
      </c>
      <c r="F1885" s="118" t="s">
        <v>1897</v>
      </c>
      <c r="H1885" s="206" t="str">
        <f>E1885</f>
        <v xml:space="preserve">(12.20) Is there any posting in the facility that shows the user fees for outpatient visits? </v>
      </c>
      <c r="I1885" s="213" t="str">
        <f t="shared" si="251"/>
        <v>select_one seen</v>
      </c>
      <c r="J1885" s="106" t="s">
        <v>4457</v>
      </c>
      <c r="K1885" s="116" t="s">
        <v>2443</v>
      </c>
      <c r="L1885" s="118" t="str">
        <f t="shared" si="253"/>
        <v>Sorry, question (12.20) is required!</v>
      </c>
    </row>
    <row r="1886" spans="1:24" ht="14.25" customHeight="1">
      <c r="A1886" t="s">
        <v>2970</v>
      </c>
      <c r="B1886" t="s">
        <v>1106</v>
      </c>
      <c r="E1886" s="118" t="s">
        <v>2368</v>
      </c>
      <c r="F1886" s="118" t="s">
        <v>1897</v>
      </c>
      <c r="H1886" s="206" t="str">
        <f t="shared" ref="H1886:H1898" si="256">E1886</f>
        <v xml:space="preserve">(12.21) Is there any posting in the facility that shows laboratory fees for outpatients? </v>
      </c>
      <c r="I1886" s="213" t="str">
        <f t="shared" si="251"/>
        <v>select_one post</v>
      </c>
      <c r="J1886" s="106" t="s">
        <v>4457</v>
      </c>
      <c r="K1886" s="116" t="s">
        <v>2443</v>
      </c>
      <c r="L1886" s="118" t="str">
        <f t="shared" si="253"/>
        <v>Sorry, question (12.21) is required!</v>
      </c>
    </row>
    <row r="1887" spans="1:24" ht="14.25" customHeight="1">
      <c r="A1887" t="s">
        <v>2970</v>
      </c>
      <c r="B1887" t="s">
        <v>1107</v>
      </c>
      <c r="E1887" s="118" t="s">
        <v>2369</v>
      </c>
      <c r="F1887" s="118" t="s">
        <v>1897</v>
      </c>
      <c r="H1887" s="206" t="str">
        <f t="shared" si="256"/>
        <v xml:space="preserve">(12.22) Is there any posting in the facility that shows X-ray fees for outpatients? </v>
      </c>
      <c r="I1887" s="213" t="str">
        <f t="shared" si="251"/>
        <v>select_one post</v>
      </c>
      <c r="J1887" s="106" t="s">
        <v>4457</v>
      </c>
      <c r="K1887" s="116" t="s">
        <v>2443</v>
      </c>
      <c r="L1887" s="118" t="str">
        <f t="shared" si="253"/>
        <v>Sorry, question (12.22) is required!</v>
      </c>
      <c r="O1887" s="110" t="s">
        <v>6635</v>
      </c>
    </row>
    <row r="1888" spans="1:24" ht="14.25" customHeight="1">
      <c r="A1888" t="s">
        <v>2970</v>
      </c>
      <c r="B1888" t="s">
        <v>1108</v>
      </c>
      <c r="E1888" s="118" t="s">
        <v>2370</v>
      </c>
      <c r="F1888" s="118" t="s">
        <v>1897</v>
      </c>
      <c r="H1888" s="206" t="str">
        <f t="shared" si="256"/>
        <v xml:space="preserve">(12.23) Is there any posting in the facility that shows supplies fees for outpatients? </v>
      </c>
      <c r="I1888" s="213" t="str">
        <f t="shared" si="251"/>
        <v>select_one post</v>
      </c>
      <c r="J1888" s="106" t="s">
        <v>4457</v>
      </c>
      <c r="K1888" s="116" t="s">
        <v>2443</v>
      </c>
      <c r="L1888" s="118" t="str">
        <f t="shared" si="253"/>
        <v>Sorry, question (12.23) is required!</v>
      </c>
    </row>
    <row r="1889" spans="1:24" ht="14.25" customHeight="1">
      <c r="A1889" t="s">
        <v>15</v>
      </c>
      <c r="E1889" s="118" t="s">
        <v>1067</v>
      </c>
      <c r="H1889" s="206" t="str">
        <f t="shared" si="256"/>
        <v/>
      </c>
      <c r="L1889" s="118" t="str">
        <f t="shared" si="253"/>
        <v/>
      </c>
      <c r="X1889" t="s">
        <v>3032</v>
      </c>
    </row>
    <row r="1890" spans="1:24" ht="14.25" customHeight="1">
      <c r="A1890" t="s">
        <v>12</v>
      </c>
      <c r="B1890" t="s">
        <v>3293</v>
      </c>
      <c r="E1890" s="118" t="s">
        <v>5453</v>
      </c>
      <c r="H1890" s="206" t="str">
        <f t="shared" si="256"/>
        <v>(B) Posting of User Fees</v>
      </c>
      <c r="J1890" s="106" t="s">
        <v>13</v>
      </c>
      <c r="L1890" s="118" t="str">
        <f t="shared" si="253"/>
        <v/>
      </c>
      <c r="X1890" t="s">
        <v>3032</v>
      </c>
    </row>
    <row r="1891" spans="1:24" ht="14.25" customHeight="1">
      <c r="A1891" t="s">
        <v>2528</v>
      </c>
      <c r="B1891" t="s">
        <v>1109</v>
      </c>
      <c r="E1891" s="118" t="s">
        <v>2371</v>
      </c>
      <c r="F1891" s="118" t="s">
        <v>1897</v>
      </c>
      <c r="H1891" s="206" t="str">
        <f t="shared" si="256"/>
        <v xml:space="preserve">(12.24) Is there any posting in the facility that shows the user fees for inpatient visits? </v>
      </c>
      <c r="I1891" s="213" t="str">
        <f t="shared" si="251"/>
        <v>select_one seen2</v>
      </c>
      <c r="J1891" s="106" t="s">
        <v>4457</v>
      </c>
      <c r="K1891" s="116" t="s">
        <v>2443</v>
      </c>
      <c r="L1891" s="118" t="str">
        <f t="shared" si="253"/>
        <v>Sorry, question (12.24) is required!</v>
      </c>
    </row>
    <row r="1892" spans="1:24" ht="14.25" customHeight="1">
      <c r="A1892" t="s">
        <v>2970</v>
      </c>
      <c r="B1892" t="s">
        <v>1110</v>
      </c>
      <c r="E1892" s="118" t="s">
        <v>2372</v>
      </c>
      <c r="F1892" s="118" t="s">
        <v>1897</v>
      </c>
      <c r="H1892" s="206" t="str">
        <f t="shared" si="256"/>
        <v xml:space="preserve">(12.25) Is there any posting in the facility that shows laboratory fees for inpatients? </v>
      </c>
      <c r="I1892" s="213" t="str">
        <f t="shared" si="251"/>
        <v>select_one post</v>
      </c>
      <c r="J1892" s="106" t="s">
        <v>4457</v>
      </c>
      <c r="K1892" s="116" t="s">
        <v>2443</v>
      </c>
      <c r="L1892" s="118" t="str">
        <f t="shared" si="253"/>
        <v>Sorry, question (12.25) is required!</v>
      </c>
      <c r="O1892" s="110" t="s">
        <v>6639</v>
      </c>
    </row>
    <row r="1893" spans="1:24" ht="14.25" customHeight="1">
      <c r="A1893" t="s">
        <v>2970</v>
      </c>
      <c r="B1893" t="s">
        <v>1111</v>
      </c>
      <c r="E1893" s="118" t="s">
        <v>2373</v>
      </c>
      <c r="F1893" s="118" t="s">
        <v>1897</v>
      </c>
      <c r="H1893" s="206" t="str">
        <f t="shared" si="256"/>
        <v xml:space="preserve">(12.26) Is there any posting in the facility that shows X-ray fees for inpatients? </v>
      </c>
      <c r="I1893" s="213" t="str">
        <f t="shared" si="251"/>
        <v>select_one post</v>
      </c>
      <c r="J1893" s="106" t="s">
        <v>4457</v>
      </c>
      <c r="K1893" s="116" t="s">
        <v>2443</v>
      </c>
      <c r="L1893" s="118" t="str">
        <f t="shared" si="253"/>
        <v>Sorry, question (12.26) is required!</v>
      </c>
      <c r="O1893" s="110" t="s">
        <v>6639</v>
      </c>
    </row>
    <row r="1894" spans="1:24" ht="14.25" customHeight="1">
      <c r="A1894" t="s">
        <v>2970</v>
      </c>
      <c r="B1894" t="s">
        <v>1112</v>
      </c>
      <c r="E1894" s="118" t="s">
        <v>2374</v>
      </c>
      <c r="F1894" s="118" t="s">
        <v>1897</v>
      </c>
      <c r="H1894" s="206" t="str">
        <f t="shared" si="256"/>
        <v xml:space="preserve">(12.27) Is there any posting in the facility that shows supplies fees for inpatients? </v>
      </c>
      <c r="I1894" s="213" t="str">
        <f t="shared" si="251"/>
        <v>select_one post</v>
      </c>
      <c r="J1894" s="106" t="s">
        <v>4457</v>
      </c>
      <c r="K1894" s="116" t="s">
        <v>2443</v>
      </c>
      <c r="L1894" s="118" t="str">
        <f t="shared" si="253"/>
        <v>Sorry, question (12.27) is required!</v>
      </c>
      <c r="O1894" s="110" t="s">
        <v>6639</v>
      </c>
    </row>
    <row r="1895" spans="1:24" ht="14.25" customHeight="1">
      <c r="A1895" t="s">
        <v>15</v>
      </c>
      <c r="H1895" s="206">
        <f t="shared" si="256"/>
        <v>0</v>
      </c>
      <c r="X1895" t="s">
        <v>3032</v>
      </c>
    </row>
    <row r="1896" spans="1:24" ht="14.25" customHeight="1">
      <c r="A1896" t="s">
        <v>954</v>
      </c>
      <c r="B1896" t="s">
        <v>3292</v>
      </c>
      <c r="E1896" s="118" t="s">
        <v>5453</v>
      </c>
      <c r="H1896" s="206" t="str">
        <f t="shared" si="256"/>
        <v>(B) Posting of User Fees</v>
      </c>
      <c r="J1896" s="106" t="s">
        <v>13</v>
      </c>
      <c r="X1896" t="s">
        <v>3032</v>
      </c>
    </row>
    <row r="1897" spans="1:24" ht="14.25" customHeight="1">
      <c r="A1897" t="s">
        <v>17</v>
      </c>
      <c r="B1897" t="s">
        <v>5209</v>
      </c>
      <c r="E1897" s="118" t="s">
        <v>5454</v>
      </c>
      <c r="H1897" s="206" t="str">
        <f t="shared" si="256"/>
        <v>&lt;b&gt;&lt;font&gt;INTERVIEWER: FOR EACH DOCUMENT, ASK TO SEE THE DOCUMENTS POSTED AND &lt;u&gt;RECORD ACCORDING TO THE FOLLOWING CODES:&lt;/u&gt;&lt;/font&gt;&lt;b&gt;</v>
      </c>
      <c r="I1897" s="213" t="str">
        <f t="shared" si="251"/>
        <v>note</v>
      </c>
    </row>
    <row r="1898" spans="1:24" ht="14.25" customHeight="1">
      <c r="A1898" t="s">
        <v>17</v>
      </c>
      <c r="B1898" t="s">
        <v>5210</v>
      </c>
      <c r="E1898" s="118" t="s">
        <v>2375</v>
      </c>
      <c r="H1898" s="206" t="str">
        <f t="shared" si="256"/>
        <v>(12.28) Is any of the following posted publicly for patients to see?</v>
      </c>
      <c r="I1898" s="213" t="str">
        <f t="shared" si="251"/>
        <v>note</v>
      </c>
    </row>
    <row r="1899" spans="1:24" ht="14.25" customHeight="1">
      <c r="A1899" t="s">
        <v>2969</v>
      </c>
      <c r="B1899" t="s">
        <v>2435</v>
      </c>
      <c r="C1899" t="str">
        <f>RIGHT(B1899,1)&amp;"."</f>
        <v>a.</v>
      </c>
      <c r="D1899" t="s">
        <v>1120</v>
      </c>
      <c r="E1899" s="118" t="str">
        <f t="shared" ref="E1899:E1904" si="257">C1899&amp;D1899</f>
        <v>a.Inpatient capacity (Number of beds)</v>
      </c>
      <c r="H1899" s="206" t="str">
        <f>"(12.28) "&amp;E1899</f>
        <v>(12.28) a.Inpatient capacity (Number of beds)</v>
      </c>
      <c r="I1899" s="213" t="str">
        <f t="shared" si="251"/>
        <v>select_one seen</v>
      </c>
      <c r="J1899" s="106" t="s">
        <v>4457</v>
      </c>
      <c r="K1899" s="116" t="s">
        <v>2443</v>
      </c>
      <c r="L1899" s="118" t="str">
        <f t="shared" ref="L1899:L1904" si="258">IF(K1899="yes",("Sorry, question "&amp;LEFT($E$1898, 7)&amp;LEFT(C1899,1)&amp;" is required!"),"")</f>
        <v>Sorry, question (12.28)a is required!</v>
      </c>
    </row>
    <row r="1900" spans="1:24" ht="14.25" customHeight="1">
      <c r="A1900" t="s">
        <v>2969</v>
      </c>
      <c r="B1900" t="s">
        <v>2971</v>
      </c>
      <c r="C1900" t="str">
        <f t="shared" ref="C1900:C1904" si="259">RIGHT(B1900,1)&amp;"."</f>
        <v>b.</v>
      </c>
      <c r="D1900" t="s">
        <v>1121</v>
      </c>
      <c r="E1900" s="118" t="str">
        <f t="shared" si="257"/>
        <v>b.Service days/hours</v>
      </c>
      <c r="H1900" s="206" t="str">
        <f t="shared" ref="H1900:H1905" si="260">"(12.28) "&amp;E1900</f>
        <v>(12.28) b.Service days/hours</v>
      </c>
      <c r="I1900" s="213" t="str">
        <f t="shared" si="251"/>
        <v>select_one seen</v>
      </c>
      <c r="J1900" s="106" t="s">
        <v>4457</v>
      </c>
      <c r="K1900" s="116" t="s">
        <v>2443</v>
      </c>
      <c r="L1900" s="118" t="str">
        <f t="shared" si="258"/>
        <v>Sorry, question (12.28)b is required!</v>
      </c>
    </row>
    <row r="1901" spans="1:24" ht="14.25" customHeight="1">
      <c r="A1901" t="s">
        <v>2969</v>
      </c>
      <c r="B1901" t="s">
        <v>2972</v>
      </c>
      <c r="C1901" t="str">
        <f t="shared" si="259"/>
        <v>c.</v>
      </c>
      <c r="D1901" t="s">
        <v>1122</v>
      </c>
      <c r="E1901" s="118" t="str">
        <f t="shared" si="257"/>
        <v>c.Staff rotation</v>
      </c>
      <c r="H1901" s="206" t="str">
        <f t="shared" si="260"/>
        <v>(12.28) c.Staff rotation</v>
      </c>
      <c r="I1901" s="213" t="str">
        <f t="shared" si="251"/>
        <v>select_one seen</v>
      </c>
      <c r="J1901" s="106" t="s">
        <v>4457</v>
      </c>
      <c r="K1901" s="116" t="s">
        <v>2443</v>
      </c>
      <c r="L1901" s="118" t="str">
        <f t="shared" si="258"/>
        <v>Sorry, question (12.28)c is required!</v>
      </c>
    </row>
    <row r="1902" spans="1:24" ht="14.25" customHeight="1">
      <c r="A1902" t="s">
        <v>2969</v>
      </c>
      <c r="B1902" t="s">
        <v>2973</v>
      </c>
      <c r="C1902" t="str">
        <f t="shared" si="259"/>
        <v>d.</v>
      </c>
      <c r="D1902" t="s">
        <v>1123</v>
      </c>
      <c r="E1902" s="118" t="str">
        <f t="shared" si="257"/>
        <v>d.Management contact</v>
      </c>
      <c r="H1902" s="206" t="str">
        <f t="shared" si="260"/>
        <v>(12.28) d.Management contact</v>
      </c>
      <c r="I1902" s="213" t="str">
        <f t="shared" si="251"/>
        <v>select_one seen</v>
      </c>
      <c r="J1902" s="106" t="s">
        <v>4457</v>
      </c>
      <c r="K1902" s="116" t="s">
        <v>2443</v>
      </c>
      <c r="L1902" s="118" t="str">
        <f t="shared" si="258"/>
        <v>Sorry, question (12.28)d is required!</v>
      </c>
    </row>
    <row r="1903" spans="1:24" ht="14.25" customHeight="1">
      <c r="A1903" t="s">
        <v>2969</v>
      </c>
      <c r="B1903" t="s">
        <v>2974</v>
      </c>
      <c r="C1903" t="str">
        <f t="shared" si="259"/>
        <v>e.</v>
      </c>
      <c r="D1903" t="s">
        <v>1124</v>
      </c>
      <c r="E1903" s="118" t="str">
        <f t="shared" si="257"/>
        <v>e.Complaints and suggestions handling policy</v>
      </c>
      <c r="H1903" s="206" t="str">
        <f t="shared" si="260"/>
        <v>(12.28) e.Complaints and suggestions handling policy</v>
      </c>
      <c r="I1903" s="213" t="str">
        <f t="shared" si="251"/>
        <v>select_one seen</v>
      </c>
      <c r="J1903" s="106" t="s">
        <v>4457</v>
      </c>
      <c r="K1903" s="116" t="s">
        <v>2443</v>
      </c>
      <c r="L1903" s="118" t="str">
        <f t="shared" si="258"/>
        <v>Sorry, question (12.28)e is required!</v>
      </c>
    </row>
    <row r="1904" spans="1:24" ht="14.25" customHeight="1">
      <c r="A1904" t="s">
        <v>2969</v>
      </c>
      <c r="B1904" t="s">
        <v>2436</v>
      </c>
      <c r="C1904" t="str">
        <f t="shared" si="259"/>
        <v>f.</v>
      </c>
      <c r="D1904" t="s">
        <v>35</v>
      </c>
      <c r="E1904" s="118" t="str">
        <f t="shared" si="257"/>
        <v>f.Other, specify:</v>
      </c>
      <c r="H1904" s="206" t="str">
        <f t="shared" si="260"/>
        <v>(12.28) f.Other, specify:</v>
      </c>
      <c r="I1904" s="213" t="str">
        <f t="shared" si="251"/>
        <v>select_one seen</v>
      </c>
      <c r="J1904" s="106" t="s">
        <v>4457</v>
      </c>
      <c r="K1904" s="116" t="s">
        <v>2443</v>
      </c>
      <c r="L1904" s="118" t="str">
        <f t="shared" si="258"/>
        <v>Sorry, question (12.28)f is required!</v>
      </c>
    </row>
    <row r="1905" spans="1:24" ht="14.25" customHeight="1">
      <c r="A1905" t="s">
        <v>16</v>
      </c>
      <c r="B1905" t="s">
        <v>2437</v>
      </c>
      <c r="E1905" s="118" t="s">
        <v>6787</v>
      </c>
      <c r="F1905" s="118" t="s">
        <v>2589</v>
      </c>
      <c r="H1905" s="206" t="str">
        <f t="shared" si="260"/>
        <v>(12.28) f.Other, specify:</v>
      </c>
      <c r="I1905" s="213" t="str">
        <f t="shared" si="251"/>
        <v>text</v>
      </c>
      <c r="J1905" s="106" t="s">
        <v>2773</v>
      </c>
      <c r="K1905" s="116" t="s">
        <v>2443</v>
      </c>
      <c r="L1905" s="118" t="str">
        <f>IF(K1905="yes",("Sorry, question (12.28) "&amp;LEFT($E$1905, 9)&amp;LEFT(C1905,1)&amp;" is required!"),"")</f>
        <v>Sorry, question (12.28) f.Other,  is required!</v>
      </c>
      <c r="O1905" s="110" t="s">
        <v>5455</v>
      </c>
    </row>
    <row r="1906" spans="1:24" ht="14.25" customHeight="1">
      <c r="A1906" t="s">
        <v>15</v>
      </c>
      <c r="E1906" s="118" t="s">
        <v>1067</v>
      </c>
      <c r="L1906" s="118" t="str">
        <f t="shared" ref="L1906:L1937" si="261">IF(K1906="yes",("Sorry, question "&amp;LEFT(E1906, 7)&amp;" is required!"),"")</f>
        <v/>
      </c>
      <c r="X1906" t="s">
        <v>3032</v>
      </c>
    </row>
    <row r="1907" spans="1:24" ht="14.25" customHeight="1">
      <c r="A1907" t="s">
        <v>954</v>
      </c>
      <c r="B1907" t="s">
        <v>3291</v>
      </c>
      <c r="E1907" s="118" t="s">
        <v>1067</v>
      </c>
      <c r="J1907" s="106" t="s">
        <v>3526</v>
      </c>
      <c r="L1907" s="118" t="str">
        <f t="shared" si="261"/>
        <v/>
      </c>
      <c r="X1907" t="s">
        <v>3032</v>
      </c>
    </row>
    <row r="1908" spans="1:24" ht="14.25" customHeight="1">
      <c r="A1908" t="s">
        <v>17</v>
      </c>
      <c r="B1908" t="s">
        <v>5211</v>
      </c>
      <c r="E1908" s="118" t="s">
        <v>4223</v>
      </c>
      <c r="I1908" s="213" t="str">
        <f t="shared" si="251"/>
        <v>note</v>
      </c>
      <c r="J1908" s="106" t="s">
        <v>3528</v>
      </c>
      <c r="L1908" s="118" t="str">
        <f t="shared" si="261"/>
        <v/>
      </c>
    </row>
    <row r="1909" spans="1:24" ht="14.25" customHeight="1">
      <c r="A1909" t="s">
        <v>17</v>
      </c>
      <c r="B1909" t="s">
        <v>5212</v>
      </c>
      <c r="E1909" s="118" t="s">
        <v>4224</v>
      </c>
      <c r="F1909" s="118" t="s">
        <v>4244</v>
      </c>
      <c r="I1909" s="213" t="str">
        <f t="shared" si="251"/>
        <v>note</v>
      </c>
      <c r="J1909" s="106" t="s">
        <v>3372</v>
      </c>
      <c r="L1909" s="118" t="str">
        <f t="shared" si="261"/>
        <v/>
      </c>
    </row>
    <row r="1910" spans="1:24" ht="14.25" customHeight="1">
      <c r="A1910" t="s">
        <v>2975</v>
      </c>
      <c r="B1910" t="s">
        <v>2976</v>
      </c>
      <c r="E1910" s="118" t="s">
        <v>2376</v>
      </c>
      <c r="H1910" s="206" t="str">
        <f>E1910</f>
        <v>(12.29) Patient education materials (Information and Education Campaign materials)</v>
      </c>
      <c r="I1910" s="213" t="str">
        <f t="shared" si="251"/>
        <v>select_one seennot</v>
      </c>
      <c r="J1910" s="106" t="s">
        <v>4459</v>
      </c>
      <c r="K1910" s="116" t="s">
        <v>2443</v>
      </c>
      <c r="L1910" s="118" t="str">
        <f t="shared" si="261"/>
        <v>Sorry, question (12.29) is required!</v>
      </c>
    </row>
    <row r="1911" spans="1:24" ht="14.25" customHeight="1">
      <c r="A1911" t="s">
        <v>2975</v>
      </c>
      <c r="B1911" t="s">
        <v>2977</v>
      </c>
      <c r="E1911" s="118" t="s">
        <v>3565</v>
      </c>
      <c r="H1911" s="206" t="str">
        <f t="shared" ref="H1911:H1926" si="262">E1911</f>
        <v>(12.30) Integrated Management of Neonatal Childhood Illness (IMNCI) chart booklet or wall chart</v>
      </c>
      <c r="I1911" s="213" t="str">
        <f t="shared" si="251"/>
        <v>select_one seennot</v>
      </c>
      <c r="J1911" s="106" t="s">
        <v>4460</v>
      </c>
      <c r="K1911" s="116" t="s">
        <v>2443</v>
      </c>
      <c r="L1911" s="118" t="str">
        <f t="shared" si="261"/>
        <v>Sorry, question (12.30) is required!</v>
      </c>
    </row>
    <row r="1912" spans="1:24" ht="14.25" customHeight="1">
      <c r="A1912" t="s">
        <v>2975</v>
      </c>
      <c r="B1912" t="s">
        <v>2978</v>
      </c>
      <c r="E1912" s="118" t="s">
        <v>2377</v>
      </c>
      <c r="H1912" s="206" t="str">
        <f t="shared" si="262"/>
        <v>(12.31) Graphs for growth monitoring</v>
      </c>
      <c r="I1912" s="213" t="str">
        <f t="shared" si="251"/>
        <v>select_one seennot</v>
      </c>
      <c r="J1912" s="106" t="s">
        <v>4461</v>
      </c>
      <c r="K1912" s="116" t="s">
        <v>2443</v>
      </c>
      <c r="L1912" s="118" t="str">
        <f t="shared" si="261"/>
        <v>Sorry, question (12.31) is required!</v>
      </c>
    </row>
    <row r="1913" spans="1:24" ht="14.25" customHeight="1">
      <c r="A1913" t="s">
        <v>2975</v>
      </c>
      <c r="B1913" t="s">
        <v>2979</v>
      </c>
      <c r="E1913" s="118" t="s">
        <v>2378</v>
      </c>
      <c r="H1913" s="206" t="str">
        <f t="shared" si="262"/>
        <v>(12.32) National protocol for tuberculosis diagnosis and treatment</v>
      </c>
      <c r="I1913" s="213" t="str">
        <f t="shared" si="251"/>
        <v>select_one seennot</v>
      </c>
      <c r="J1913" s="106" t="s">
        <v>5352</v>
      </c>
      <c r="K1913" s="116" t="s">
        <v>2443</v>
      </c>
      <c r="L1913" s="118" t="str">
        <f t="shared" si="261"/>
        <v>Sorry, question (12.32) is required!</v>
      </c>
    </row>
    <row r="1914" spans="1:24" ht="14.25" customHeight="1">
      <c r="A1914" t="s">
        <v>2975</v>
      </c>
      <c r="B1914" t="s">
        <v>2980</v>
      </c>
      <c r="E1914" s="118" t="s">
        <v>2379</v>
      </c>
      <c r="H1914" s="206" t="str">
        <f t="shared" si="262"/>
        <v>(12.33) Health Management Information System (HMIS) guidelines</v>
      </c>
      <c r="I1914" s="213" t="str">
        <f t="shared" si="251"/>
        <v>select_one seennot</v>
      </c>
      <c r="J1914" s="106" t="s">
        <v>5353</v>
      </c>
      <c r="K1914" s="116" t="s">
        <v>2443</v>
      </c>
      <c r="L1914" s="118" t="str">
        <f t="shared" si="261"/>
        <v>Sorry, question (12.33) is required!</v>
      </c>
    </row>
    <row r="1915" spans="1:24" ht="14.25" customHeight="1">
      <c r="A1915" t="s">
        <v>2975</v>
      </c>
      <c r="B1915" t="s">
        <v>2981</v>
      </c>
      <c r="E1915" s="118" t="s">
        <v>2380</v>
      </c>
      <c r="H1915" s="206" t="str">
        <f t="shared" si="262"/>
        <v>(12.34) Health Management Information System (HMIS) Data</v>
      </c>
      <c r="I1915" s="213" t="str">
        <f t="shared" si="251"/>
        <v>select_one seennot</v>
      </c>
      <c r="J1915" s="106" t="s">
        <v>6690</v>
      </c>
      <c r="K1915" s="116" t="s">
        <v>2443</v>
      </c>
      <c r="L1915" s="118" t="str">
        <f t="shared" si="261"/>
        <v>Sorry, question (12.34) is required!</v>
      </c>
    </row>
    <row r="1916" spans="1:24" ht="14.25" customHeight="1">
      <c r="A1916" t="s">
        <v>956</v>
      </c>
      <c r="L1916" s="118" t="str">
        <f t="shared" si="261"/>
        <v/>
      </c>
      <c r="X1916" t="s">
        <v>3032</v>
      </c>
    </row>
    <row r="1917" spans="1:24" ht="14.25" customHeight="1">
      <c r="A1917" t="s">
        <v>954</v>
      </c>
      <c r="B1917" t="s">
        <v>3364</v>
      </c>
      <c r="E1917" s="118" t="s">
        <v>5456</v>
      </c>
      <c r="H1917" s="206" t="str">
        <f t="shared" si="262"/>
        <v>(C) National Protocols</v>
      </c>
      <c r="J1917" s="106" t="s">
        <v>13</v>
      </c>
      <c r="L1917" s="118" t="str">
        <f t="shared" si="261"/>
        <v/>
      </c>
      <c r="X1917" t="s">
        <v>3032</v>
      </c>
    </row>
    <row r="1918" spans="1:24" ht="14.25" customHeight="1">
      <c r="A1918" t="s">
        <v>17</v>
      </c>
      <c r="B1918" t="s">
        <v>5213</v>
      </c>
      <c r="E1918" s="118" t="s">
        <v>1125</v>
      </c>
      <c r="H1918" s="206" t="str">
        <f t="shared" si="262"/>
        <v>RECORD RESPONSE</v>
      </c>
      <c r="I1918" s="213" t="str">
        <f t="shared" si="251"/>
        <v>note</v>
      </c>
      <c r="L1918" s="118" t="str">
        <f t="shared" si="261"/>
        <v/>
      </c>
    </row>
    <row r="1919" spans="1:24" ht="14.25" customHeight="1">
      <c r="A1919" t="s">
        <v>2975</v>
      </c>
      <c r="B1919" t="s">
        <v>2982</v>
      </c>
      <c r="E1919" s="118" t="s">
        <v>2381</v>
      </c>
      <c r="H1919" s="206" t="str">
        <f t="shared" si="262"/>
        <v>(12.35) National Protocol for malaria diagnosis and treatment (not part of IMCI)</v>
      </c>
      <c r="I1919" s="213" t="str">
        <f t="shared" si="251"/>
        <v>select_one seennot</v>
      </c>
      <c r="J1919" s="106" t="s">
        <v>4407</v>
      </c>
      <c r="K1919" s="116" t="s">
        <v>2443</v>
      </c>
      <c r="L1919" s="118" t="str">
        <f t="shared" si="261"/>
        <v>Sorry, question (12.35) is required!</v>
      </c>
    </row>
    <row r="1920" spans="1:24" ht="14.25" customHeight="1">
      <c r="A1920" t="s">
        <v>2975</v>
      </c>
      <c r="B1920" t="s">
        <v>2382</v>
      </c>
      <c r="E1920" s="118" t="s">
        <v>2390</v>
      </c>
      <c r="H1920" s="206" t="str">
        <f t="shared" si="262"/>
        <v>(12.36) National protocol for child vaccination</v>
      </c>
      <c r="I1920" s="213" t="str">
        <f t="shared" si="251"/>
        <v>select_one seennot</v>
      </c>
      <c r="J1920" s="106" t="s">
        <v>4407</v>
      </c>
      <c r="K1920" s="116" t="s">
        <v>2443</v>
      </c>
      <c r="L1920" s="118" t="str">
        <f t="shared" si="261"/>
        <v>Sorry, question (12.36) is required!</v>
      </c>
    </row>
    <row r="1921" spans="1:24" ht="14.25" customHeight="1">
      <c r="A1921" t="s">
        <v>2975</v>
      </c>
      <c r="B1921" t="s">
        <v>1113</v>
      </c>
      <c r="E1921" s="118" t="s">
        <v>2391</v>
      </c>
      <c r="H1921" s="206" t="str">
        <f t="shared" si="262"/>
        <v xml:space="preserve">(12.37) National protocol for reproductive health/family planning </v>
      </c>
      <c r="I1921" s="213" t="str">
        <f t="shared" ref="I1921:I1981" si="263">A1921</f>
        <v>select_one seennot</v>
      </c>
      <c r="J1921" s="106" t="s">
        <v>4407</v>
      </c>
      <c r="K1921" s="116" t="s">
        <v>2443</v>
      </c>
      <c r="L1921" s="118" t="str">
        <f t="shared" si="261"/>
        <v>Sorry, question (12.37) is required!</v>
      </c>
    </row>
    <row r="1922" spans="1:24" ht="14.25" customHeight="1">
      <c r="A1922" t="s">
        <v>2975</v>
      </c>
      <c r="B1922" t="s">
        <v>1114</v>
      </c>
      <c r="E1922" s="118" t="s">
        <v>2392</v>
      </c>
      <c r="H1922" s="206" t="str">
        <f t="shared" si="262"/>
        <v>(12.38) National protocol for reducing unsafe abortion morbidity/mortality</v>
      </c>
      <c r="I1922" s="213" t="str">
        <f t="shared" si="263"/>
        <v>select_one seennot</v>
      </c>
      <c r="J1922" s="106" t="s">
        <v>4407</v>
      </c>
      <c r="K1922" s="116" t="s">
        <v>2443</v>
      </c>
      <c r="L1922" s="118" t="str">
        <f t="shared" si="261"/>
        <v>Sorry, question (12.38) is required!</v>
      </c>
    </row>
    <row r="1923" spans="1:24" ht="14.25" customHeight="1">
      <c r="A1923" t="s">
        <v>2975</v>
      </c>
      <c r="B1923" t="s">
        <v>1115</v>
      </c>
      <c r="E1923" s="118" t="s">
        <v>2393</v>
      </c>
      <c r="H1923" s="206" t="str">
        <f t="shared" si="262"/>
        <v>(12.39) Antenatal Care National Standards</v>
      </c>
      <c r="I1923" s="213" t="str">
        <f t="shared" si="263"/>
        <v>select_one seennot</v>
      </c>
      <c r="J1923" s="106" t="s">
        <v>4407</v>
      </c>
      <c r="K1923" s="116" t="s">
        <v>2443</v>
      </c>
      <c r="L1923" s="118" t="str">
        <f t="shared" si="261"/>
        <v>Sorry, question (12.39) is required!</v>
      </c>
    </row>
    <row r="1924" spans="1:24" ht="14.25" customHeight="1">
      <c r="A1924" t="s">
        <v>2975</v>
      </c>
      <c r="B1924" t="s">
        <v>1116</v>
      </c>
      <c r="E1924" s="118" t="s">
        <v>2394</v>
      </c>
      <c r="H1924" s="206" t="str">
        <f t="shared" si="262"/>
        <v>(12.40) Labor and Delivery Care</v>
      </c>
      <c r="I1924" s="213" t="str">
        <f t="shared" si="263"/>
        <v>select_one seennot</v>
      </c>
      <c r="J1924" s="106" t="s">
        <v>4407</v>
      </c>
      <c r="K1924" s="116" t="s">
        <v>2443</v>
      </c>
      <c r="L1924" s="118" t="str">
        <f t="shared" si="261"/>
        <v>Sorry, question (12.40) is required!</v>
      </c>
    </row>
    <row r="1925" spans="1:24" ht="14.25" customHeight="1">
      <c r="A1925" t="s">
        <v>2975</v>
      </c>
      <c r="B1925" t="s">
        <v>1117</v>
      </c>
      <c r="E1925" s="118" t="s">
        <v>2395</v>
      </c>
      <c r="H1925" s="206" t="str">
        <f t="shared" si="262"/>
        <v>(12.41) Newborn Care National Standards</v>
      </c>
      <c r="I1925" s="213" t="str">
        <f t="shared" si="263"/>
        <v>select_one seennot</v>
      </c>
      <c r="J1925" s="106" t="s">
        <v>4407</v>
      </c>
      <c r="K1925" s="116" t="s">
        <v>2443</v>
      </c>
      <c r="L1925" s="118" t="str">
        <f t="shared" si="261"/>
        <v>Sorry, question (12.41) is required!</v>
      </c>
    </row>
    <row r="1926" spans="1:24" ht="14.25" customHeight="1">
      <c r="A1926" t="s">
        <v>2975</v>
      </c>
      <c r="B1926" t="s">
        <v>1118</v>
      </c>
      <c r="E1926" s="118" t="s">
        <v>2396</v>
      </c>
      <c r="H1926" s="206" t="str">
        <f t="shared" si="262"/>
        <v>(12.42) Post-Partum Care National Standards</v>
      </c>
      <c r="I1926" s="213" t="str">
        <f t="shared" si="263"/>
        <v>select_one seennot</v>
      </c>
      <c r="J1926" s="106" t="s">
        <v>4407</v>
      </c>
      <c r="K1926" s="116" t="s">
        <v>2443</v>
      </c>
      <c r="L1926" s="118" t="str">
        <f t="shared" si="261"/>
        <v>Sorry, question (12.42) is required!</v>
      </c>
    </row>
    <row r="1927" spans="1:24" ht="14.25" customHeight="1">
      <c r="A1927" t="s">
        <v>956</v>
      </c>
      <c r="L1927" s="118" t="str">
        <f t="shared" si="261"/>
        <v/>
      </c>
      <c r="X1927" t="s">
        <v>3032</v>
      </c>
    </row>
    <row r="1928" spans="1:24" ht="14.25" customHeight="1">
      <c r="A1928" t="s">
        <v>954</v>
      </c>
      <c r="B1928" t="s">
        <v>3515</v>
      </c>
      <c r="E1928" s="118" t="s">
        <v>5456</v>
      </c>
      <c r="J1928" s="106" t="s">
        <v>13</v>
      </c>
      <c r="L1928" s="118" t="str">
        <f t="shared" si="261"/>
        <v/>
      </c>
      <c r="X1928" t="s">
        <v>3032</v>
      </c>
    </row>
    <row r="1929" spans="1:24" ht="14.25" customHeight="1">
      <c r="A1929" t="s">
        <v>17</v>
      </c>
      <c r="B1929" t="s">
        <v>5214</v>
      </c>
      <c r="E1929" s="118" t="s">
        <v>1125</v>
      </c>
      <c r="I1929" s="213" t="str">
        <f t="shared" si="263"/>
        <v>note</v>
      </c>
      <c r="L1929" s="118" t="str">
        <f t="shared" si="261"/>
        <v/>
      </c>
    </row>
    <row r="1930" spans="1:24" ht="14.25" customHeight="1">
      <c r="A1930" t="s">
        <v>2975</v>
      </c>
      <c r="B1930" t="s">
        <v>1119</v>
      </c>
      <c r="E1930" s="118" t="s">
        <v>2397</v>
      </c>
      <c r="H1930" s="206" t="str">
        <f>E1930</f>
        <v>(12.43) Procedures Manual for Infection Prevention and Control</v>
      </c>
      <c r="I1930" s="213" t="str">
        <f t="shared" si="263"/>
        <v>select_one seennot</v>
      </c>
      <c r="J1930" s="106" t="s">
        <v>4407</v>
      </c>
      <c r="K1930" s="116" t="s">
        <v>2443</v>
      </c>
      <c r="L1930" s="118" t="str">
        <f t="shared" si="261"/>
        <v>Sorry, question (12.43) is required!</v>
      </c>
    </row>
    <row r="1931" spans="1:24" ht="14.25" customHeight="1">
      <c r="A1931" t="s">
        <v>2975</v>
      </c>
      <c r="B1931" t="s">
        <v>2383</v>
      </c>
      <c r="E1931" s="118" t="s">
        <v>2398</v>
      </c>
      <c r="H1931" s="206" t="str">
        <f t="shared" ref="H1931:H1937" si="264">E1931</f>
        <v>(12.44) Management of Sexually Transmitted Infections (STI) guidelines</v>
      </c>
      <c r="I1931" s="213" t="str">
        <f t="shared" si="263"/>
        <v>select_one seennot</v>
      </c>
      <c r="J1931" s="106" t="s">
        <v>4407</v>
      </c>
      <c r="K1931" s="116" t="s">
        <v>2443</v>
      </c>
      <c r="L1931" s="118" t="str">
        <f t="shared" si="261"/>
        <v>Sorry, question (12.44) is required!</v>
      </c>
    </row>
    <row r="1932" spans="1:24" ht="14.25" customHeight="1">
      <c r="A1932" t="s">
        <v>2975</v>
      </c>
      <c r="B1932" t="s">
        <v>2384</v>
      </c>
      <c r="E1932" s="118" t="s">
        <v>2399</v>
      </c>
      <c r="H1932" s="206" t="str">
        <f t="shared" si="264"/>
        <v>(12.45) National HIV testing and counseling guidelines</v>
      </c>
      <c r="I1932" s="213" t="str">
        <f t="shared" si="263"/>
        <v>select_one seennot</v>
      </c>
      <c r="J1932" s="106" t="s">
        <v>4407</v>
      </c>
      <c r="K1932" s="116" t="s">
        <v>2443</v>
      </c>
      <c r="L1932" s="118" t="str">
        <f t="shared" si="261"/>
        <v>Sorry, question (12.45) is required!</v>
      </c>
    </row>
    <row r="1933" spans="1:24" ht="14.25" customHeight="1">
      <c r="A1933" t="s">
        <v>2975</v>
      </c>
      <c r="B1933" t="s">
        <v>2385</v>
      </c>
      <c r="E1933" s="118" t="s">
        <v>2400</v>
      </c>
      <c r="H1933" s="206" t="str">
        <f t="shared" si="264"/>
        <v>(12.46) Prevention of mother to child transmission of HIV (PMTCT) guidelines</v>
      </c>
      <c r="I1933" s="213" t="str">
        <f t="shared" si="263"/>
        <v>select_one seennot</v>
      </c>
      <c r="J1933" s="106" t="s">
        <v>4407</v>
      </c>
      <c r="K1933" s="116" t="s">
        <v>2443</v>
      </c>
      <c r="L1933" s="118" t="str">
        <f t="shared" si="261"/>
        <v>Sorry, question (12.46) is required!</v>
      </c>
    </row>
    <row r="1934" spans="1:24" ht="14.25" customHeight="1">
      <c r="A1934" t="s">
        <v>2975</v>
      </c>
      <c r="B1934" t="s">
        <v>2386</v>
      </c>
      <c r="E1934" s="118" t="s">
        <v>2401</v>
      </c>
      <c r="H1934" s="206" t="str">
        <f t="shared" si="264"/>
        <v>(12.47) HIV treatment (Antiretroviral therapy, ART) guidelines</v>
      </c>
      <c r="I1934" s="213" t="str">
        <f t="shared" si="263"/>
        <v>select_one seennot</v>
      </c>
      <c r="J1934" s="106" t="s">
        <v>4407</v>
      </c>
      <c r="K1934" s="116" t="s">
        <v>2443</v>
      </c>
      <c r="L1934" s="118" t="str">
        <f t="shared" si="261"/>
        <v>Sorry, question (12.47) is required!</v>
      </c>
    </row>
    <row r="1935" spans="1:24" ht="14.25" customHeight="1">
      <c r="A1935" t="s">
        <v>2975</v>
      </c>
      <c r="B1935" t="s">
        <v>2387</v>
      </c>
      <c r="E1935" s="118" t="s">
        <v>2402</v>
      </c>
      <c r="H1935" s="206" t="str">
        <f t="shared" si="264"/>
        <v>(12.48) National list for essential drugs</v>
      </c>
      <c r="I1935" s="213" t="str">
        <f t="shared" si="263"/>
        <v>select_one seennot</v>
      </c>
      <c r="J1935" s="106" t="s">
        <v>4407</v>
      </c>
      <c r="K1935" s="116" t="s">
        <v>2443</v>
      </c>
      <c r="L1935" s="118" t="str">
        <f t="shared" si="261"/>
        <v>Sorry, question (12.48) is required!</v>
      </c>
    </row>
    <row r="1936" spans="1:24" ht="14.25" customHeight="1">
      <c r="A1936" t="s">
        <v>2975</v>
      </c>
      <c r="B1936" t="s">
        <v>2388</v>
      </c>
      <c r="E1936" s="118" t="s">
        <v>2403</v>
      </c>
      <c r="H1936" s="206" t="str">
        <f t="shared" si="264"/>
        <v>(12.49) National protocol for drug procurement</v>
      </c>
      <c r="I1936" s="213" t="str">
        <f t="shared" si="263"/>
        <v>select_one seennot</v>
      </c>
      <c r="J1936" s="106" t="s">
        <v>4407</v>
      </c>
      <c r="K1936" s="116" t="s">
        <v>2443</v>
      </c>
      <c r="L1936" s="118" t="str">
        <f t="shared" si="261"/>
        <v>Sorry, question (12.49) is required!</v>
      </c>
    </row>
    <row r="1937" spans="1:24" ht="14.25" customHeight="1">
      <c r="A1937" t="s">
        <v>2975</v>
      </c>
      <c r="B1937" t="s">
        <v>2389</v>
      </c>
      <c r="E1937" s="118" t="s">
        <v>2404</v>
      </c>
      <c r="H1937" s="206" t="str">
        <f t="shared" si="264"/>
        <v>(12.50) Detecting and reporting adverse drug or vaccine reaction</v>
      </c>
      <c r="I1937" s="213" t="str">
        <f t="shared" si="263"/>
        <v>select_one seennot</v>
      </c>
      <c r="J1937" s="106" t="s">
        <v>4407</v>
      </c>
      <c r="K1937" s="116" t="s">
        <v>2443</v>
      </c>
      <c r="L1937" s="118" t="str">
        <f t="shared" si="261"/>
        <v>Sorry, question (12.50) is required!</v>
      </c>
    </row>
    <row r="1938" spans="1:24" ht="14.25" customHeight="1">
      <c r="A1938" t="s">
        <v>956</v>
      </c>
      <c r="E1938" s="118" t="s">
        <v>1067</v>
      </c>
      <c r="X1938" t="s">
        <v>3032</v>
      </c>
    </row>
    <row r="1939" spans="1:24" ht="14.25" customHeight="1">
      <c r="A1939" t="s">
        <v>956</v>
      </c>
      <c r="E1939" s="118" t="s">
        <v>1067</v>
      </c>
      <c r="X1939" t="s">
        <v>2778</v>
      </c>
    </row>
    <row r="1940" spans="1:24" ht="14.25" customHeight="1">
      <c r="E1940" s="118" t="s">
        <v>1067</v>
      </c>
    </row>
    <row r="1941" spans="1:24" ht="14.25" customHeight="1">
      <c r="A1941" t="s">
        <v>12</v>
      </c>
      <c r="B1941" t="s">
        <v>1505</v>
      </c>
      <c r="E1941" s="118" t="s">
        <v>2781</v>
      </c>
      <c r="J1941" s="106" t="s">
        <v>2778</v>
      </c>
      <c r="O1941" s="110" t="s">
        <v>3582</v>
      </c>
      <c r="X1941" t="s">
        <v>2778</v>
      </c>
    </row>
    <row r="1942" spans="1:24" ht="14.25" customHeight="1">
      <c r="A1942" t="s">
        <v>12</v>
      </c>
      <c r="B1942" t="s">
        <v>3294</v>
      </c>
      <c r="J1942" s="106" t="s">
        <v>3526</v>
      </c>
      <c r="X1942" t="s">
        <v>3032</v>
      </c>
    </row>
    <row r="1943" spans="1:24" ht="14.25" customHeight="1">
      <c r="A1943" t="s">
        <v>17</v>
      </c>
      <c r="B1943" t="s">
        <v>1506</v>
      </c>
      <c r="E1943" s="118" t="s">
        <v>4225</v>
      </c>
      <c r="I1943" s="213" t="str">
        <f t="shared" si="263"/>
        <v>note</v>
      </c>
      <c r="J1943" s="106" t="s">
        <v>3528</v>
      </c>
    </row>
    <row r="1944" spans="1:24" ht="14.25" customHeight="1">
      <c r="A1944" t="s">
        <v>17</v>
      </c>
      <c r="B1944" t="s">
        <v>1507</v>
      </c>
      <c r="E1944" s="118" t="s">
        <v>4226</v>
      </c>
      <c r="I1944" s="213" t="str">
        <f t="shared" si="263"/>
        <v>note</v>
      </c>
      <c r="J1944" s="106" t="s">
        <v>3372</v>
      </c>
    </row>
    <row r="1945" spans="1:24" ht="14.25" customHeight="1">
      <c r="A1945" t="s">
        <v>956</v>
      </c>
      <c r="X1945" t="s">
        <v>3032</v>
      </c>
    </row>
    <row r="1946" spans="1:24" ht="14.25" customHeight="1">
      <c r="A1946" t="s">
        <v>12</v>
      </c>
      <c r="B1946" t="s">
        <v>3295</v>
      </c>
      <c r="X1946" t="s">
        <v>3032</v>
      </c>
    </row>
    <row r="1947" spans="1:24" ht="14.25" customHeight="1">
      <c r="A1947" t="s">
        <v>954</v>
      </c>
      <c r="B1947" t="s">
        <v>3296</v>
      </c>
      <c r="J1947" s="106" t="s">
        <v>3371</v>
      </c>
      <c r="X1947" t="s">
        <v>3033</v>
      </c>
    </row>
    <row r="1948" spans="1:24" ht="15">
      <c r="A1948" t="s">
        <v>17</v>
      </c>
      <c r="B1948" t="s">
        <v>3516</v>
      </c>
      <c r="E1948" s="118" t="s">
        <v>4227</v>
      </c>
      <c r="I1948" s="213" t="str">
        <f t="shared" si="263"/>
        <v>note</v>
      </c>
      <c r="J1948" s="106" t="s">
        <v>3528</v>
      </c>
    </row>
    <row r="1949" spans="1:24" ht="14.25" customHeight="1">
      <c r="A1949" t="s">
        <v>2983</v>
      </c>
      <c r="B1949" t="s">
        <v>1508</v>
      </c>
      <c r="E1949" s="118" t="s">
        <v>2984</v>
      </c>
      <c r="H1949" s="206" t="str">
        <f>E1949</f>
        <v>(13.01) Where is the outpatient equipment located?</v>
      </c>
      <c r="I1949" s="213" t="str">
        <f t="shared" si="263"/>
        <v>select_one equipment</v>
      </c>
      <c r="J1949" s="106" t="s">
        <v>3477</v>
      </c>
      <c r="K1949" s="116" t="s">
        <v>2443</v>
      </c>
      <c r="L1949" s="118" t="str">
        <f>IF(K1949="yes",("Sorry, question "&amp;LEFT($E$1949, 7)&amp;LEFT(C1949,1)&amp;" is required!"),"")</f>
        <v>Sorry, question (13.01) is required!</v>
      </c>
    </row>
    <row r="1950" spans="1:24" ht="14.25" customHeight="1">
      <c r="A1950" t="s">
        <v>16</v>
      </c>
      <c r="B1950" t="s">
        <v>2985</v>
      </c>
      <c r="E1950" s="118" t="s">
        <v>6788</v>
      </c>
      <c r="F1950" s="118" t="s">
        <v>35</v>
      </c>
      <c r="H1950" s="206" t="str">
        <f>E1950</f>
        <v>(13.01) Other, specify:</v>
      </c>
      <c r="I1950" s="213" t="str">
        <f t="shared" si="263"/>
        <v>text</v>
      </c>
      <c r="J1950" s="106" t="s">
        <v>3556</v>
      </c>
      <c r="K1950" s="116" t="s">
        <v>2443</v>
      </c>
      <c r="L1950" s="118" t="str">
        <f>IF(K1950="yes",("Sorry, question "&amp;LEFT($E$1950, 7)&amp;LEFT(C1950,1)&amp;" is required!"),"")</f>
        <v>Sorry, question (13.01) is required!</v>
      </c>
      <c r="O1950" s="110" t="s">
        <v>2606</v>
      </c>
    </row>
    <row r="1951" spans="1:24" ht="14.25" customHeight="1">
      <c r="A1951" t="s">
        <v>17</v>
      </c>
      <c r="B1951" t="s">
        <v>1509</v>
      </c>
      <c r="E1951" s="118" t="s">
        <v>3517</v>
      </c>
      <c r="F1951" s="130" t="s">
        <v>6640</v>
      </c>
      <c r="I1951" s="213" t="str">
        <f t="shared" si="263"/>
        <v>note</v>
      </c>
      <c r="J1951" s="106" t="s">
        <v>3478</v>
      </c>
    </row>
    <row r="1952" spans="1:24" ht="14.25" customHeight="1">
      <c r="A1952" t="s">
        <v>14</v>
      </c>
      <c r="B1952" t="s">
        <v>1202</v>
      </c>
      <c r="C1952" t="str">
        <f t="shared" ref="C1952:C1981" si="265">RIGHT(B1952,1)&amp;"."</f>
        <v>a.</v>
      </c>
      <c r="D1952" t="s">
        <v>1126</v>
      </c>
      <c r="E1952" s="118" t="str">
        <f t="shared" ref="E1952:E1981" si="266">C1952&amp;D1952</f>
        <v>a.Timer or clock with seconds hand</v>
      </c>
      <c r="F1952" s="118" t="s">
        <v>2715</v>
      </c>
      <c r="H1952" s="206" t="str">
        <f t="shared" ref="H1952:H1959" si="267">"(13.02) THE QUANTITY FOR - "&amp;E1952</f>
        <v>(13.02) THE QUANTITY FOR - a.Timer or clock with seconds hand</v>
      </c>
      <c r="I1952" s="213" t="str">
        <f t="shared" si="263"/>
        <v>integer</v>
      </c>
      <c r="J1952" s="106" t="s">
        <v>6641</v>
      </c>
      <c r="K1952" s="116" t="s">
        <v>2443</v>
      </c>
      <c r="L1952" s="118" t="str">
        <f t="shared" ref="L1952:L1981" si="268">IF(K1952="yes",("Sorry, question "&amp;LEFT($E$1951, 7)&amp;LEFT(C1952,1)&amp;" is required!"),"")</f>
        <v>Sorry, question (13.02)a is required!</v>
      </c>
      <c r="M1952" s="113" t="s">
        <v>6649</v>
      </c>
      <c r="N1952" t="str">
        <f t="shared" ref="N1952:N1959" si="269" xml:space="preserve"> "(13.02) "&amp; LEFT(E1952,2) &amp;" RANGE 0-500"</f>
        <v>(13.02) a. RANGE 0-500</v>
      </c>
    </row>
    <row r="1953" spans="1:24" ht="14.25" customHeight="1">
      <c r="A1953" t="s">
        <v>14</v>
      </c>
      <c r="B1953" t="s">
        <v>1212</v>
      </c>
      <c r="C1953" t="str">
        <f t="shared" si="265"/>
        <v>b.</v>
      </c>
      <c r="D1953" t="s">
        <v>3555</v>
      </c>
      <c r="E1953" s="118" t="str">
        <f t="shared" si="266"/>
        <v>b.Children’s (Salter) hanging scale</v>
      </c>
      <c r="F1953" s="118" t="s">
        <v>2715</v>
      </c>
      <c r="H1953" s="206" t="str">
        <f t="shared" si="267"/>
        <v>(13.02) THE QUANTITY FOR - b.Children’s (Salter) hanging scale</v>
      </c>
      <c r="I1953" s="213" t="str">
        <f t="shared" si="263"/>
        <v>integer</v>
      </c>
      <c r="J1953" s="106" t="s">
        <v>6642</v>
      </c>
      <c r="K1953" s="116" t="s">
        <v>2443</v>
      </c>
      <c r="L1953" s="118" t="str">
        <f t="shared" si="268"/>
        <v>Sorry, question (13.02)b is required!</v>
      </c>
      <c r="M1953" s="113" t="s">
        <v>6649</v>
      </c>
      <c r="N1953" t="str">
        <f t="shared" si="269"/>
        <v>(13.02) b. RANGE 0-500</v>
      </c>
    </row>
    <row r="1954" spans="1:24" ht="14.25" customHeight="1">
      <c r="A1954" t="s">
        <v>14</v>
      </c>
      <c r="B1954" t="s">
        <v>1213</v>
      </c>
      <c r="C1954" t="str">
        <f t="shared" si="265"/>
        <v>c.</v>
      </c>
      <c r="D1954" t="s">
        <v>3054</v>
      </c>
      <c r="E1954" s="118" t="str">
        <f t="shared" si="266"/>
        <v>c.Height measuring board</v>
      </c>
      <c r="F1954" s="118" t="s">
        <v>2715</v>
      </c>
      <c r="H1954" s="206" t="str">
        <f t="shared" si="267"/>
        <v>(13.02) THE QUANTITY FOR - c.Height measuring board</v>
      </c>
      <c r="I1954" s="213" t="str">
        <f t="shared" si="263"/>
        <v>integer</v>
      </c>
      <c r="J1954" s="106" t="s">
        <v>6643</v>
      </c>
      <c r="K1954" s="116" t="s">
        <v>2443</v>
      </c>
      <c r="L1954" s="118" t="str">
        <f t="shared" si="268"/>
        <v>Sorry, question (13.02)c is required!</v>
      </c>
      <c r="M1954" s="113" t="s">
        <v>6649</v>
      </c>
      <c r="N1954" t="str">
        <f t="shared" si="269"/>
        <v>(13.02) c. RANGE 0-500</v>
      </c>
    </row>
    <row r="1955" spans="1:24" ht="14.25" customHeight="1">
      <c r="A1955" t="s">
        <v>14</v>
      </c>
      <c r="B1955" t="s">
        <v>1214</v>
      </c>
      <c r="C1955" t="str">
        <f t="shared" si="265"/>
        <v>d.</v>
      </c>
      <c r="D1955" t="s">
        <v>1127</v>
      </c>
      <c r="E1955" s="118" t="str">
        <f t="shared" si="266"/>
        <v>d.Tape measure</v>
      </c>
      <c r="F1955" s="118" t="s">
        <v>2715</v>
      </c>
      <c r="H1955" s="206" t="str">
        <f t="shared" si="267"/>
        <v>(13.02) THE QUANTITY FOR - d.Tape measure</v>
      </c>
      <c r="I1955" s="213" t="str">
        <f t="shared" si="263"/>
        <v>integer</v>
      </c>
      <c r="J1955" s="106" t="s">
        <v>6644</v>
      </c>
      <c r="K1955" s="116" t="s">
        <v>2443</v>
      </c>
      <c r="L1955" s="118" t="str">
        <f t="shared" si="268"/>
        <v>Sorry, question (13.02)d is required!</v>
      </c>
      <c r="M1955" s="113" t="s">
        <v>6649</v>
      </c>
      <c r="N1955" t="str">
        <f t="shared" si="269"/>
        <v>(13.02) d. RANGE 0-500</v>
      </c>
    </row>
    <row r="1956" spans="1:24" ht="14.25" customHeight="1">
      <c r="A1956" t="s">
        <v>14</v>
      </c>
      <c r="B1956" t="s">
        <v>1215</v>
      </c>
      <c r="C1956" t="str">
        <f t="shared" si="265"/>
        <v>e.</v>
      </c>
      <c r="D1956" t="s">
        <v>1128</v>
      </c>
      <c r="E1956" s="118" t="str">
        <f t="shared" si="266"/>
        <v>e.Adult weighing scale</v>
      </c>
      <c r="F1956" s="118" t="s">
        <v>2715</v>
      </c>
      <c r="H1956" s="206" t="str">
        <f t="shared" si="267"/>
        <v>(13.02) THE QUANTITY FOR - e.Adult weighing scale</v>
      </c>
      <c r="I1956" s="213" t="str">
        <f t="shared" si="263"/>
        <v>integer</v>
      </c>
      <c r="J1956" s="106" t="s">
        <v>6645</v>
      </c>
      <c r="K1956" s="116" t="s">
        <v>2443</v>
      </c>
      <c r="L1956" s="118" t="str">
        <f t="shared" si="268"/>
        <v>Sorry, question (13.02)e is required!</v>
      </c>
      <c r="M1956" s="113" t="s">
        <v>6649</v>
      </c>
      <c r="N1956" t="str">
        <f t="shared" si="269"/>
        <v>(13.02) e. RANGE 0-500</v>
      </c>
    </row>
    <row r="1957" spans="1:24" ht="14.25" customHeight="1">
      <c r="A1957" t="s">
        <v>14</v>
      </c>
      <c r="B1957" t="s">
        <v>1216</v>
      </c>
      <c r="C1957" t="str">
        <f t="shared" si="265"/>
        <v>f.</v>
      </c>
      <c r="D1957" t="s">
        <v>1129</v>
      </c>
      <c r="E1957" s="118" t="str">
        <f t="shared" si="266"/>
        <v xml:space="preserve">f.Blood pressure instrument </v>
      </c>
      <c r="F1957" s="118" t="s">
        <v>2715</v>
      </c>
      <c r="H1957" s="206" t="str">
        <f t="shared" si="267"/>
        <v xml:space="preserve">(13.02) THE QUANTITY FOR - f.Blood pressure instrument </v>
      </c>
      <c r="I1957" s="213" t="str">
        <f t="shared" si="263"/>
        <v>integer</v>
      </c>
      <c r="J1957" s="106" t="s">
        <v>6646</v>
      </c>
      <c r="K1957" s="116" t="s">
        <v>2443</v>
      </c>
      <c r="L1957" s="118" t="str">
        <f t="shared" si="268"/>
        <v>Sorry, question (13.02)f is required!</v>
      </c>
      <c r="M1957" s="113" t="s">
        <v>6649</v>
      </c>
      <c r="N1957" t="str">
        <f t="shared" si="269"/>
        <v>(13.02) f. RANGE 0-500</v>
      </c>
    </row>
    <row r="1958" spans="1:24" ht="14.25" customHeight="1">
      <c r="A1958" t="s">
        <v>14</v>
      </c>
      <c r="B1958" t="s">
        <v>1217</v>
      </c>
      <c r="C1958" t="str">
        <f t="shared" si="265"/>
        <v>g.</v>
      </c>
      <c r="D1958" t="s">
        <v>1130</v>
      </c>
      <c r="E1958" s="118" t="str">
        <f t="shared" si="266"/>
        <v>g.Thermometer</v>
      </c>
      <c r="F1958" s="118" t="s">
        <v>2715</v>
      </c>
      <c r="H1958" s="206" t="str">
        <f t="shared" si="267"/>
        <v>(13.02) THE QUANTITY FOR - g.Thermometer</v>
      </c>
      <c r="I1958" s="213" t="str">
        <f t="shared" si="263"/>
        <v>integer</v>
      </c>
      <c r="J1958" s="106" t="s">
        <v>6647</v>
      </c>
      <c r="K1958" s="116" t="s">
        <v>2443</v>
      </c>
      <c r="L1958" s="118" t="str">
        <f t="shared" si="268"/>
        <v>Sorry, question (13.02)g is required!</v>
      </c>
      <c r="M1958" s="113" t="s">
        <v>6649</v>
      </c>
      <c r="N1958" t="str">
        <f t="shared" si="269"/>
        <v>(13.02) g. RANGE 0-500</v>
      </c>
    </row>
    <row r="1959" spans="1:24" ht="14.25" customHeight="1">
      <c r="A1959" t="s">
        <v>14</v>
      </c>
      <c r="B1959" t="s">
        <v>1218</v>
      </c>
      <c r="C1959" t="str">
        <f t="shared" si="265"/>
        <v>h.</v>
      </c>
      <c r="D1959" t="s">
        <v>1131</v>
      </c>
      <c r="E1959" s="118" t="str">
        <f t="shared" si="266"/>
        <v>h.Stethoscope</v>
      </c>
      <c r="F1959" s="118" t="s">
        <v>2715</v>
      </c>
      <c r="H1959" s="206" t="str">
        <f t="shared" si="267"/>
        <v>(13.02) THE QUANTITY FOR - h.Stethoscope</v>
      </c>
      <c r="I1959" s="213" t="str">
        <f t="shared" si="263"/>
        <v>integer</v>
      </c>
      <c r="J1959" s="106" t="s">
        <v>6648</v>
      </c>
      <c r="K1959" s="116" t="s">
        <v>2443</v>
      </c>
      <c r="L1959" s="118" t="str">
        <f t="shared" si="268"/>
        <v>Sorry, question (13.02)h is required!</v>
      </c>
      <c r="M1959" s="113" t="s">
        <v>6649</v>
      </c>
      <c r="N1959" t="str">
        <f t="shared" si="269"/>
        <v>(13.02) h. RANGE 0-500</v>
      </c>
    </row>
    <row r="1960" spans="1:24" ht="14.25" customHeight="1">
      <c r="A1960" t="s">
        <v>15</v>
      </c>
      <c r="E1960" s="118" t="str">
        <f t="shared" si="266"/>
        <v/>
      </c>
      <c r="L1960" s="118" t="str">
        <f t="shared" si="268"/>
        <v/>
      </c>
      <c r="X1960" t="s">
        <v>3033</v>
      </c>
    </row>
    <row r="1961" spans="1:24" ht="14.25" customHeight="1">
      <c r="A1961" t="s">
        <v>954</v>
      </c>
      <c r="B1961" t="s">
        <v>3297</v>
      </c>
      <c r="E1961" s="118" t="s">
        <v>5457</v>
      </c>
      <c r="J1961" s="106" t="s">
        <v>3371</v>
      </c>
      <c r="L1961" s="118" t="str">
        <f t="shared" si="268"/>
        <v/>
      </c>
      <c r="X1961" t="s">
        <v>3033</v>
      </c>
    </row>
    <row r="1962" spans="1:24" ht="14.25" customHeight="1">
      <c r="A1962" t="s">
        <v>17</v>
      </c>
      <c r="B1962" t="s">
        <v>2986</v>
      </c>
      <c r="D1962" t="s">
        <v>3517</v>
      </c>
      <c r="E1962" s="118" t="str">
        <f t="shared" si="266"/>
        <v xml:space="preserve">(13.02) PLEASE RECORD THE QUANTITY FOR EACH TYPE OF EQUIPMENT. </v>
      </c>
      <c r="F1962" s="130" t="s">
        <v>6640</v>
      </c>
      <c r="I1962" s="213" t="str">
        <f t="shared" si="263"/>
        <v>note</v>
      </c>
      <c r="J1962" s="106" t="s">
        <v>3370</v>
      </c>
      <c r="L1962" s="118" t="str">
        <f t="shared" si="268"/>
        <v/>
      </c>
    </row>
    <row r="1963" spans="1:24" ht="14.25" customHeight="1">
      <c r="A1963" t="s">
        <v>14</v>
      </c>
      <c r="B1963" t="s">
        <v>1219</v>
      </c>
      <c r="C1963" t="str">
        <f t="shared" si="265"/>
        <v>i.</v>
      </c>
      <c r="D1963" t="s">
        <v>1132</v>
      </c>
      <c r="E1963" s="118" t="str">
        <f t="shared" si="266"/>
        <v>i.Fetoscope</v>
      </c>
      <c r="F1963" s="118" t="s">
        <v>2715</v>
      </c>
      <c r="H1963" s="206" t="str">
        <f t="shared" ref="H1963:H1970" si="270">"(13.02) THE QUANTITY FOR - "&amp;E1963</f>
        <v>(13.02) THE QUANTITY FOR - i.Fetoscope</v>
      </c>
      <c r="I1963" s="213" t="str">
        <f t="shared" si="263"/>
        <v>integer</v>
      </c>
      <c r="J1963" s="106" t="s">
        <v>6650</v>
      </c>
      <c r="K1963" s="116" t="s">
        <v>2443</v>
      </c>
      <c r="L1963" s="118" t="str">
        <f t="shared" si="268"/>
        <v>Sorry, question (13.02)i is required!</v>
      </c>
      <c r="M1963" s="113" t="s">
        <v>6649</v>
      </c>
      <c r="N1963" t="str">
        <f t="shared" ref="N1963:N1970" si="271" xml:space="preserve"> "(13.02) "&amp; LEFT(E1963,2) &amp;" RANGE 0-500"</f>
        <v>(13.02) i. RANGE 0-500</v>
      </c>
    </row>
    <row r="1964" spans="1:24" ht="14.25" customHeight="1">
      <c r="A1964" t="s">
        <v>14</v>
      </c>
      <c r="B1964" t="s">
        <v>1220</v>
      </c>
      <c r="C1964" t="str">
        <f t="shared" si="265"/>
        <v>j.</v>
      </c>
      <c r="D1964" t="s">
        <v>1133</v>
      </c>
      <c r="E1964" s="118" t="str">
        <f t="shared" si="266"/>
        <v>j.Otoscope</v>
      </c>
      <c r="F1964" s="118" t="s">
        <v>2715</v>
      </c>
      <c r="H1964" s="206" t="str">
        <f t="shared" si="270"/>
        <v>(13.02) THE QUANTITY FOR - j.Otoscope</v>
      </c>
      <c r="I1964" s="213" t="str">
        <f t="shared" si="263"/>
        <v>integer</v>
      </c>
      <c r="J1964" s="106" t="s">
        <v>6651</v>
      </c>
      <c r="K1964" s="116" t="s">
        <v>2443</v>
      </c>
      <c r="L1964" s="118" t="str">
        <f t="shared" si="268"/>
        <v>Sorry, question (13.02)j is required!</v>
      </c>
      <c r="M1964" s="113" t="s">
        <v>6649</v>
      </c>
      <c r="N1964" t="str">
        <f t="shared" si="271"/>
        <v>(13.02) j. RANGE 0-500</v>
      </c>
    </row>
    <row r="1965" spans="1:24" ht="14.25" customHeight="1">
      <c r="A1965" t="s">
        <v>14</v>
      </c>
      <c r="B1965" t="s">
        <v>1221</v>
      </c>
      <c r="C1965" t="str">
        <f t="shared" si="265"/>
        <v>k.</v>
      </c>
      <c r="D1965" t="s">
        <v>1134</v>
      </c>
      <c r="E1965" s="118" t="str">
        <f t="shared" si="266"/>
        <v>k.Suction/aspirating device</v>
      </c>
      <c r="F1965" s="118" t="s">
        <v>2715</v>
      </c>
      <c r="H1965" s="206" t="str">
        <f t="shared" si="270"/>
        <v>(13.02) THE QUANTITY FOR - k.Suction/aspirating device</v>
      </c>
      <c r="I1965" s="213" t="str">
        <f t="shared" si="263"/>
        <v>integer</v>
      </c>
      <c r="J1965" s="106" t="s">
        <v>6652</v>
      </c>
      <c r="K1965" s="116" t="s">
        <v>2443</v>
      </c>
      <c r="L1965" s="118" t="str">
        <f t="shared" si="268"/>
        <v>Sorry, question (13.02)k is required!</v>
      </c>
      <c r="M1965" s="113" t="s">
        <v>6649</v>
      </c>
      <c r="N1965" t="str">
        <f t="shared" si="271"/>
        <v>(13.02) k. RANGE 0-500</v>
      </c>
    </row>
    <row r="1966" spans="1:24" ht="14.25" customHeight="1">
      <c r="A1966" t="s">
        <v>14</v>
      </c>
      <c r="B1966" t="s">
        <v>1222</v>
      </c>
      <c r="C1966" t="str">
        <f t="shared" si="265"/>
        <v>l.</v>
      </c>
      <c r="D1966" t="s">
        <v>1135</v>
      </c>
      <c r="E1966" s="118" t="str">
        <f t="shared" si="266"/>
        <v>l.Vision chart</v>
      </c>
      <c r="F1966" s="118" t="s">
        <v>2715</v>
      </c>
      <c r="H1966" s="206" t="str">
        <f t="shared" si="270"/>
        <v>(13.02) THE QUANTITY FOR - l.Vision chart</v>
      </c>
      <c r="I1966" s="213" t="str">
        <f t="shared" si="263"/>
        <v>integer</v>
      </c>
      <c r="J1966" s="106" t="s">
        <v>6653</v>
      </c>
      <c r="K1966" s="116" t="s">
        <v>2443</v>
      </c>
      <c r="L1966" s="118" t="str">
        <f t="shared" si="268"/>
        <v>Sorry, question (13.02)l is required!</v>
      </c>
      <c r="M1966" s="113" t="s">
        <v>6649</v>
      </c>
      <c r="N1966" t="str">
        <f t="shared" si="271"/>
        <v>(13.02) l. RANGE 0-500</v>
      </c>
    </row>
    <row r="1967" spans="1:24" ht="14.25" customHeight="1">
      <c r="A1967" t="s">
        <v>14</v>
      </c>
      <c r="B1967" t="s">
        <v>1223</v>
      </c>
      <c r="C1967" t="str">
        <f t="shared" si="265"/>
        <v>m.</v>
      </c>
      <c r="D1967" t="s">
        <v>1136</v>
      </c>
      <c r="E1967" s="118" t="str">
        <f t="shared" si="266"/>
        <v>m.Oxygen tank</v>
      </c>
      <c r="F1967" s="118" t="s">
        <v>2715</v>
      </c>
      <c r="H1967" s="206" t="str">
        <f t="shared" si="270"/>
        <v>(13.02) THE QUANTITY FOR - m.Oxygen tank</v>
      </c>
      <c r="I1967" s="213" t="str">
        <f t="shared" si="263"/>
        <v>integer</v>
      </c>
      <c r="J1967" s="106" t="s">
        <v>6654</v>
      </c>
      <c r="K1967" s="116" t="s">
        <v>2443</v>
      </c>
      <c r="L1967" s="118" t="str">
        <f t="shared" si="268"/>
        <v>Sorry, question (13.02)m is required!</v>
      </c>
      <c r="M1967" s="113" t="s">
        <v>6649</v>
      </c>
      <c r="N1967" t="str">
        <f t="shared" si="271"/>
        <v>(13.02) m. RANGE 0-500</v>
      </c>
    </row>
    <row r="1968" spans="1:24" ht="14.25" customHeight="1">
      <c r="A1968" t="s">
        <v>14</v>
      </c>
      <c r="B1968" t="s">
        <v>1201</v>
      </c>
      <c r="C1968" t="str">
        <f t="shared" si="265"/>
        <v>n.</v>
      </c>
      <c r="D1968" t="s">
        <v>1137</v>
      </c>
      <c r="E1968" s="118" t="str">
        <f t="shared" si="266"/>
        <v>n.Bag Valve Mask (Ambu bag)</v>
      </c>
      <c r="F1968" s="118" t="s">
        <v>2715</v>
      </c>
      <c r="H1968" s="206" t="str">
        <f t="shared" si="270"/>
        <v>(13.02) THE QUANTITY FOR - n.Bag Valve Mask (Ambu bag)</v>
      </c>
      <c r="I1968" s="213" t="str">
        <f t="shared" si="263"/>
        <v>integer</v>
      </c>
      <c r="J1968" s="106" t="s">
        <v>6655</v>
      </c>
      <c r="K1968" s="116" t="s">
        <v>2443</v>
      </c>
      <c r="L1968" s="118" t="str">
        <f t="shared" si="268"/>
        <v>Sorry, question (13.02)n is required!</v>
      </c>
      <c r="M1968" s="113" t="s">
        <v>6649</v>
      </c>
      <c r="N1968" t="str">
        <f t="shared" si="271"/>
        <v>(13.02) n. RANGE 0-500</v>
      </c>
    </row>
    <row r="1969" spans="1:24" ht="14.25" customHeight="1">
      <c r="A1969" t="s">
        <v>14</v>
      </c>
      <c r="B1969" t="s">
        <v>1224</v>
      </c>
      <c r="C1969" t="str">
        <f t="shared" si="265"/>
        <v>o.</v>
      </c>
      <c r="D1969" t="s">
        <v>1138</v>
      </c>
      <c r="E1969" s="118" t="str">
        <f t="shared" si="266"/>
        <v>o.Incubator</v>
      </c>
      <c r="F1969" s="118" t="s">
        <v>2715</v>
      </c>
      <c r="H1969" s="206" t="str">
        <f t="shared" si="270"/>
        <v>(13.02) THE QUANTITY FOR - o.Incubator</v>
      </c>
      <c r="I1969" s="213" t="str">
        <f t="shared" si="263"/>
        <v>integer</v>
      </c>
      <c r="J1969" s="106" t="s">
        <v>6641</v>
      </c>
      <c r="K1969" s="116" t="s">
        <v>2443</v>
      </c>
      <c r="L1969" s="118" t="str">
        <f t="shared" si="268"/>
        <v>Sorry, question (13.02)o is required!</v>
      </c>
      <c r="M1969" s="113" t="s">
        <v>6649</v>
      </c>
      <c r="N1969" t="str">
        <f t="shared" si="271"/>
        <v>(13.02) o. RANGE 0-500</v>
      </c>
    </row>
    <row r="1970" spans="1:24" ht="14.25" customHeight="1">
      <c r="A1970" t="s">
        <v>14</v>
      </c>
      <c r="B1970" t="s">
        <v>1225</v>
      </c>
      <c r="C1970" t="str">
        <f t="shared" si="265"/>
        <v>p.</v>
      </c>
      <c r="D1970" t="s">
        <v>1139</v>
      </c>
      <c r="E1970" s="118" t="str">
        <f t="shared" si="266"/>
        <v xml:space="preserve">p.Drip Stand </v>
      </c>
      <c r="F1970" s="118" t="s">
        <v>2715</v>
      </c>
      <c r="H1970" s="206" t="str">
        <f t="shared" si="270"/>
        <v xml:space="preserve">(13.02) THE QUANTITY FOR - p.Drip Stand </v>
      </c>
      <c r="I1970" s="213" t="str">
        <f t="shared" si="263"/>
        <v>integer</v>
      </c>
      <c r="J1970" s="106" t="s">
        <v>6656</v>
      </c>
      <c r="K1970" s="116" t="s">
        <v>2443</v>
      </c>
      <c r="L1970" s="118" t="str">
        <f t="shared" si="268"/>
        <v>Sorry, question (13.02)p is required!</v>
      </c>
      <c r="M1970" s="113" t="s">
        <v>6649</v>
      </c>
      <c r="N1970" t="str">
        <f t="shared" si="271"/>
        <v>(13.02) p. RANGE 0-500</v>
      </c>
    </row>
    <row r="1971" spans="1:24" ht="14.25" customHeight="1">
      <c r="A1971" t="s">
        <v>15</v>
      </c>
      <c r="C1971" t="str">
        <f t="shared" si="265"/>
        <v>.</v>
      </c>
      <c r="E1971" s="118" t="str">
        <f t="shared" si="266"/>
        <v>.</v>
      </c>
      <c r="L1971" s="118" t="str">
        <f t="shared" si="268"/>
        <v/>
      </c>
      <c r="X1971" t="s">
        <v>3033</v>
      </c>
    </row>
    <row r="1972" spans="1:24" ht="14.25" customHeight="1">
      <c r="A1972" t="s">
        <v>954</v>
      </c>
      <c r="B1972" t="s">
        <v>3298</v>
      </c>
      <c r="E1972" s="118" t="s">
        <v>5457</v>
      </c>
      <c r="J1972" s="106" t="s">
        <v>3371</v>
      </c>
      <c r="L1972" s="118" t="str">
        <f t="shared" si="268"/>
        <v/>
      </c>
      <c r="X1972" t="s">
        <v>3033</v>
      </c>
    </row>
    <row r="1973" spans="1:24" ht="14.25" customHeight="1">
      <c r="A1973" t="s">
        <v>17</v>
      </c>
      <c r="B1973" t="s">
        <v>2987</v>
      </c>
      <c r="D1973" t="s">
        <v>3517</v>
      </c>
      <c r="E1973" s="118" t="str">
        <f t="shared" si="266"/>
        <v xml:space="preserve">(13.02) PLEASE RECORD THE QUANTITY FOR EACH TYPE OF EQUIPMENT. </v>
      </c>
      <c r="F1973" s="130" t="s">
        <v>6640</v>
      </c>
      <c r="I1973" s="213" t="str">
        <f t="shared" si="263"/>
        <v>note</v>
      </c>
      <c r="J1973" s="106" t="s">
        <v>6790</v>
      </c>
      <c r="L1973" s="118" t="str">
        <f t="shared" si="268"/>
        <v/>
      </c>
    </row>
    <row r="1974" spans="1:24" ht="14.25" customHeight="1">
      <c r="A1974" t="s">
        <v>14</v>
      </c>
      <c r="B1974" t="s">
        <v>1226</v>
      </c>
      <c r="C1974" t="str">
        <f t="shared" si="265"/>
        <v>q.</v>
      </c>
      <c r="D1974" t="s">
        <v>1140</v>
      </c>
      <c r="E1974" s="118" t="str">
        <f t="shared" si="266"/>
        <v>q.Flashlight</v>
      </c>
      <c r="F1974" s="118" t="s">
        <v>2715</v>
      </c>
      <c r="H1974" s="206" t="str">
        <f t="shared" ref="H1974:H1981" si="272">"(13.02) THE QUANTITY FOR - "&amp;E1974</f>
        <v>(13.02) THE QUANTITY FOR - q.Flashlight</v>
      </c>
      <c r="I1974" s="213" t="str">
        <f t="shared" si="263"/>
        <v>integer</v>
      </c>
      <c r="J1974" s="106" t="s">
        <v>6791</v>
      </c>
      <c r="K1974" s="116" t="s">
        <v>2443</v>
      </c>
      <c r="L1974" s="118" t="str">
        <f t="shared" si="268"/>
        <v>Sorry, question (13.02)q is required!</v>
      </c>
      <c r="M1974" s="113" t="s">
        <v>6649</v>
      </c>
      <c r="N1974" t="str">
        <f t="shared" ref="N1974:N1981" si="273" xml:space="preserve"> "(13.02) "&amp; LEFT(E1974,2) &amp;" RANGE 0-500"</f>
        <v>(13.02) q. RANGE 0-500</v>
      </c>
    </row>
    <row r="1975" spans="1:24" ht="14.25" customHeight="1">
      <c r="A1975" t="s">
        <v>14</v>
      </c>
      <c r="B1975" t="s">
        <v>1227</v>
      </c>
      <c r="C1975" t="str">
        <f t="shared" si="265"/>
        <v>r.</v>
      </c>
      <c r="D1975" t="s">
        <v>1141</v>
      </c>
      <c r="E1975" s="118" t="str">
        <f t="shared" si="266"/>
        <v>r.Stretcher</v>
      </c>
      <c r="F1975" s="118" t="s">
        <v>2715</v>
      </c>
      <c r="H1975" s="206" t="str">
        <f t="shared" si="272"/>
        <v>(13.02) THE QUANTITY FOR - r.Stretcher</v>
      </c>
      <c r="I1975" s="213" t="str">
        <f t="shared" si="263"/>
        <v>integer</v>
      </c>
      <c r="J1975" s="106" t="s">
        <v>6792</v>
      </c>
      <c r="K1975" s="116" t="s">
        <v>2443</v>
      </c>
      <c r="L1975" s="118" t="str">
        <f t="shared" si="268"/>
        <v>Sorry, question (13.02)r is required!</v>
      </c>
      <c r="M1975" s="113" t="s">
        <v>6649</v>
      </c>
      <c r="N1975" t="str">
        <f t="shared" si="273"/>
        <v>(13.02) r. RANGE 0-500</v>
      </c>
    </row>
    <row r="1976" spans="1:24" ht="14.25" customHeight="1">
      <c r="A1976" t="s">
        <v>14</v>
      </c>
      <c r="B1976" t="s">
        <v>1228</v>
      </c>
      <c r="C1976" t="str">
        <f t="shared" si="265"/>
        <v>s.</v>
      </c>
      <c r="D1976" t="s">
        <v>1142</v>
      </c>
      <c r="E1976" s="118" t="str">
        <f t="shared" si="266"/>
        <v>s.Wheel chair</v>
      </c>
      <c r="F1976" s="118" t="s">
        <v>2715</v>
      </c>
      <c r="H1976" s="206" t="str">
        <f t="shared" si="272"/>
        <v>(13.02) THE QUANTITY FOR - s.Wheel chair</v>
      </c>
      <c r="I1976" s="213" t="str">
        <f t="shared" si="263"/>
        <v>integer</v>
      </c>
      <c r="J1976" s="106" t="s">
        <v>6793</v>
      </c>
      <c r="K1976" s="116" t="s">
        <v>2443</v>
      </c>
      <c r="L1976" s="118" t="str">
        <f t="shared" si="268"/>
        <v>Sorry, question (13.02)s is required!</v>
      </c>
      <c r="M1976" s="113" t="s">
        <v>6649</v>
      </c>
      <c r="N1976" t="str">
        <f t="shared" si="273"/>
        <v>(13.02) s. RANGE 0-500</v>
      </c>
    </row>
    <row r="1977" spans="1:24" ht="14.25" customHeight="1">
      <c r="A1977" t="s">
        <v>14</v>
      </c>
      <c r="B1977" t="s">
        <v>1229</v>
      </c>
      <c r="C1977" t="str">
        <f t="shared" si="265"/>
        <v>t.</v>
      </c>
      <c r="D1977" t="s">
        <v>1143</v>
      </c>
      <c r="E1977" s="118" t="str">
        <f t="shared" si="266"/>
        <v xml:space="preserve">t.Minor surgical instruments for procedures like incision &amp; drainage and suturing (forceps, scalpel) </v>
      </c>
      <c r="F1977" s="118" t="s">
        <v>2715</v>
      </c>
      <c r="H1977" s="206" t="str">
        <f t="shared" si="272"/>
        <v xml:space="preserve">(13.02) THE QUANTITY FOR - t.Minor surgical instruments for procedures like incision &amp; drainage and suturing (forceps, scalpel) </v>
      </c>
      <c r="I1977" s="213" t="str">
        <f t="shared" si="263"/>
        <v>integer</v>
      </c>
      <c r="J1977" s="106" t="s">
        <v>6794</v>
      </c>
      <c r="K1977" s="116" t="s">
        <v>2443</v>
      </c>
      <c r="L1977" s="118" t="str">
        <f t="shared" si="268"/>
        <v>Sorry, question (13.02)t is required!</v>
      </c>
      <c r="M1977" s="113" t="s">
        <v>6649</v>
      </c>
      <c r="N1977" t="str">
        <f t="shared" si="273"/>
        <v>(13.02) t. RANGE 0-500</v>
      </c>
    </row>
    <row r="1978" spans="1:24" ht="14.25" customHeight="1">
      <c r="A1978" t="s">
        <v>14</v>
      </c>
      <c r="B1978" t="s">
        <v>1230</v>
      </c>
      <c r="C1978" t="str">
        <f t="shared" si="265"/>
        <v>u.</v>
      </c>
      <c r="D1978" t="s">
        <v>3573</v>
      </c>
      <c r="E1978" s="118" t="str">
        <f t="shared" si="266"/>
        <v>u.Oral Rehydration Therapy (ORT) equipment (1 liter container, cups and spoons and rehydration guidelines)</v>
      </c>
      <c r="F1978" s="118" t="s">
        <v>2715</v>
      </c>
      <c r="H1978" s="206" t="str">
        <f t="shared" si="272"/>
        <v>(13.02) THE QUANTITY FOR - u.Oral Rehydration Therapy (ORT) equipment (1 liter container, cups and spoons and rehydration guidelines)</v>
      </c>
      <c r="I1978" s="213" t="str">
        <f t="shared" si="263"/>
        <v>integer</v>
      </c>
      <c r="J1978" s="106" t="s">
        <v>6795</v>
      </c>
      <c r="K1978" s="116" t="s">
        <v>2443</v>
      </c>
      <c r="L1978" s="118" t="str">
        <f t="shared" si="268"/>
        <v>Sorry, question (13.02)u is required!</v>
      </c>
      <c r="M1978" s="113" t="s">
        <v>6649</v>
      </c>
      <c r="N1978" t="str">
        <f t="shared" si="273"/>
        <v>(13.02) u. RANGE 0-500</v>
      </c>
    </row>
    <row r="1979" spans="1:24" ht="14.25" customHeight="1">
      <c r="A1979" t="s">
        <v>14</v>
      </c>
      <c r="B1979" t="s">
        <v>1231</v>
      </c>
      <c r="C1979" t="str">
        <f t="shared" si="265"/>
        <v>v.</v>
      </c>
      <c r="D1979" t="s">
        <v>1144</v>
      </c>
      <c r="E1979" s="118" t="str">
        <f t="shared" si="266"/>
        <v>v.Urinary Catheter</v>
      </c>
      <c r="F1979" s="118" t="s">
        <v>2715</v>
      </c>
      <c r="H1979" s="206" t="str">
        <f t="shared" si="272"/>
        <v>(13.02) THE QUANTITY FOR - v.Urinary Catheter</v>
      </c>
      <c r="I1979" s="213" t="str">
        <f t="shared" si="263"/>
        <v>integer</v>
      </c>
      <c r="J1979" s="106" t="s">
        <v>6796</v>
      </c>
      <c r="K1979" s="116" t="s">
        <v>2443</v>
      </c>
      <c r="L1979" s="118" t="str">
        <f t="shared" si="268"/>
        <v>Sorry, question (13.02)v is required!</v>
      </c>
      <c r="M1979" s="113" t="s">
        <v>6649</v>
      </c>
      <c r="N1979" t="str">
        <f t="shared" si="273"/>
        <v>(13.02) v. RANGE 0-500</v>
      </c>
    </row>
    <row r="1980" spans="1:24" ht="14.25" customHeight="1">
      <c r="A1980" t="s">
        <v>14</v>
      </c>
      <c r="B1980" t="s">
        <v>1232</v>
      </c>
      <c r="C1980" t="str">
        <f t="shared" si="265"/>
        <v>w.</v>
      </c>
      <c r="D1980" t="s">
        <v>1145</v>
      </c>
      <c r="E1980" s="118" t="str">
        <f t="shared" si="266"/>
        <v>w.Examination table/bed</v>
      </c>
      <c r="F1980" s="118" t="s">
        <v>2715</v>
      </c>
      <c r="H1980" s="206" t="str">
        <f t="shared" si="272"/>
        <v>(13.02) THE QUANTITY FOR - w.Examination table/bed</v>
      </c>
      <c r="I1980" s="213" t="str">
        <f t="shared" si="263"/>
        <v>integer</v>
      </c>
      <c r="J1980" s="106" t="s">
        <v>6797</v>
      </c>
      <c r="K1980" s="116" t="s">
        <v>2443</v>
      </c>
      <c r="L1980" s="118" t="str">
        <f t="shared" si="268"/>
        <v>Sorry, question (13.02)w is required!</v>
      </c>
      <c r="M1980" s="113" t="s">
        <v>6649</v>
      </c>
      <c r="N1980" t="str">
        <f t="shared" si="273"/>
        <v>(13.02) w. RANGE 0-500</v>
      </c>
    </row>
    <row r="1981" spans="1:24" ht="14.25" customHeight="1">
      <c r="A1981" t="s">
        <v>14</v>
      </c>
      <c r="B1981" t="s">
        <v>1233</v>
      </c>
      <c r="C1981" t="str">
        <f t="shared" si="265"/>
        <v>x.</v>
      </c>
      <c r="D1981" t="s">
        <v>1146</v>
      </c>
      <c r="E1981" s="118" t="str">
        <f t="shared" si="266"/>
        <v>x.Antiseptic liquid</v>
      </c>
      <c r="F1981" s="118" t="s">
        <v>2715</v>
      </c>
      <c r="H1981" s="206" t="str">
        <f t="shared" si="272"/>
        <v>(13.02) THE QUANTITY FOR - x.Antiseptic liquid</v>
      </c>
      <c r="I1981" s="213" t="str">
        <f t="shared" si="263"/>
        <v>integer</v>
      </c>
      <c r="J1981" s="106" t="s">
        <v>6798</v>
      </c>
      <c r="K1981" s="116" t="s">
        <v>2443</v>
      </c>
      <c r="L1981" s="118" t="str">
        <f t="shared" si="268"/>
        <v>Sorry, question (13.02)x is required!</v>
      </c>
      <c r="M1981" s="113" t="s">
        <v>6649</v>
      </c>
      <c r="N1981" t="str">
        <f t="shared" si="273"/>
        <v>(13.02) x. RANGE 0-500</v>
      </c>
    </row>
    <row r="1982" spans="1:24" ht="14.25" customHeight="1">
      <c r="A1982" t="s">
        <v>15</v>
      </c>
      <c r="X1982" t="s">
        <v>3033</v>
      </c>
    </row>
    <row r="1983" spans="1:24" ht="14.25" customHeight="1">
      <c r="A1983" t="s">
        <v>15</v>
      </c>
      <c r="X1983" t="s">
        <v>3032</v>
      </c>
    </row>
    <row r="1984" spans="1:24" ht="14.25" customHeight="1">
      <c r="A1984" t="s">
        <v>954</v>
      </c>
      <c r="B1984" t="s">
        <v>3299</v>
      </c>
      <c r="J1984" s="106" t="s">
        <v>3526</v>
      </c>
      <c r="X1984" t="s">
        <v>3032</v>
      </c>
    </row>
    <row r="1985" spans="1:24" ht="14.25" customHeight="1">
      <c r="A1985" t="s">
        <v>17</v>
      </c>
      <c r="B1985" t="s">
        <v>1510</v>
      </c>
      <c r="E1985" s="118" t="s">
        <v>4228</v>
      </c>
      <c r="I1985" s="213" t="str">
        <f t="shared" ref="I1985:I2046" si="274">A1985</f>
        <v>note</v>
      </c>
      <c r="J1985" s="106" t="s">
        <v>3528</v>
      </c>
    </row>
    <row r="1986" spans="1:24" ht="14.25" customHeight="1">
      <c r="A1986" t="s">
        <v>2988</v>
      </c>
      <c r="B1986" t="s">
        <v>1511</v>
      </c>
      <c r="E1986" s="118" t="s">
        <v>1996</v>
      </c>
      <c r="H1986" s="206" t="str">
        <f>E1986</f>
        <v>(13.03) Where is the sterilization equipment located?</v>
      </c>
      <c r="I1986" s="213" t="str">
        <f t="shared" si="274"/>
        <v>select_one ste</v>
      </c>
      <c r="J1986" s="106" t="s">
        <v>3372</v>
      </c>
      <c r="K1986" s="116" t="s">
        <v>2443</v>
      </c>
      <c r="L1986" s="118" t="str">
        <f>"Sorry, question "&amp;LEFT(E1986, 7)&amp;" is required!"</f>
        <v>Sorry, question (13.03) is required!</v>
      </c>
    </row>
    <row r="1987" spans="1:24" ht="14.25" customHeight="1">
      <c r="A1987" t="s">
        <v>16</v>
      </c>
      <c r="B1987" t="s">
        <v>2607</v>
      </c>
      <c r="E1987" s="118" t="s">
        <v>6789</v>
      </c>
      <c r="F1987" s="118" t="s">
        <v>35</v>
      </c>
      <c r="H1987" s="206" t="str">
        <f>E1987</f>
        <v>(13.03) Other, specify:</v>
      </c>
      <c r="I1987" s="213" t="str">
        <f t="shared" si="274"/>
        <v>text</v>
      </c>
      <c r="J1987" s="106" t="s">
        <v>3532</v>
      </c>
      <c r="K1987" s="116" t="s">
        <v>2443</v>
      </c>
      <c r="L1987" s="118" t="str">
        <f>"Sorry, question "&amp;LEFT(E1987, 13)&amp;" is required!"</f>
        <v>Sorry, question (13.03) Other is required!</v>
      </c>
      <c r="O1987" s="110" t="s">
        <v>2608</v>
      </c>
    </row>
    <row r="1988" spans="1:24" ht="14.25" customHeight="1">
      <c r="A1988" t="s">
        <v>17</v>
      </c>
      <c r="B1988" t="s">
        <v>1512</v>
      </c>
      <c r="E1988" s="118" t="s">
        <v>3518</v>
      </c>
      <c r="F1988" s="130" t="s">
        <v>6660</v>
      </c>
      <c r="I1988" s="213" t="str">
        <f t="shared" si="274"/>
        <v>note</v>
      </c>
      <c r="J1988" s="106" t="s">
        <v>3374</v>
      </c>
    </row>
    <row r="1989" spans="1:24" ht="14.25" customHeight="1">
      <c r="A1989" t="s">
        <v>14</v>
      </c>
      <c r="B1989" t="s">
        <v>1258</v>
      </c>
      <c r="C1989" t="str">
        <f t="shared" ref="C1989:C1991" si="275">RIGHT(B1989,1)&amp;"."</f>
        <v>a.</v>
      </c>
      <c r="D1989" t="s">
        <v>1147</v>
      </c>
      <c r="E1989" s="118" t="str">
        <f>C1989&amp;D1989</f>
        <v>a.Electric autoclave (pressure and wet heat)</v>
      </c>
      <c r="H1989" s="206" t="str">
        <f>"(13.04) THE QUANTITY FOR - "&amp;E1989</f>
        <v>(13.04) THE QUANTITY FOR - a.Electric autoclave (pressure and wet heat)</v>
      </c>
      <c r="I1989" s="213" t="str">
        <f t="shared" si="274"/>
        <v>integer</v>
      </c>
      <c r="J1989" s="106" t="s">
        <v>6799</v>
      </c>
      <c r="K1989" s="116" t="s">
        <v>2443</v>
      </c>
      <c r="L1989" s="118" t="str">
        <f>IF(K1989="yes",("Sorry, question "&amp;LEFT($E$1988, 7)&amp;LEFT(C1989,1)&amp;" is required!"),"")</f>
        <v>Sorry, question (13.04)a is required!</v>
      </c>
      <c r="M1989" s="113" t="s">
        <v>6657</v>
      </c>
      <c r="N1989" s="107" t="str">
        <f xml:space="preserve"> "(13.04) "&amp; LEFT(E1989,2) &amp;" MAXIMUM 20"</f>
        <v>(13.04) a. MAXIMUM 20</v>
      </c>
    </row>
    <row r="1990" spans="1:24" ht="14.25" customHeight="1">
      <c r="A1990" t="s">
        <v>14</v>
      </c>
      <c r="B1990" t="s">
        <v>2361</v>
      </c>
      <c r="C1990" t="str">
        <f t="shared" si="275"/>
        <v>b.</v>
      </c>
      <c r="D1990" t="s">
        <v>1148</v>
      </c>
      <c r="E1990" s="118" t="str">
        <f>C1990&amp;D1990</f>
        <v>b.Automatic timer (MAY BE ON EQUIPMENT)</v>
      </c>
      <c r="H1990" s="206" t="str">
        <f t="shared" ref="H1990:H1991" si="276">"(13.04) THE QUANTITY FOR - "&amp;E1990</f>
        <v>(13.04) THE QUANTITY FOR - b.Automatic timer (MAY BE ON EQUIPMENT)</v>
      </c>
      <c r="I1990" s="213" t="str">
        <f t="shared" si="274"/>
        <v>integer</v>
      </c>
      <c r="J1990" s="106" t="s">
        <v>6800</v>
      </c>
      <c r="K1990" s="116" t="s">
        <v>2443</v>
      </c>
      <c r="L1990" s="118" t="str">
        <f>IF(K1990="yes",("Sorry, question "&amp;LEFT($E$1988, 7)&amp;LEFT(C1990,1)&amp;" is required!"),"")</f>
        <v>Sorry, question (13.04)b is required!</v>
      </c>
      <c r="M1990" s="113" t="s">
        <v>6657</v>
      </c>
      <c r="N1990" s="107" t="str">
        <f xml:space="preserve"> "(13.04) "&amp; LEFT(E1990,2) &amp;" MAXIMUM 20"</f>
        <v>(13.04) b. MAXIMUM 20</v>
      </c>
    </row>
    <row r="1991" spans="1:24" ht="14.25" customHeight="1">
      <c r="A1991" t="s">
        <v>14</v>
      </c>
      <c r="B1991" t="s">
        <v>2989</v>
      </c>
      <c r="C1991" t="str">
        <f t="shared" si="275"/>
        <v>c.</v>
      </c>
      <c r="D1991" t="s">
        <v>1149</v>
      </c>
      <c r="E1991" s="118" t="str">
        <f>C1991&amp;D1991</f>
        <v>c.Time, Steam and Temperature (TST) Indicator strips or other sterilization indicators</v>
      </c>
      <c r="H1991" s="206" t="str">
        <f t="shared" si="276"/>
        <v>(13.04) THE QUANTITY FOR - c.Time, Steam and Temperature (TST) Indicator strips or other sterilization indicators</v>
      </c>
      <c r="I1991" s="213" t="str">
        <f t="shared" si="274"/>
        <v>integer</v>
      </c>
      <c r="J1991" s="106" t="s">
        <v>6801</v>
      </c>
      <c r="K1991" s="116" t="s">
        <v>2443</v>
      </c>
      <c r="L1991" s="118" t="str">
        <f>IF(K1991="yes",("Sorry, question "&amp;LEFT($E$1988, 7)&amp;LEFT(C1991,1)&amp;" is required!"),"")</f>
        <v>Sorry, question (13.04)c is required!</v>
      </c>
      <c r="M1991" s="113" t="s">
        <v>6657</v>
      </c>
      <c r="N1991" s="107" t="str">
        <f xml:space="preserve"> "(13.04) "&amp; LEFT(E1991,2) &amp;" MAXIMUM 20"</f>
        <v>(13.04) c. MAXIMUM 20</v>
      </c>
    </row>
    <row r="1992" spans="1:24" ht="14.25" customHeight="1">
      <c r="A1992" t="s">
        <v>15</v>
      </c>
      <c r="X1992" t="s">
        <v>3032</v>
      </c>
    </row>
    <row r="1993" spans="1:24" ht="14.25" customHeight="1">
      <c r="A1993" t="s">
        <v>12</v>
      </c>
      <c r="B1993" t="s">
        <v>3300</v>
      </c>
      <c r="J1993" s="106" t="s">
        <v>3371</v>
      </c>
      <c r="X1993" t="s">
        <v>3032</v>
      </c>
    </row>
    <row r="1994" spans="1:24" ht="14.25" customHeight="1">
      <c r="A1994" t="s">
        <v>17</v>
      </c>
      <c r="B1994" t="s">
        <v>1513</v>
      </c>
      <c r="E1994" s="118" t="s">
        <v>4229</v>
      </c>
      <c r="I1994" s="213" t="str">
        <f t="shared" si="274"/>
        <v>note</v>
      </c>
      <c r="J1994" s="106" t="s">
        <v>3501</v>
      </c>
    </row>
    <row r="1995" spans="1:24" ht="14.25" customHeight="1">
      <c r="A1995" t="s">
        <v>2990</v>
      </c>
      <c r="B1995" t="s">
        <v>1203</v>
      </c>
      <c r="E1995" s="118" t="s">
        <v>3519</v>
      </c>
      <c r="F1995" s="132" t="s">
        <v>4308</v>
      </c>
      <c r="H1995" s="206" t="str">
        <f>E1995</f>
        <v xml:space="preserve">(13.05) Where is the vaccination equipment located? </v>
      </c>
      <c r="I1995" s="213" t="str">
        <f t="shared" si="274"/>
        <v>select_one vac</v>
      </c>
      <c r="J1995" s="106" t="s">
        <v>3477</v>
      </c>
      <c r="K1995" s="116" t="s">
        <v>2443</v>
      </c>
      <c r="L1995" s="118" t="str">
        <f>"Sorry, question "&amp;LEFT(E1995, 7)&amp;" is required!"</f>
        <v>Sorry, question (13.05) is required!</v>
      </c>
    </row>
    <row r="1996" spans="1:24" ht="14.25" customHeight="1">
      <c r="A1996" t="s">
        <v>1288</v>
      </c>
      <c r="B1996" t="s">
        <v>2991</v>
      </c>
      <c r="E1996" s="118" t="s">
        <v>6802</v>
      </c>
      <c r="F1996" s="118" t="s">
        <v>2109</v>
      </c>
      <c r="H1996" s="206" t="str">
        <f>E1996</f>
        <v>(13.05) Other, specify:</v>
      </c>
      <c r="I1996" s="213" t="str">
        <f t="shared" si="274"/>
        <v>text</v>
      </c>
      <c r="J1996" s="106" t="s">
        <v>3556</v>
      </c>
      <c r="K1996" s="116" t="s">
        <v>2443</v>
      </c>
      <c r="L1996" s="118" t="str">
        <f>"Sorry, question "&amp;LEFT(E1996, 13)&amp;" is required!"</f>
        <v>Sorry, question (13.05) Other is required!</v>
      </c>
      <c r="O1996" s="110" t="s">
        <v>2754</v>
      </c>
    </row>
    <row r="1997" spans="1:24" ht="14.25" customHeight="1">
      <c r="A1997" t="s">
        <v>17</v>
      </c>
      <c r="B1997" t="s">
        <v>1514</v>
      </c>
      <c r="E1997" s="118" t="s">
        <v>3520</v>
      </c>
      <c r="F1997" s="130" t="s">
        <v>6659</v>
      </c>
      <c r="I1997" s="213" t="str">
        <f t="shared" si="274"/>
        <v>note</v>
      </c>
      <c r="J1997" s="106" t="s">
        <v>3478</v>
      </c>
    </row>
    <row r="1998" spans="1:24" ht="14.25" customHeight="1">
      <c r="A1998" t="s">
        <v>14</v>
      </c>
      <c r="B1998" t="s">
        <v>1204</v>
      </c>
      <c r="C1998" t="str">
        <f>RIGHT(B1998,1)&amp;"."</f>
        <v>a.</v>
      </c>
      <c r="D1998" t="s">
        <v>1150</v>
      </c>
      <c r="E1998" s="118" t="str">
        <f t="shared" ref="E1998:E2004" si="277">C1998&amp;D1998</f>
        <v>a.Vaccine thermometer</v>
      </c>
      <c r="H1998" s="206" t="str">
        <f>"(13.06) THE QUANTITY FOR - "&amp;E1998</f>
        <v>(13.06) THE QUANTITY FOR - a.Vaccine thermometer</v>
      </c>
      <c r="I1998" s="213" t="str">
        <f t="shared" si="274"/>
        <v>integer</v>
      </c>
      <c r="J1998" s="106" t="s">
        <v>6803</v>
      </c>
      <c r="K1998" s="116" t="s">
        <v>2443</v>
      </c>
      <c r="L1998" s="118" t="str">
        <f t="shared" ref="L1998:L2004" si="278">IF(K1998="yes",("Sorry, question "&amp;LEFT($E$1997, 7)&amp;LEFT(C1998,1)&amp;" is required!"),"")</f>
        <v>Sorry, question (13.06)a is required!</v>
      </c>
      <c r="M1998" s="113" t="s">
        <v>6658</v>
      </c>
      <c r="N1998" s="107" t="str">
        <f xml:space="preserve"> "(13.06) "&amp; LEFT(E1998,2) &amp;" MAXIMUM 20"</f>
        <v>(13.06) a. MAXIMUM 20</v>
      </c>
    </row>
    <row r="1999" spans="1:24" ht="14.25" customHeight="1">
      <c r="A1999" t="s">
        <v>14</v>
      </c>
      <c r="B1999" t="s">
        <v>1205</v>
      </c>
      <c r="C1999" t="str">
        <f t="shared" ref="C1999:C2004" si="279">RIGHT(B1999,1)&amp;"."</f>
        <v>b.</v>
      </c>
      <c r="D1999" t="s">
        <v>3055</v>
      </c>
      <c r="E1999" s="118" t="str">
        <f t="shared" si="277"/>
        <v xml:space="preserve">b.Cold box </v>
      </c>
      <c r="H1999" s="206" t="str">
        <f t="shared" ref="H1999:H2004" si="280">"(13.06) THE QUANTITY FOR - "&amp;E1999</f>
        <v xml:space="preserve">(13.06) THE QUANTITY FOR - b.Cold box </v>
      </c>
      <c r="I1999" s="213" t="str">
        <f t="shared" si="274"/>
        <v>integer</v>
      </c>
      <c r="J1999" s="106" t="s">
        <v>6804</v>
      </c>
      <c r="K1999" s="116" t="s">
        <v>2443</v>
      </c>
      <c r="L1999" s="118" t="str">
        <f t="shared" si="278"/>
        <v>Sorry, question (13.06)b is required!</v>
      </c>
      <c r="M1999" s="113" t="s">
        <v>6658</v>
      </c>
      <c r="N1999" s="107" t="str">
        <f xml:space="preserve"> "(13.06) "&amp; LEFT(E1999,2) &amp;" MAXIMUM 20"</f>
        <v>(13.06) b. MAXIMUM 20</v>
      </c>
    </row>
    <row r="2000" spans="1:24" ht="14.25" customHeight="1">
      <c r="A2000" t="s">
        <v>14</v>
      </c>
      <c r="B2000" t="s">
        <v>3056</v>
      </c>
      <c r="C2000" t="str">
        <f>RIGHT(B2000,3)&amp;"."</f>
        <v>b_1.</v>
      </c>
      <c r="D2000" t="s">
        <v>3057</v>
      </c>
      <c r="E2000" s="118" t="str">
        <f t="shared" si="277"/>
        <v xml:space="preserve">b_1. Vaccine carrier </v>
      </c>
      <c r="H2000" s="206" t="str">
        <f t="shared" si="280"/>
        <v xml:space="preserve">(13.06) THE QUANTITY FOR - b_1. Vaccine carrier </v>
      </c>
      <c r="I2000" s="213" t="str">
        <f t="shared" si="274"/>
        <v>integer</v>
      </c>
      <c r="J2000" s="106" t="s">
        <v>6805</v>
      </c>
      <c r="K2000" s="116" t="s">
        <v>2443</v>
      </c>
      <c r="L2000" s="118" t="str">
        <f t="shared" si="278"/>
        <v>Sorry, question (13.06)b is required!</v>
      </c>
      <c r="M2000" s="113" t="s">
        <v>6658</v>
      </c>
      <c r="N2000" s="107" t="str">
        <f xml:space="preserve"> "(13.06) "&amp; LEFT(E2000,4) &amp;" MAXIMUM 20"</f>
        <v>(13.06) b_1. MAXIMUM 20</v>
      </c>
    </row>
    <row r="2001" spans="1:24" ht="14.25" customHeight="1">
      <c r="A2001" t="s">
        <v>14</v>
      </c>
      <c r="B2001" t="s">
        <v>1206</v>
      </c>
      <c r="C2001" t="str">
        <f t="shared" si="279"/>
        <v>c.</v>
      </c>
      <c r="D2001" t="s">
        <v>3058</v>
      </c>
      <c r="E2001" s="118" t="str">
        <f t="shared" si="277"/>
        <v>c.Water packs/condition packs</v>
      </c>
      <c r="H2001" s="206" t="str">
        <f t="shared" si="280"/>
        <v>(13.06) THE QUANTITY FOR - c.Water packs/condition packs</v>
      </c>
      <c r="I2001" s="213" t="str">
        <f t="shared" si="274"/>
        <v>integer</v>
      </c>
      <c r="J2001" s="106" t="s">
        <v>6806</v>
      </c>
      <c r="K2001" s="116" t="s">
        <v>2443</v>
      </c>
      <c r="L2001" s="118" t="str">
        <f t="shared" si="278"/>
        <v>Sorry, question (13.06)c is required!</v>
      </c>
      <c r="M2001" s="113" t="s">
        <v>6658</v>
      </c>
      <c r="N2001" s="107" t="str">
        <f xml:space="preserve"> "(13.06) "&amp; LEFT(E2001,2) &amp;" MAXIMUM 20"</f>
        <v>(13.06) c. MAXIMUM 20</v>
      </c>
    </row>
    <row r="2002" spans="1:24" ht="14.25" customHeight="1">
      <c r="A2002" t="s">
        <v>14</v>
      </c>
      <c r="B2002" t="s">
        <v>1207</v>
      </c>
      <c r="C2002" t="str">
        <f t="shared" si="279"/>
        <v>d.</v>
      </c>
      <c r="D2002" t="s">
        <v>1151</v>
      </c>
      <c r="E2002" s="118" t="str">
        <f t="shared" si="277"/>
        <v>d.Refrigerator</v>
      </c>
      <c r="H2002" s="206" t="str">
        <f t="shared" si="280"/>
        <v>(13.06) THE QUANTITY FOR - d.Refrigerator</v>
      </c>
      <c r="I2002" s="213" t="str">
        <f t="shared" si="274"/>
        <v>integer</v>
      </c>
      <c r="J2002" s="106" t="s">
        <v>6807</v>
      </c>
      <c r="K2002" s="116" t="s">
        <v>2443</v>
      </c>
      <c r="L2002" s="118" t="str">
        <f t="shared" si="278"/>
        <v>Sorry, question (13.06)d is required!</v>
      </c>
      <c r="M2002" s="113" t="s">
        <v>6658</v>
      </c>
      <c r="N2002" s="107" t="str">
        <f xml:space="preserve"> "(13.06) "&amp; LEFT(E2002,2) &amp;" MAXIMUM 20"</f>
        <v>(13.06) d. MAXIMUM 20</v>
      </c>
    </row>
    <row r="2003" spans="1:24" ht="14.25" customHeight="1">
      <c r="A2003" t="s">
        <v>14</v>
      </c>
      <c r="B2003" t="s">
        <v>3059</v>
      </c>
      <c r="C2003" t="str">
        <f t="shared" si="279"/>
        <v>e.</v>
      </c>
      <c r="D2003" t="s">
        <v>3061</v>
      </c>
      <c r="E2003" s="118" t="str">
        <f t="shared" si="277"/>
        <v>e.Syringes</v>
      </c>
      <c r="H2003" s="206" t="str">
        <f t="shared" si="280"/>
        <v>(13.06) THE QUANTITY FOR - e.Syringes</v>
      </c>
      <c r="I2003" s="213" t="str">
        <f t="shared" si="274"/>
        <v>integer</v>
      </c>
      <c r="J2003" s="106" t="s">
        <v>6808</v>
      </c>
      <c r="K2003" s="116" t="s">
        <v>2443</v>
      </c>
      <c r="L2003" s="118" t="str">
        <f t="shared" si="278"/>
        <v>Sorry, question (13.06)e is required!</v>
      </c>
      <c r="M2003" s="113" t="s">
        <v>6658</v>
      </c>
      <c r="N2003" s="107" t="str">
        <f xml:space="preserve"> "(13.06) "&amp; LEFT(E2003,2) &amp;" MAXIMUM 20"</f>
        <v>(13.06) e. MAXIMUM 20</v>
      </c>
    </row>
    <row r="2004" spans="1:24" ht="14.25" customHeight="1">
      <c r="A2004" t="s">
        <v>14</v>
      </c>
      <c r="B2004" t="s">
        <v>3060</v>
      </c>
      <c r="C2004" t="str">
        <f t="shared" si="279"/>
        <v>f.</v>
      </c>
      <c r="D2004" t="s">
        <v>3062</v>
      </c>
      <c r="E2004" s="118" t="str">
        <f t="shared" si="277"/>
        <v>f.Safety boxes</v>
      </c>
      <c r="H2004" s="206" t="str">
        <f t="shared" si="280"/>
        <v>(13.06) THE QUANTITY FOR - f.Safety boxes</v>
      </c>
      <c r="I2004" s="213" t="str">
        <f t="shared" si="274"/>
        <v>integer</v>
      </c>
      <c r="J2004" s="106" t="s">
        <v>6809</v>
      </c>
      <c r="K2004" s="116" t="s">
        <v>2443</v>
      </c>
      <c r="L2004" s="118" t="str">
        <f t="shared" si="278"/>
        <v>Sorry, question (13.06)f is required!</v>
      </c>
      <c r="M2004" s="113" t="s">
        <v>6658</v>
      </c>
      <c r="N2004" s="107" t="str">
        <f xml:space="preserve"> "(13.06) "&amp; LEFT(E2004,2) &amp;" MAXIMUM 20"</f>
        <v>(13.06) f. MAXIMUM 20</v>
      </c>
    </row>
    <row r="2005" spans="1:24" ht="14.25" customHeight="1">
      <c r="A2005" t="s">
        <v>15</v>
      </c>
      <c r="X2005" t="s">
        <v>3032</v>
      </c>
    </row>
    <row r="2006" spans="1:24" ht="14.25" customHeight="1">
      <c r="A2006" t="s">
        <v>12</v>
      </c>
      <c r="B2006" t="s">
        <v>3301</v>
      </c>
      <c r="J2006" s="106" t="s">
        <v>3371</v>
      </c>
      <c r="X2006" t="s">
        <v>3032</v>
      </c>
    </row>
    <row r="2007" spans="1:24" ht="14.25" customHeight="1">
      <c r="A2007" t="s">
        <v>17</v>
      </c>
      <c r="B2007" t="s">
        <v>1515</v>
      </c>
      <c r="E2007" s="118" t="s">
        <v>4230</v>
      </c>
      <c r="I2007" s="213" t="str">
        <f t="shared" si="274"/>
        <v>note</v>
      </c>
      <c r="J2007" s="106" t="s">
        <v>3501</v>
      </c>
    </row>
    <row r="2008" spans="1:24" ht="14.25" customHeight="1">
      <c r="A2008" t="s">
        <v>2992</v>
      </c>
      <c r="B2008" t="s">
        <v>1516</v>
      </c>
      <c r="E2008" s="118" t="s">
        <v>3417</v>
      </c>
      <c r="F2008" s="118" t="s">
        <v>3416</v>
      </c>
      <c r="H2008" s="206" t="str">
        <f>E2008</f>
        <v>(13.07) Where is the antenatal care equipment located?</v>
      </c>
      <c r="I2008" s="213" t="str">
        <f t="shared" si="274"/>
        <v>select_one ante</v>
      </c>
      <c r="J2008" s="106" t="s">
        <v>3477</v>
      </c>
      <c r="K2008" s="116" t="s">
        <v>2443</v>
      </c>
      <c r="L2008" s="118" t="str">
        <f>"Sorry, question "&amp;LEFT(E2008, 7)&amp;" is required!"</f>
        <v>Sorry, question (13.07) is required!</v>
      </c>
    </row>
    <row r="2009" spans="1:24" ht="14.25" customHeight="1">
      <c r="A2009" t="s">
        <v>1288</v>
      </c>
      <c r="B2009" t="s">
        <v>2993</v>
      </c>
      <c r="E2009" s="118" t="s">
        <v>6810</v>
      </c>
      <c r="F2009" s="118" t="s">
        <v>2109</v>
      </c>
      <c r="H2009" s="206" t="str">
        <f>E2009</f>
        <v>(13.07) Other, specify:</v>
      </c>
      <c r="I2009" s="213" t="str">
        <f t="shared" si="274"/>
        <v>text</v>
      </c>
      <c r="J2009" s="106" t="s">
        <v>3556</v>
      </c>
      <c r="K2009" s="116" t="s">
        <v>2443</v>
      </c>
      <c r="L2009" s="118" t="str">
        <f>"Sorry, question "&amp;LEFT(E2009, 13)&amp;" is required!"</f>
        <v>Sorry, question (13.07) Other is required!</v>
      </c>
      <c r="O2009" s="110" t="s">
        <v>2609</v>
      </c>
    </row>
    <row r="2010" spans="1:24" ht="14.25" customHeight="1">
      <c r="A2010" t="s">
        <v>17</v>
      </c>
      <c r="B2010" t="s">
        <v>1517</v>
      </c>
      <c r="E2010" s="118" t="s">
        <v>3521</v>
      </c>
      <c r="F2010" s="130" t="s">
        <v>6659</v>
      </c>
      <c r="I2010" s="213" t="str">
        <f t="shared" si="274"/>
        <v>note</v>
      </c>
      <c r="J2010" s="106" t="s">
        <v>3478</v>
      </c>
    </row>
    <row r="2011" spans="1:24" ht="14.25" customHeight="1">
      <c r="A2011" t="s">
        <v>14</v>
      </c>
      <c r="B2011" t="s">
        <v>1208</v>
      </c>
      <c r="C2011" t="str">
        <f>RIGHT(B2011,1)&amp;"."</f>
        <v>a.</v>
      </c>
      <c r="D2011" t="s">
        <v>1145</v>
      </c>
      <c r="E2011" s="118" t="str">
        <f>C2011&amp;D2011</f>
        <v>a.Examination table/bed</v>
      </c>
      <c r="H2011" s="206" t="str">
        <f>"(13.08) THE QUANTITY FOR - "&amp;E2011</f>
        <v>(13.08) THE QUANTITY FOR - a.Examination table/bed</v>
      </c>
      <c r="I2011" s="213" t="str">
        <f t="shared" si="274"/>
        <v>integer</v>
      </c>
      <c r="J2011" s="106" t="s">
        <v>6803</v>
      </c>
      <c r="K2011" s="116" t="s">
        <v>2443</v>
      </c>
      <c r="L2011" s="118" t="str">
        <f>IF(K2011="yes",("Sorry, question "&amp;LEFT($E$2010, 7)&amp;LEFT(C2011,1)&amp;" is required!"),"")</f>
        <v>Sorry, question (13.08)a is required!</v>
      </c>
      <c r="M2011" s="113" t="s">
        <v>6658</v>
      </c>
      <c r="N2011" s="107" t="str">
        <f xml:space="preserve"> "(13.08) "&amp; LEFT(E2011,2) &amp;" MAXIMUM 20"</f>
        <v>(13.08) a. MAXIMUM 20</v>
      </c>
    </row>
    <row r="2012" spans="1:24" ht="14.25" customHeight="1">
      <c r="A2012" t="s">
        <v>14</v>
      </c>
      <c r="B2012" t="s">
        <v>1209</v>
      </c>
      <c r="C2012" t="str">
        <f t="shared" ref="C2012:C2015" si="281">RIGHT(B2012,1)&amp;"."</f>
        <v>b.</v>
      </c>
      <c r="D2012" t="s">
        <v>1132</v>
      </c>
      <c r="E2012" s="118" t="str">
        <f>C2012&amp;D2012</f>
        <v>b.Fetoscope</v>
      </c>
      <c r="H2012" s="206" t="str">
        <f t="shared" ref="H2012:H2015" si="282">"(13.08) THE QUANTITY FOR - "&amp;E2012</f>
        <v>(13.08) THE QUANTITY FOR - b.Fetoscope</v>
      </c>
      <c r="I2012" s="213" t="str">
        <f t="shared" si="274"/>
        <v>integer</v>
      </c>
      <c r="J2012" s="106" t="s">
        <v>6804</v>
      </c>
      <c r="K2012" s="116" t="s">
        <v>2443</v>
      </c>
      <c r="L2012" s="118" t="str">
        <f>IF(K2012="yes",("Sorry, question "&amp;LEFT($E$2010, 7)&amp;LEFT(C2012,1)&amp;" is required!"),"")</f>
        <v>Sorry, question (13.08)b is required!</v>
      </c>
      <c r="M2012" s="113" t="s">
        <v>6658</v>
      </c>
      <c r="N2012" s="107" t="str">
        <f xml:space="preserve"> "(13.08) "&amp; LEFT(E2012,2) &amp;" MAXIMUM 20"</f>
        <v>(13.08) b. MAXIMUM 20</v>
      </c>
    </row>
    <row r="2013" spans="1:24" ht="14.25" customHeight="1">
      <c r="A2013" t="s">
        <v>14</v>
      </c>
      <c r="B2013" t="s">
        <v>1210</v>
      </c>
      <c r="C2013" t="str">
        <f t="shared" si="281"/>
        <v>c.</v>
      </c>
      <c r="D2013" t="s">
        <v>1129</v>
      </c>
      <c r="E2013" s="118" t="str">
        <f>C2013&amp;D2013</f>
        <v xml:space="preserve">c.Blood pressure instrument </v>
      </c>
      <c r="H2013" s="206" t="str">
        <f t="shared" si="282"/>
        <v xml:space="preserve">(13.08) THE QUANTITY FOR - c.Blood pressure instrument </v>
      </c>
      <c r="I2013" s="213" t="str">
        <f t="shared" si="274"/>
        <v>integer</v>
      </c>
      <c r="J2013" s="106" t="s">
        <v>6805</v>
      </c>
      <c r="K2013" s="116" t="s">
        <v>2443</v>
      </c>
      <c r="L2013" s="118" t="str">
        <f>IF(K2013="yes",("Sorry, question "&amp;LEFT($E$2010, 7)&amp;LEFT(C2013,1)&amp;" is required!"),"")</f>
        <v>Sorry, question (13.08)c is required!</v>
      </c>
      <c r="M2013" s="113" t="s">
        <v>6658</v>
      </c>
      <c r="N2013" s="107" t="str">
        <f xml:space="preserve"> "(13.08) "&amp; LEFT(E2013,2) &amp;" MAXIMUM 20"</f>
        <v>(13.08) c. MAXIMUM 20</v>
      </c>
    </row>
    <row r="2014" spans="1:24" ht="14.25" customHeight="1">
      <c r="A2014" t="s">
        <v>14</v>
      </c>
      <c r="B2014" t="s">
        <v>1211</v>
      </c>
      <c r="C2014" t="str">
        <f t="shared" si="281"/>
        <v>d.</v>
      </c>
      <c r="D2014" t="s">
        <v>1127</v>
      </c>
      <c r="E2014" s="118" t="str">
        <f>C2014&amp;D2014</f>
        <v>d.Tape measure</v>
      </c>
      <c r="H2014" s="206" t="str">
        <f t="shared" si="282"/>
        <v>(13.08) THE QUANTITY FOR - d.Tape measure</v>
      </c>
      <c r="I2014" s="213" t="str">
        <f t="shared" si="274"/>
        <v>integer</v>
      </c>
      <c r="J2014" s="106" t="s">
        <v>6807</v>
      </c>
      <c r="K2014" s="116" t="s">
        <v>2443</v>
      </c>
      <c r="L2014" s="118" t="str">
        <f>IF(K2014="yes",("Sorry, question "&amp;LEFT($E$2010, 7)&amp;LEFT(C2014,1)&amp;" is required!"),"")</f>
        <v>Sorry, question (13.08)d is required!</v>
      </c>
      <c r="M2014" s="113" t="s">
        <v>6658</v>
      </c>
      <c r="N2014" s="107" t="str">
        <f xml:space="preserve"> "(13.08) "&amp; LEFT(E2014,2) &amp;" MAXIMUM 20"</f>
        <v>(13.08) d. MAXIMUM 20</v>
      </c>
    </row>
    <row r="2015" spans="1:24" ht="14.25" customHeight="1">
      <c r="A2015" t="s">
        <v>14</v>
      </c>
      <c r="B2015" t="s">
        <v>1518</v>
      </c>
      <c r="C2015" t="str">
        <f t="shared" si="281"/>
        <v>e.</v>
      </c>
      <c r="D2015" t="s">
        <v>1128</v>
      </c>
      <c r="E2015" s="118" t="str">
        <f>C2015&amp;D2015</f>
        <v>e.Adult weighing scale</v>
      </c>
      <c r="H2015" s="206" t="str">
        <f t="shared" si="282"/>
        <v>(13.08) THE QUANTITY FOR - e.Adult weighing scale</v>
      </c>
      <c r="I2015" s="213" t="str">
        <f t="shared" si="274"/>
        <v>integer</v>
      </c>
      <c r="J2015" s="106" t="s">
        <v>6811</v>
      </c>
      <c r="K2015" s="116" t="s">
        <v>2443</v>
      </c>
      <c r="L2015" s="118" t="str">
        <f>IF(K2015="yes",("Sorry, question "&amp;LEFT($E$2010, 7)&amp;LEFT(C2015,1)&amp;" is required!"),"")</f>
        <v>Sorry, question (13.08)e is required!</v>
      </c>
      <c r="M2015" s="113" t="s">
        <v>6658</v>
      </c>
      <c r="N2015" s="107" t="str">
        <f xml:space="preserve"> "(13.08) "&amp; LEFT(E2015,2) &amp;" MAXIMUM 20"</f>
        <v>(13.08) e. MAXIMUM 20</v>
      </c>
    </row>
    <row r="2016" spans="1:24" ht="14.25" customHeight="1">
      <c r="A2016" t="s">
        <v>15</v>
      </c>
      <c r="X2016" t="s">
        <v>3032</v>
      </c>
    </row>
    <row r="2017" spans="1:24" ht="14.25" customHeight="1">
      <c r="A2017" t="s">
        <v>12</v>
      </c>
      <c r="B2017" t="s">
        <v>3308</v>
      </c>
      <c r="J2017" s="106" t="s">
        <v>3371</v>
      </c>
      <c r="X2017" t="s">
        <v>3032</v>
      </c>
    </row>
    <row r="2018" spans="1:24" ht="14.25" customHeight="1">
      <c r="A2018" t="s">
        <v>17</v>
      </c>
      <c r="B2018" t="s">
        <v>1519</v>
      </c>
      <c r="E2018" s="118" t="s">
        <v>4231</v>
      </c>
      <c r="I2018" s="213" t="str">
        <f t="shared" si="274"/>
        <v>note</v>
      </c>
      <c r="J2018" s="106" t="s">
        <v>3501</v>
      </c>
    </row>
    <row r="2019" spans="1:24" ht="14.25" customHeight="1">
      <c r="A2019" t="s">
        <v>1152</v>
      </c>
      <c r="B2019" t="s">
        <v>1520</v>
      </c>
      <c r="E2019" s="118" t="s">
        <v>1997</v>
      </c>
      <c r="H2019" s="206" t="str">
        <f>E2019</f>
        <v>(13.09) Where is the delivery and neonatal equipment located?</v>
      </c>
      <c r="I2019" s="213" t="str">
        <f t="shared" si="274"/>
        <v>select_one neo</v>
      </c>
      <c r="J2019" s="106" t="s">
        <v>5215</v>
      </c>
      <c r="K2019" s="116" t="s">
        <v>2443</v>
      </c>
      <c r="L2019" s="118" t="str">
        <f>"Sorry, question "&amp;LEFT(E2019, 7)&amp;" is required!"</f>
        <v>Sorry, question (13.09) is required!</v>
      </c>
    </row>
    <row r="2020" spans="1:24" ht="14.25" customHeight="1">
      <c r="A2020" t="s">
        <v>1288</v>
      </c>
      <c r="B2020" t="s">
        <v>2994</v>
      </c>
      <c r="E2020" s="118" t="s">
        <v>6812</v>
      </c>
      <c r="F2020" s="118" t="s">
        <v>2109</v>
      </c>
      <c r="H2020" s="206" t="str">
        <f>E2020</f>
        <v>(13.09) Other, specify:</v>
      </c>
      <c r="I2020" s="213" t="str">
        <f t="shared" si="274"/>
        <v>text</v>
      </c>
      <c r="J2020" s="106" t="s">
        <v>3556</v>
      </c>
      <c r="K2020" s="116" t="s">
        <v>2443</v>
      </c>
      <c r="L2020" s="118" t="str">
        <f>"Sorry, question "&amp;LEFT(E2020, 13)&amp;" is required!"</f>
        <v>Sorry, question (13.09) Other is required!</v>
      </c>
      <c r="O2020" s="110" t="s">
        <v>2610</v>
      </c>
    </row>
    <row r="2021" spans="1:24" ht="14.25" customHeight="1">
      <c r="A2021" t="s">
        <v>17</v>
      </c>
      <c r="B2021" t="s">
        <v>5216</v>
      </c>
      <c r="D2021" t="s">
        <v>3522</v>
      </c>
      <c r="E2021" s="118" t="str">
        <f t="shared" ref="E2021:E2066" si="283">C2021&amp;D2021</f>
        <v xml:space="preserve">(13.10) PLEASE RECORD THE QUANTITY FOR EACH TYPE OF EQUIPMENT. </v>
      </c>
      <c r="F2021" s="130" t="s">
        <v>6659</v>
      </c>
      <c r="I2021" s="213" t="str">
        <f t="shared" si="274"/>
        <v>note</v>
      </c>
      <c r="J2021" s="106" t="s">
        <v>3478</v>
      </c>
    </row>
    <row r="2022" spans="1:24" ht="14.25" customHeight="1">
      <c r="A2022" t="s">
        <v>14</v>
      </c>
      <c r="B2022" t="s">
        <v>1234</v>
      </c>
      <c r="C2022" t="str">
        <f>RIGHT(B2022,1)&amp;"."</f>
        <v>a.</v>
      </c>
      <c r="D2022" t="s">
        <v>1153</v>
      </c>
      <c r="E2022" s="118" t="str">
        <f t="shared" si="283"/>
        <v>a.Delivery table/bed</v>
      </c>
      <c r="F2022" s="118" t="s">
        <v>2716</v>
      </c>
      <c r="H2022" s="206" t="str">
        <f>"(13.10) THE QUANTITY FOR - "&amp;E2022</f>
        <v>(13.10) THE QUANTITY FOR - a.Delivery table/bed</v>
      </c>
      <c r="I2022" s="213" t="str">
        <f t="shared" si="274"/>
        <v>integer</v>
      </c>
      <c r="J2022" s="106" t="s">
        <v>6837</v>
      </c>
      <c r="K2022" s="116" t="s">
        <v>2443</v>
      </c>
      <c r="L2022" s="118" t="str">
        <f t="shared" ref="L2022:L2067" si="284">IF(K2022="yes",("Sorry, question "&amp;LEFT($E$2081, 7)&amp;LEFT(C2022,2)&amp;" is required!"),"")</f>
        <v>Sorry, question (13.10)a. is required!</v>
      </c>
      <c r="M2022" s="113" t="s">
        <v>6661</v>
      </c>
      <c r="N2022" s="107" t="str">
        <f t="shared" ref="N2022:N2027" si="285" xml:space="preserve"> "(13.10) "&amp; LEFT(E2022,2) &amp;" RANGE 0-500"</f>
        <v>(13.10) a. RANGE 0-500</v>
      </c>
    </row>
    <row r="2023" spans="1:24" ht="14.25" customHeight="1">
      <c r="A2023" t="s">
        <v>14</v>
      </c>
      <c r="B2023" t="s">
        <v>1235</v>
      </c>
      <c r="C2023" t="str">
        <f t="shared" ref="C2023:C2026" si="286">RIGHT(B2023,1)&amp;"."</f>
        <v>b.</v>
      </c>
      <c r="D2023" t="s">
        <v>1154</v>
      </c>
      <c r="E2023" s="118" t="str">
        <f t="shared" si="283"/>
        <v>b.Partograph</v>
      </c>
      <c r="F2023" s="118" t="s">
        <v>2716</v>
      </c>
      <c r="H2023" s="206" t="str">
        <f t="shared" ref="H2023:H2086" si="287">"(13.10) THE QUANTITY FOR - "&amp;E2023</f>
        <v>(13.10) THE QUANTITY FOR - b.Partograph</v>
      </c>
      <c r="I2023" s="213" t="str">
        <f t="shared" si="274"/>
        <v>integer</v>
      </c>
      <c r="J2023" s="106" t="s">
        <v>6838</v>
      </c>
      <c r="K2023" s="116" t="s">
        <v>2443</v>
      </c>
      <c r="L2023" s="118" t="str">
        <f t="shared" si="284"/>
        <v>Sorry, question (13.10)b. is required!</v>
      </c>
      <c r="M2023" s="113" t="s">
        <v>6661</v>
      </c>
      <c r="N2023" s="107" t="str">
        <f t="shared" si="285"/>
        <v>(13.10) b. RANGE 0-500</v>
      </c>
    </row>
    <row r="2024" spans="1:24" ht="14.25" customHeight="1">
      <c r="A2024" t="s">
        <v>14</v>
      </c>
      <c r="B2024" t="s">
        <v>1236</v>
      </c>
      <c r="C2024" t="str">
        <f t="shared" si="286"/>
        <v>c.</v>
      </c>
      <c r="D2024" t="s">
        <v>1155</v>
      </c>
      <c r="E2024" s="118" t="str">
        <f t="shared" si="283"/>
        <v>c.Delivery light</v>
      </c>
      <c r="F2024" s="118" t="s">
        <v>2716</v>
      </c>
      <c r="H2024" s="206" t="str">
        <f t="shared" si="287"/>
        <v>(13.10) THE QUANTITY FOR - c.Delivery light</v>
      </c>
      <c r="I2024" s="213" t="str">
        <f t="shared" si="274"/>
        <v>integer</v>
      </c>
      <c r="J2024" s="106" t="s">
        <v>6839</v>
      </c>
      <c r="K2024" s="116" t="s">
        <v>2443</v>
      </c>
      <c r="L2024" s="118" t="str">
        <f t="shared" si="284"/>
        <v>Sorry, question (13.10)c. is required!</v>
      </c>
      <c r="M2024" s="113" t="s">
        <v>6661</v>
      </c>
      <c r="N2024" s="107" t="str">
        <f t="shared" si="285"/>
        <v>(13.10) c. RANGE 0-500</v>
      </c>
    </row>
    <row r="2025" spans="1:24" ht="14.25" customHeight="1">
      <c r="A2025" t="s">
        <v>14</v>
      </c>
      <c r="B2025" t="s">
        <v>1237</v>
      </c>
      <c r="C2025" t="str">
        <f t="shared" si="286"/>
        <v>d.</v>
      </c>
      <c r="D2025" t="s">
        <v>1156</v>
      </c>
      <c r="E2025" s="118" t="str">
        <f t="shared" si="283"/>
        <v>d.Aspirator/suction bulb</v>
      </c>
      <c r="F2025" s="118" t="s">
        <v>2716</v>
      </c>
      <c r="H2025" s="206" t="str">
        <f t="shared" si="287"/>
        <v>(13.10) THE QUANTITY FOR - d.Aspirator/suction bulb</v>
      </c>
      <c r="I2025" s="213" t="str">
        <f t="shared" si="274"/>
        <v>integer</v>
      </c>
      <c r="J2025" s="106" t="s">
        <v>6840</v>
      </c>
      <c r="K2025" s="116" t="s">
        <v>2443</v>
      </c>
      <c r="L2025" s="118" t="str">
        <f t="shared" si="284"/>
        <v>Sorry, question (13.10)d. is required!</v>
      </c>
      <c r="M2025" s="113" t="s">
        <v>6661</v>
      </c>
      <c r="N2025" s="107" t="str">
        <f t="shared" si="285"/>
        <v>(13.10) d. RANGE 0-500</v>
      </c>
    </row>
    <row r="2026" spans="1:24" ht="14.25" customHeight="1">
      <c r="A2026" t="s">
        <v>14</v>
      </c>
      <c r="B2026" t="s">
        <v>1238</v>
      </c>
      <c r="C2026" t="str">
        <f t="shared" si="286"/>
        <v>e.</v>
      </c>
      <c r="D2026" t="s">
        <v>1157</v>
      </c>
      <c r="E2026" s="118" t="str">
        <f t="shared" si="283"/>
        <v>e.Resuscitation bag, newborn</v>
      </c>
      <c r="F2026" s="118" t="s">
        <v>2716</v>
      </c>
      <c r="H2026" s="206" t="str">
        <f t="shared" si="287"/>
        <v>(13.10) THE QUANTITY FOR - e.Resuscitation bag, newborn</v>
      </c>
      <c r="I2026" s="213" t="str">
        <f t="shared" si="274"/>
        <v>integer</v>
      </c>
      <c r="J2026" s="106" t="s">
        <v>6841</v>
      </c>
      <c r="K2026" s="116" t="s">
        <v>2443</v>
      </c>
      <c r="L2026" s="118" t="str">
        <f t="shared" si="284"/>
        <v>Sorry, question (13.10)e. is required!</v>
      </c>
      <c r="M2026" s="113" t="s">
        <v>6661</v>
      </c>
      <c r="N2026" s="107" t="str">
        <f t="shared" si="285"/>
        <v>(13.10) e. RANGE 0-500</v>
      </c>
    </row>
    <row r="2027" spans="1:24" ht="14.25" customHeight="1">
      <c r="A2027" t="s">
        <v>14</v>
      </c>
      <c r="B2027" t="s">
        <v>1239</v>
      </c>
      <c r="C2027" t="str">
        <f>RIGHT(B2027,1)&amp;"."</f>
        <v>f.</v>
      </c>
      <c r="D2027" t="s">
        <v>1158</v>
      </c>
      <c r="E2027" s="118" t="str">
        <f>C2027&amp;D2027</f>
        <v>f.Eye drops or ointment for newborn</v>
      </c>
      <c r="F2027" s="118" t="s">
        <v>2716</v>
      </c>
      <c r="H2027" s="206" t="str">
        <f t="shared" si="287"/>
        <v>(13.10) THE QUANTITY FOR - f.Eye drops or ointment for newborn</v>
      </c>
      <c r="I2027" s="213" t="str">
        <f>A2027</f>
        <v>integer</v>
      </c>
      <c r="J2027" s="106" t="s">
        <v>6842</v>
      </c>
      <c r="K2027" s="116" t="s">
        <v>2443</v>
      </c>
      <c r="L2027" s="118" t="str">
        <f t="shared" si="284"/>
        <v>Sorry, question (13.10)f. is required!</v>
      </c>
      <c r="M2027" s="113" t="s">
        <v>6661</v>
      </c>
      <c r="N2027" s="107" t="str">
        <f t="shared" si="285"/>
        <v>(13.10) f. RANGE 0-500</v>
      </c>
    </row>
    <row r="2028" spans="1:24" ht="14.25" customHeight="1">
      <c r="A2028" t="s">
        <v>15</v>
      </c>
      <c r="E2028" s="118" t="str">
        <f t="shared" si="283"/>
        <v/>
      </c>
      <c r="L2028" s="118" t="str">
        <f t="shared" si="284"/>
        <v/>
      </c>
      <c r="X2028" t="s">
        <v>3032</v>
      </c>
    </row>
    <row r="2029" spans="1:24" ht="14.25" customHeight="1">
      <c r="A2029" t="s">
        <v>954</v>
      </c>
      <c r="B2029" t="s">
        <v>3307</v>
      </c>
      <c r="E2029" s="118" t="s">
        <v>5458</v>
      </c>
      <c r="J2029" s="106" t="s">
        <v>3371</v>
      </c>
      <c r="L2029" s="118" t="str">
        <f t="shared" si="284"/>
        <v/>
      </c>
      <c r="X2029" t="s">
        <v>3032</v>
      </c>
    </row>
    <row r="2030" spans="1:24" ht="14.25" customHeight="1">
      <c r="A2030" t="s">
        <v>17</v>
      </c>
      <c r="B2030" t="s">
        <v>5217</v>
      </c>
      <c r="D2030" t="s">
        <v>3523</v>
      </c>
      <c r="E2030" s="118" t="str">
        <f t="shared" si="283"/>
        <v>(13.10) PLEASE RECORD THE QUANTITY FOR EACH TYPE OF EQUIPMENT.</v>
      </c>
      <c r="F2030" s="130" t="s">
        <v>6660</v>
      </c>
      <c r="H2030" s="206" t="str">
        <f t="shared" si="287"/>
        <v>(13.10) THE QUANTITY FOR - (13.10) PLEASE RECORD THE QUANTITY FOR EACH TYPE OF EQUIPMENT.</v>
      </c>
      <c r="I2030" s="213" t="str">
        <f t="shared" si="274"/>
        <v>note</v>
      </c>
      <c r="J2030" s="106" t="s">
        <v>6790</v>
      </c>
      <c r="L2030" s="118" t="str">
        <f t="shared" si="284"/>
        <v/>
      </c>
    </row>
    <row r="2031" spans="1:24" ht="14.25" customHeight="1">
      <c r="A2031" t="s">
        <v>14</v>
      </c>
      <c r="B2031" t="s">
        <v>1240</v>
      </c>
      <c r="C2031" t="str">
        <f t="shared" ref="C2031:C2036" si="288">RIGHT(B2031,1)&amp;"."</f>
        <v>g.</v>
      </c>
      <c r="D2031" t="s">
        <v>1159</v>
      </c>
      <c r="E2031" s="118" t="str">
        <f t="shared" si="283"/>
        <v>g.Needles</v>
      </c>
      <c r="F2031" s="118" t="s">
        <v>2716</v>
      </c>
      <c r="H2031" s="206" t="str">
        <f t="shared" si="287"/>
        <v>(13.10) THE QUANTITY FOR - g.Needles</v>
      </c>
      <c r="I2031" s="213" t="str">
        <f t="shared" si="274"/>
        <v>integer</v>
      </c>
      <c r="J2031" s="106" t="s">
        <v>6791</v>
      </c>
      <c r="K2031" s="116" t="s">
        <v>2443</v>
      </c>
      <c r="L2031" s="118" t="str">
        <f t="shared" si="284"/>
        <v>Sorry, question (13.10)g. is required!</v>
      </c>
      <c r="M2031" s="113" t="s">
        <v>6661</v>
      </c>
      <c r="N2031" s="107" t="str">
        <f t="shared" ref="N2031:N2036" si="289" xml:space="preserve"> "(13.10) "&amp; LEFT(E2031,2) &amp;" RANGE 0-500"</f>
        <v>(13.10) g. RANGE 0-500</v>
      </c>
    </row>
    <row r="2032" spans="1:24" ht="14.25" customHeight="1">
      <c r="A2032" t="s">
        <v>14</v>
      </c>
      <c r="B2032" t="s">
        <v>1241</v>
      </c>
      <c r="C2032" t="str">
        <f t="shared" si="288"/>
        <v>h.</v>
      </c>
      <c r="D2032" t="s">
        <v>1160</v>
      </c>
      <c r="E2032" s="118" t="str">
        <f t="shared" si="283"/>
        <v>h.Intravenous tubing/administration sets</v>
      </c>
      <c r="F2032" s="118" t="s">
        <v>2716</v>
      </c>
      <c r="H2032" s="206" t="str">
        <f t="shared" si="287"/>
        <v>(13.10) THE QUANTITY FOR - h.Intravenous tubing/administration sets</v>
      </c>
      <c r="I2032" s="213" t="str">
        <f t="shared" si="274"/>
        <v>integer</v>
      </c>
      <c r="J2032" s="106" t="s">
        <v>6792</v>
      </c>
      <c r="K2032" s="116" t="s">
        <v>2443</v>
      </c>
      <c r="L2032" s="118" t="str">
        <f t="shared" si="284"/>
        <v>Sorry, question (13.10)h. is required!</v>
      </c>
      <c r="M2032" s="113" t="s">
        <v>6661</v>
      </c>
      <c r="N2032" s="107" t="str">
        <f t="shared" si="289"/>
        <v>(13.10) h. RANGE 0-500</v>
      </c>
    </row>
    <row r="2033" spans="1:24" ht="14.25" customHeight="1">
      <c r="A2033" t="s">
        <v>14</v>
      </c>
      <c r="B2033" t="s">
        <v>1242</v>
      </c>
      <c r="C2033" t="str">
        <f t="shared" si="288"/>
        <v>i.</v>
      </c>
      <c r="D2033" t="s">
        <v>1161</v>
      </c>
      <c r="E2033" s="118" t="str">
        <f t="shared" si="283"/>
        <v>i.Intravenous solutions, including normal saline and ringer lactate</v>
      </c>
      <c r="F2033" s="118" t="s">
        <v>2716</v>
      </c>
      <c r="H2033" s="206" t="str">
        <f t="shared" si="287"/>
        <v>(13.10) THE QUANTITY FOR - i.Intravenous solutions, including normal saline and ringer lactate</v>
      </c>
      <c r="I2033" s="213" t="str">
        <f t="shared" si="274"/>
        <v>integer</v>
      </c>
      <c r="J2033" s="106" t="s">
        <v>6793</v>
      </c>
      <c r="K2033" s="116" t="s">
        <v>2443</v>
      </c>
      <c r="L2033" s="118" t="str">
        <f t="shared" si="284"/>
        <v>Sorry, question (13.10)i. is required!</v>
      </c>
      <c r="M2033" s="113" t="s">
        <v>6661</v>
      </c>
      <c r="N2033" s="107" t="str">
        <f t="shared" si="289"/>
        <v>(13.10) i. RANGE 0-500</v>
      </c>
    </row>
    <row r="2034" spans="1:24" ht="14.25" customHeight="1">
      <c r="A2034" t="s">
        <v>14</v>
      </c>
      <c r="B2034" t="s">
        <v>1243</v>
      </c>
      <c r="C2034" t="str">
        <f t="shared" si="288"/>
        <v>j.</v>
      </c>
      <c r="D2034" t="s">
        <v>1162</v>
      </c>
      <c r="E2034" s="118" t="str">
        <f t="shared" si="283"/>
        <v>j.Intravenous needles or cannulas</v>
      </c>
      <c r="F2034" s="118" t="s">
        <v>2716</v>
      </c>
      <c r="H2034" s="206" t="str">
        <f t="shared" si="287"/>
        <v>(13.10) THE QUANTITY FOR - j.Intravenous needles or cannulas</v>
      </c>
      <c r="I2034" s="213" t="str">
        <f t="shared" si="274"/>
        <v>integer</v>
      </c>
      <c r="J2034" s="106" t="s">
        <v>6795</v>
      </c>
      <c r="K2034" s="116" t="s">
        <v>2443</v>
      </c>
      <c r="L2034" s="118" t="str">
        <f t="shared" si="284"/>
        <v>Sorry, question (13.10)j. is required!</v>
      </c>
      <c r="M2034" s="113" t="s">
        <v>6661</v>
      </c>
      <c r="N2034" s="107" t="str">
        <f t="shared" si="289"/>
        <v>(13.10) j. RANGE 0-500</v>
      </c>
    </row>
    <row r="2035" spans="1:24" ht="14.25" customHeight="1">
      <c r="A2035" t="s">
        <v>14</v>
      </c>
      <c r="B2035" t="s">
        <v>1244</v>
      </c>
      <c r="C2035" t="str">
        <f t="shared" si="288"/>
        <v>k.</v>
      </c>
      <c r="D2035" t="s">
        <v>1163</v>
      </c>
      <c r="E2035" s="118" t="str">
        <f t="shared" si="283"/>
        <v>k.Scissors</v>
      </c>
      <c r="F2035" s="118" t="s">
        <v>2716</v>
      </c>
      <c r="H2035" s="206" t="str">
        <f t="shared" si="287"/>
        <v>(13.10) THE QUANTITY FOR - k.Scissors</v>
      </c>
      <c r="I2035" s="213" t="str">
        <f t="shared" si="274"/>
        <v>integer</v>
      </c>
      <c r="J2035" s="106" t="s">
        <v>6796</v>
      </c>
      <c r="K2035" s="116" t="s">
        <v>2443</v>
      </c>
      <c r="L2035" s="118" t="str">
        <f t="shared" si="284"/>
        <v>Sorry, question (13.10)k. is required!</v>
      </c>
      <c r="M2035" s="113" t="s">
        <v>6661</v>
      </c>
      <c r="N2035" s="107" t="str">
        <f t="shared" si="289"/>
        <v>(13.10) k. RANGE 0-500</v>
      </c>
    </row>
    <row r="2036" spans="1:24" ht="14.25" customHeight="1">
      <c r="A2036" t="s">
        <v>14</v>
      </c>
      <c r="B2036" t="s">
        <v>1245</v>
      </c>
      <c r="C2036" t="str">
        <f t="shared" si="288"/>
        <v>l.</v>
      </c>
      <c r="D2036" t="s">
        <v>1164</v>
      </c>
      <c r="E2036" s="118" t="str">
        <f t="shared" si="283"/>
        <v>l.Umbilical cord clamp or sterile tape or sterile tie</v>
      </c>
      <c r="F2036" s="118" t="s">
        <v>2716</v>
      </c>
      <c r="H2036" s="206" t="str">
        <f t="shared" si="287"/>
        <v>(13.10) THE QUANTITY FOR - l.Umbilical cord clamp or sterile tape or sterile tie</v>
      </c>
      <c r="I2036" s="213" t="str">
        <f t="shared" si="274"/>
        <v>integer</v>
      </c>
      <c r="J2036" s="106" t="s">
        <v>6797</v>
      </c>
      <c r="K2036" s="116" t="s">
        <v>2443</v>
      </c>
      <c r="L2036" s="118" t="str">
        <f t="shared" si="284"/>
        <v>Sorry, question (13.10)l. is required!</v>
      </c>
      <c r="M2036" s="113" t="s">
        <v>6661</v>
      </c>
      <c r="N2036" s="107" t="str">
        <f t="shared" si="289"/>
        <v>(13.10) l. RANGE 0-500</v>
      </c>
    </row>
    <row r="2037" spans="1:24" ht="14.25" customHeight="1">
      <c r="A2037" t="s">
        <v>15</v>
      </c>
      <c r="E2037" s="118" t="str">
        <f t="shared" si="283"/>
        <v/>
      </c>
      <c r="H2037" s="206" t="str">
        <f t="shared" si="287"/>
        <v xml:space="preserve">(13.10) THE QUANTITY FOR - </v>
      </c>
      <c r="L2037" s="118" t="str">
        <f t="shared" si="284"/>
        <v/>
      </c>
      <c r="X2037" t="s">
        <v>3032</v>
      </c>
    </row>
    <row r="2038" spans="1:24" ht="14.25" customHeight="1">
      <c r="A2038" t="s">
        <v>954</v>
      </c>
      <c r="B2038" t="s">
        <v>3306</v>
      </c>
      <c r="E2038" s="118" t="s">
        <v>5458</v>
      </c>
      <c r="J2038" s="106" t="s">
        <v>3371</v>
      </c>
      <c r="L2038" s="118" t="str">
        <f t="shared" si="284"/>
        <v/>
      </c>
      <c r="X2038" t="s">
        <v>3032</v>
      </c>
    </row>
    <row r="2039" spans="1:24" ht="14.25" customHeight="1">
      <c r="A2039" t="s">
        <v>17</v>
      </c>
      <c r="B2039" t="s">
        <v>5218</v>
      </c>
      <c r="D2039" t="s">
        <v>3522</v>
      </c>
      <c r="E2039" s="118" t="str">
        <f t="shared" si="283"/>
        <v xml:space="preserve">(13.10) PLEASE RECORD THE QUANTITY FOR EACH TYPE OF EQUIPMENT. </v>
      </c>
      <c r="F2039" s="130" t="s">
        <v>6660</v>
      </c>
      <c r="H2039" s="206" t="str">
        <f t="shared" si="287"/>
        <v xml:space="preserve">(13.10) THE QUANTITY FOR - (13.10) PLEASE RECORD THE QUANTITY FOR EACH TYPE OF EQUIPMENT. </v>
      </c>
      <c r="I2039" s="213" t="str">
        <f t="shared" si="274"/>
        <v>note</v>
      </c>
      <c r="J2039" s="106" t="s">
        <v>6790</v>
      </c>
      <c r="L2039" s="118" t="str">
        <f t="shared" si="284"/>
        <v/>
      </c>
    </row>
    <row r="2040" spans="1:24" ht="14.25" customHeight="1">
      <c r="A2040" t="s">
        <v>14</v>
      </c>
      <c r="B2040" t="s">
        <v>1246</v>
      </c>
      <c r="C2040" t="str">
        <f t="shared" ref="C2040:C2046" si="290">RIGHT(B2040,1)&amp;"."</f>
        <v>m.</v>
      </c>
      <c r="D2040" t="s">
        <v>1165</v>
      </c>
      <c r="E2040" s="118" t="str">
        <f t="shared" si="283"/>
        <v>m.Suturing material</v>
      </c>
      <c r="F2040" s="118" t="s">
        <v>2716</v>
      </c>
      <c r="H2040" s="206" t="str">
        <f t="shared" si="287"/>
        <v>(13.10) THE QUANTITY FOR - m.Suturing material</v>
      </c>
      <c r="I2040" s="213" t="str">
        <f t="shared" si="274"/>
        <v>integer</v>
      </c>
      <c r="J2040" s="106" t="s">
        <v>6791</v>
      </c>
      <c r="K2040" s="116" t="s">
        <v>2443</v>
      </c>
      <c r="L2040" s="118" t="str">
        <f t="shared" si="284"/>
        <v>Sorry, question (13.10)m. is required!</v>
      </c>
      <c r="M2040" s="113" t="s">
        <v>6661</v>
      </c>
      <c r="N2040" s="107" t="str">
        <f t="shared" ref="N2040:N2046" si="291" xml:space="preserve"> "(13.10) "&amp; LEFT(E2040,2) &amp;" RANGE 0-500"</f>
        <v>(13.10) m. RANGE 0-500</v>
      </c>
    </row>
    <row r="2041" spans="1:24" ht="14.25" customHeight="1">
      <c r="A2041" t="s">
        <v>14</v>
      </c>
      <c r="B2041" t="s">
        <v>1247</v>
      </c>
      <c r="C2041" t="str">
        <f t="shared" si="290"/>
        <v>n.</v>
      </c>
      <c r="D2041" t="s">
        <v>1166</v>
      </c>
      <c r="E2041" s="118" t="str">
        <f t="shared" si="283"/>
        <v>n.Clean towels</v>
      </c>
      <c r="F2041" s="118" t="s">
        <v>2716</v>
      </c>
      <c r="H2041" s="206" t="str">
        <f t="shared" si="287"/>
        <v>(13.10) THE QUANTITY FOR - n.Clean towels</v>
      </c>
      <c r="I2041" s="213" t="str">
        <f t="shared" si="274"/>
        <v>integer</v>
      </c>
      <c r="J2041" s="106" t="s">
        <v>6792</v>
      </c>
      <c r="K2041" s="116" t="s">
        <v>2443</v>
      </c>
      <c r="L2041" s="118" t="str">
        <f t="shared" si="284"/>
        <v>Sorry, question (13.10)n. is required!</v>
      </c>
      <c r="M2041" s="113" t="s">
        <v>6661</v>
      </c>
      <c r="N2041" s="107" t="str">
        <f t="shared" si="291"/>
        <v>(13.10) n. RANGE 0-500</v>
      </c>
    </row>
    <row r="2042" spans="1:24" ht="14.25" customHeight="1">
      <c r="A2042" t="s">
        <v>14</v>
      </c>
      <c r="B2042" t="s">
        <v>1248</v>
      </c>
      <c r="C2042" t="str">
        <f t="shared" si="290"/>
        <v>o.</v>
      </c>
      <c r="D2042" t="s">
        <v>1167</v>
      </c>
      <c r="E2042" s="118" t="str">
        <f t="shared" si="283"/>
        <v>o.Clean razor blade</v>
      </c>
      <c r="F2042" s="118" t="s">
        <v>2716</v>
      </c>
      <c r="H2042" s="206" t="str">
        <f t="shared" si="287"/>
        <v>(13.10) THE QUANTITY FOR - o.Clean razor blade</v>
      </c>
      <c r="I2042" s="213" t="str">
        <f t="shared" si="274"/>
        <v>integer</v>
      </c>
      <c r="J2042" s="106" t="s">
        <v>6793</v>
      </c>
      <c r="K2042" s="116" t="s">
        <v>2443</v>
      </c>
      <c r="L2042" s="118" t="str">
        <f t="shared" si="284"/>
        <v>Sorry, question (13.10)o. is required!</v>
      </c>
      <c r="M2042" s="113" t="s">
        <v>6661</v>
      </c>
      <c r="N2042" s="107" t="str">
        <f t="shared" si="291"/>
        <v>(13.10) o. RANGE 0-500</v>
      </c>
    </row>
    <row r="2043" spans="1:24" ht="14.25" customHeight="1">
      <c r="A2043" t="s">
        <v>14</v>
      </c>
      <c r="B2043" t="s">
        <v>1249</v>
      </c>
      <c r="C2043" t="str">
        <f t="shared" si="290"/>
        <v>p.</v>
      </c>
      <c r="D2043" t="s">
        <v>1168</v>
      </c>
      <c r="E2043" s="118" t="str">
        <f t="shared" si="283"/>
        <v>p.Sterile gloves</v>
      </c>
      <c r="F2043" s="118" t="s">
        <v>2716</v>
      </c>
      <c r="H2043" s="206" t="str">
        <f t="shared" si="287"/>
        <v>(13.10) THE QUANTITY FOR - p.Sterile gloves</v>
      </c>
      <c r="I2043" s="213" t="str">
        <f t="shared" si="274"/>
        <v>integer</v>
      </c>
      <c r="J2043" s="106" t="s">
        <v>6794</v>
      </c>
      <c r="K2043" s="116" t="s">
        <v>2443</v>
      </c>
      <c r="L2043" s="118" t="str">
        <f t="shared" si="284"/>
        <v>Sorry, question (13.10)p. is required!</v>
      </c>
      <c r="M2043" s="113" t="s">
        <v>6661</v>
      </c>
      <c r="N2043" s="107" t="str">
        <f t="shared" si="291"/>
        <v>(13.10) p. RANGE 0-500</v>
      </c>
    </row>
    <row r="2044" spans="1:24" ht="14.25" customHeight="1">
      <c r="A2044" t="s">
        <v>14</v>
      </c>
      <c r="B2044" t="s">
        <v>1250</v>
      </c>
      <c r="C2044" t="str">
        <f t="shared" si="290"/>
        <v>q.</v>
      </c>
      <c r="D2044" t="s">
        <v>1169</v>
      </c>
      <c r="E2044" s="118" t="str">
        <f t="shared" si="283"/>
        <v>q.Sterile cotton or gauze (to clean baby’s mouth and nose)</v>
      </c>
      <c r="F2044" s="118" t="s">
        <v>2716</v>
      </c>
      <c r="H2044" s="206" t="str">
        <f t="shared" si="287"/>
        <v>(13.10) THE QUANTITY FOR - q.Sterile cotton or gauze (to clean baby’s mouth and nose)</v>
      </c>
      <c r="I2044" s="213" t="str">
        <f t="shared" si="274"/>
        <v>integer</v>
      </c>
      <c r="J2044" s="106" t="s">
        <v>6795</v>
      </c>
      <c r="K2044" s="116" t="s">
        <v>2443</v>
      </c>
      <c r="L2044" s="118" t="str">
        <f t="shared" si="284"/>
        <v>Sorry, question (13.10)q. is required!</v>
      </c>
      <c r="M2044" s="113" t="s">
        <v>6661</v>
      </c>
      <c r="N2044" s="107" t="str">
        <f t="shared" si="291"/>
        <v>(13.10) q. RANGE 0-500</v>
      </c>
    </row>
    <row r="2045" spans="1:24" ht="14.25" customHeight="1">
      <c r="A2045" t="s">
        <v>14</v>
      </c>
      <c r="B2045" t="s">
        <v>1251</v>
      </c>
      <c r="C2045" t="str">
        <f t="shared" si="290"/>
        <v>r.</v>
      </c>
      <c r="D2045" t="s">
        <v>1170</v>
      </c>
      <c r="E2045" s="118" t="str">
        <f t="shared" si="283"/>
        <v>r.Hand soap or detergent</v>
      </c>
      <c r="F2045" s="118" t="s">
        <v>2716</v>
      </c>
      <c r="H2045" s="206" t="str">
        <f t="shared" si="287"/>
        <v>(13.10) THE QUANTITY FOR - r.Hand soap or detergent</v>
      </c>
      <c r="I2045" s="213" t="str">
        <f t="shared" si="274"/>
        <v>integer</v>
      </c>
      <c r="J2045" s="106" t="s">
        <v>6796</v>
      </c>
      <c r="K2045" s="116" t="s">
        <v>2443</v>
      </c>
      <c r="L2045" s="118" t="str">
        <f t="shared" si="284"/>
        <v>Sorry, question (13.10)r. is required!</v>
      </c>
      <c r="M2045" s="113" t="s">
        <v>6661</v>
      </c>
      <c r="N2045" s="107" t="str">
        <f t="shared" si="291"/>
        <v>(13.10) r. RANGE 0-500</v>
      </c>
    </row>
    <row r="2046" spans="1:24" ht="14.25" customHeight="1">
      <c r="A2046" t="s">
        <v>14</v>
      </c>
      <c r="B2046" t="s">
        <v>1252</v>
      </c>
      <c r="C2046" t="str">
        <f t="shared" si="290"/>
        <v>s.</v>
      </c>
      <c r="D2046" t="s">
        <v>1171</v>
      </c>
      <c r="E2046" s="118" t="str">
        <f t="shared" si="283"/>
        <v>s.Hand scrubbing brush</v>
      </c>
      <c r="F2046" s="118" t="s">
        <v>2716</v>
      </c>
      <c r="H2046" s="206" t="str">
        <f t="shared" si="287"/>
        <v>(13.10) THE QUANTITY FOR - s.Hand scrubbing brush</v>
      </c>
      <c r="I2046" s="213" t="str">
        <f t="shared" si="274"/>
        <v>integer</v>
      </c>
      <c r="J2046" s="106" t="s">
        <v>6797</v>
      </c>
      <c r="K2046" s="116" t="s">
        <v>2443</v>
      </c>
      <c r="L2046" s="118" t="str">
        <f t="shared" si="284"/>
        <v>Sorry, question (13.10)s. is required!</v>
      </c>
      <c r="M2046" s="113" t="s">
        <v>6661</v>
      </c>
      <c r="N2046" s="107" t="str">
        <f t="shared" si="291"/>
        <v>(13.10) s. RANGE 0-500</v>
      </c>
    </row>
    <row r="2047" spans="1:24" ht="14.25" customHeight="1">
      <c r="A2047" t="s">
        <v>14</v>
      </c>
      <c r="B2047" t="s">
        <v>1253</v>
      </c>
      <c r="C2047" t="str">
        <f>RIGHT(B2047,1)&amp;"."</f>
        <v>t.</v>
      </c>
      <c r="D2047" t="s">
        <v>1172</v>
      </c>
      <c r="E2047" s="118" t="str">
        <f>C2047&amp;D2047</f>
        <v>t.Sterile tray</v>
      </c>
      <c r="F2047" s="118" t="s">
        <v>2716</v>
      </c>
      <c r="H2047" s="206" t="str">
        <f t="shared" si="287"/>
        <v>(13.10) THE QUANTITY FOR - t.Sterile tray</v>
      </c>
      <c r="I2047" s="213" t="str">
        <f>A2047</f>
        <v>integer</v>
      </c>
      <c r="J2047" s="106" t="s">
        <v>6798</v>
      </c>
      <c r="K2047" s="116" t="s">
        <v>2443</v>
      </c>
      <c r="L2047" s="118" t="str">
        <f t="shared" si="284"/>
        <v>Sorry, question (13.10)t. is required!</v>
      </c>
      <c r="M2047" s="113" t="s">
        <v>6661</v>
      </c>
      <c r="N2047" s="107" t="str">
        <f xml:space="preserve"> "(13.10) "&amp; LEFT(E2047,2) &amp;" RANGE 0-500"</f>
        <v>(13.10) t. RANGE 0-500</v>
      </c>
    </row>
    <row r="2048" spans="1:24" ht="14.25" customHeight="1">
      <c r="A2048" t="s">
        <v>15</v>
      </c>
      <c r="E2048" s="118" t="str">
        <f t="shared" si="283"/>
        <v/>
      </c>
      <c r="H2048" s="206" t="str">
        <f t="shared" si="287"/>
        <v xml:space="preserve">(13.10) THE QUANTITY FOR - </v>
      </c>
      <c r="L2048" s="118" t="str">
        <f t="shared" si="284"/>
        <v/>
      </c>
      <c r="X2048" t="s">
        <v>3032</v>
      </c>
    </row>
    <row r="2049" spans="1:24" ht="14.25" customHeight="1">
      <c r="A2049" t="s">
        <v>954</v>
      </c>
      <c r="B2049" t="s">
        <v>3305</v>
      </c>
      <c r="E2049" s="118" t="s">
        <v>5458</v>
      </c>
      <c r="J2049" s="106" t="s">
        <v>3371</v>
      </c>
      <c r="L2049" s="118" t="str">
        <f t="shared" si="284"/>
        <v/>
      </c>
      <c r="X2049" t="s">
        <v>3032</v>
      </c>
    </row>
    <row r="2050" spans="1:24" ht="14.25" customHeight="1">
      <c r="A2050" t="s">
        <v>17</v>
      </c>
      <c r="B2050" t="s">
        <v>5219</v>
      </c>
      <c r="D2050" t="s">
        <v>3522</v>
      </c>
      <c r="E2050" s="118" t="str">
        <f t="shared" si="283"/>
        <v xml:space="preserve">(13.10) PLEASE RECORD THE QUANTITY FOR EACH TYPE OF EQUIPMENT. </v>
      </c>
      <c r="F2050" s="130" t="s">
        <v>6660</v>
      </c>
      <c r="H2050" s="206" t="str">
        <f t="shared" si="287"/>
        <v xml:space="preserve">(13.10) THE QUANTITY FOR - (13.10) PLEASE RECORD THE QUANTITY FOR EACH TYPE OF EQUIPMENT. </v>
      </c>
      <c r="I2050" s="213" t="str">
        <f t="shared" ref="I2050:I2112" si="292">A2050</f>
        <v>note</v>
      </c>
      <c r="J2050" s="106" t="s">
        <v>6790</v>
      </c>
      <c r="L2050" s="118" t="str">
        <f t="shared" si="284"/>
        <v/>
      </c>
    </row>
    <row r="2051" spans="1:24" ht="14.25" customHeight="1">
      <c r="A2051" t="s">
        <v>14</v>
      </c>
      <c r="B2051" t="s">
        <v>1254</v>
      </c>
      <c r="C2051" t="str">
        <f t="shared" ref="C2051:C2056" si="293">RIGHT(B2051,1)&amp;"."</f>
        <v>u.</v>
      </c>
      <c r="D2051" t="s">
        <v>1173</v>
      </c>
      <c r="E2051" s="118" t="str">
        <f t="shared" si="283"/>
        <v>u.Plastic container with a plastic liner to dispose the placenta</v>
      </c>
      <c r="F2051" s="118" t="s">
        <v>2716</v>
      </c>
      <c r="H2051" s="206" t="str">
        <f t="shared" si="287"/>
        <v>(13.10) THE QUANTITY FOR - u.Plastic container with a plastic liner to dispose the placenta</v>
      </c>
      <c r="I2051" s="213" t="str">
        <f t="shared" si="292"/>
        <v>integer</v>
      </c>
      <c r="J2051" s="106" t="s">
        <v>6791</v>
      </c>
      <c r="K2051" s="116" t="s">
        <v>2443</v>
      </c>
      <c r="L2051" s="118" t="str">
        <f t="shared" si="284"/>
        <v>Sorry, question (13.10)u. is required!</v>
      </c>
      <c r="M2051" s="113" t="s">
        <v>6661</v>
      </c>
      <c r="N2051" s="107" t="str">
        <f t="shared" ref="N2051:N2056" si="294" xml:space="preserve"> "(13.10) "&amp; LEFT(E2051,2) &amp;" RANGE 0-500"</f>
        <v>(13.10) u. RANGE 0-500</v>
      </c>
    </row>
    <row r="2052" spans="1:24" ht="14.25" customHeight="1">
      <c r="A2052" t="s">
        <v>14</v>
      </c>
      <c r="B2052" t="s">
        <v>1255</v>
      </c>
      <c r="C2052" t="str">
        <f t="shared" si="293"/>
        <v>v.</v>
      </c>
      <c r="D2052" t="s">
        <v>1174</v>
      </c>
      <c r="E2052" s="118" t="str">
        <f t="shared" si="283"/>
        <v>v.Plastic container with a plastic liner for medical waste (gauze, etc.)</v>
      </c>
      <c r="F2052" s="118" t="s">
        <v>2716</v>
      </c>
      <c r="H2052" s="206" t="str">
        <f t="shared" si="287"/>
        <v>(13.10) THE QUANTITY FOR - v.Plastic container with a plastic liner for medical waste (gauze, etc.)</v>
      </c>
      <c r="I2052" s="213" t="str">
        <f t="shared" si="292"/>
        <v>integer</v>
      </c>
      <c r="J2052" s="106" t="s">
        <v>6792</v>
      </c>
      <c r="K2052" s="116" t="s">
        <v>2443</v>
      </c>
      <c r="L2052" s="118" t="str">
        <f t="shared" si="284"/>
        <v>Sorry, question (13.10)v. is required!</v>
      </c>
      <c r="M2052" s="113" t="s">
        <v>6661</v>
      </c>
      <c r="N2052" s="107" t="str">
        <f t="shared" si="294"/>
        <v>(13.10) v. RANGE 0-500</v>
      </c>
    </row>
    <row r="2053" spans="1:24" ht="14.25" customHeight="1">
      <c r="A2053" t="s">
        <v>14</v>
      </c>
      <c r="B2053" t="s">
        <v>1256</v>
      </c>
      <c r="C2053" t="str">
        <f t="shared" si="293"/>
        <v>w.</v>
      </c>
      <c r="D2053" t="s">
        <v>1175</v>
      </c>
      <c r="E2053" s="118" t="str">
        <f t="shared" si="283"/>
        <v>w.Stethoscope, adult</v>
      </c>
      <c r="F2053" s="118" t="s">
        <v>2716</v>
      </c>
      <c r="H2053" s="206" t="str">
        <f t="shared" si="287"/>
        <v>(13.10) THE QUANTITY FOR - w.Stethoscope, adult</v>
      </c>
      <c r="I2053" s="213" t="str">
        <f t="shared" si="292"/>
        <v>integer</v>
      </c>
      <c r="J2053" s="106" t="s">
        <v>6793</v>
      </c>
      <c r="K2053" s="116" t="s">
        <v>2443</v>
      </c>
      <c r="L2053" s="118" t="str">
        <f t="shared" si="284"/>
        <v>Sorry, question (13.10)w. is required!</v>
      </c>
      <c r="M2053" s="113" t="s">
        <v>6661</v>
      </c>
      <c r="N2053" s="107" t="str">
        <f t="shared" si="294"/>
        <v>(13.10) w. RANGE 0-500</v>
      </c>
    </row>
    <row r="2054" spans="1:24" ht="14.25" customHeight="1">
      <c r="A2054" t="s">
        <v>14</v>
      </c>
      <c r="B2054" t="s">
        <v>1257</v>
      </c>
      <c r="C2054" t="str">
        <f t="shared" si="293"/>
        <v>x.</v>
      </c>
      <c r="D2054" t="s">
        <v>1176</v>
      </c>
      <c r="E2054" s="118" t="str">
        <f t="shared" si="283"/>
        <v>x.Stethoscope, Pinard  fetal</v>
      </c>
      <c r="F2054" s="118" t="s">
        <v>2716</v>
      </c>
      <c r="H2054" s="206" t="str">
        <f t="shared" si="287"/>
        <v>(13.10) THE QUANTITY FOR - x.Stethoscope, Pinard  fetal</v>
      </c>
      <c r="I2054" s="213" t="str">
        <f t="shared" si="292"/>
        <v>integer</v>
      </c>
      <c r="J2054" s="106" t="s">
        <v>6795</v>
      </c>
      <c r="K2054" s="116" t="s">
        <v>2443</v>
      </c>
      <c r="L2054" s="118" t="str">
        <f t="shared" si="284"/>
        <v>Sorry, question (13.10)x. is required!</v>
      </c>
      <c r="M2054" s="113" t="s">
        <v>6661</v>
      </c>
      <c r="N2054" s="107" t="str">
        <f t="shared" si="294"/>
        <v>(13.10) x. RANGE 0-500</v>
      </c>
    </row>
    <row r="2055" spans="1:24" ht="14.25" customHeight="1">
      <c r="A2055" t="s">
        <v>14</v>
      </c>
      <c r="B2055" t="s">
        <v>1521</v>
      </c>
      <c r="C2055" t="str">
        <f t="shared" si="293"/>
        <v>y.</v>
      </c>
      <c r="D2055" t="s">
        <v>1129</v>
      </c>
      <c r="E2055" s="118" t="str">
        <f t="shared" si="283"/>
        <v xml:space="preserve">y.Blood pressure instrument </v>
      </c>
      <c r="F2055" s="118" t="s">
        <v>2716</v>
      </c>
      <c r="H2055" s="206" t="str">
        <f t="shared" si="287"/>
        <v xml:space="preserve">(13.10) THE QUANTITY FOR - y.Blood pressure instrument </v>
      </c>
      <c r="I2055" s="213" t="str">
        <f t="shared" si="292"/>
        <v>integer</v>
      </c>
      <c r="J2055" s="106" t="s">
        <v>6796</v>
      </c>
      <c r="K2055" s="116" t="s">
        <v>2443</v>
      </c>
      <c r="L2055" s="118" t="str">
        <f t="shared" si="284"/>
        <v>Sorry, question (13.10)y. is required!</v>
      </c>
      <c r="M2055" s="113" t="s">
        <v>6661</v>
      </c>
      <c r="N2055" s="107" t="str">
        <f t="shared" si="294"/>
        <v>(13.10) y. RANGE 0-500</v>
      </c>
    </row>
    <row r="2056" spans="1:24" ht="14.25" customHeight="1">
      <c r="A2056" t="s">
        <v>14</v>
      </c>
      <c r="B2056" t="s">
        <v>1522</v>
      </c>
      <c r="C2056" t="str">
        <f t="shared" si="293"/>
        <v>z.</v>
      </c>
      <c r="D2056" t="s">
        <v>1177</v>
      </c>
      <c r="E2056" s="118" t="str">
        <f t="shared" si="283"/>
        <v>z.Kidney basin</v>
      </c>
      <c r="F2056" s="118" t="s">
        <v>2716</v>
      </c>
      <c r="H2056" s="206" t="str">
        <f t="shared" si="287"/>
        <v>(13.10) THE QUANTITY FOR - z.Kidney basin</v>
      </c>
      <c r="I2056" s="213" t="str">
        <f t="shared" si="292"/>
        <v>integer</v>
      </c>
      <c r="J2056" s="106" t="s">
        <v>6797</v>
      </c>
      <c r="K2056" s="116" t="s">
        <v>2443</v>
      </c>
      <c r="L2056" s="118" t="str">
        <f t="shared" si="284"/>
        <v>Sorry, question (13.10)z. is required!</v>
      </c>
      <c r="M2056" s="113" t="s">
        <v>6661</v>
      </c>
      <c r="N2056" s="107" t="str">
        <f t="shared" si="294"/>
        <v>(13.10) z. RANGE 0-500</v>
      </c>
    </row>
    <row r="2057" spans="1:24" ht="14.25" customHeight="1">
      <c r="A2057" t="s">
        <v>15</v>
      </c>
      <c r="E2057" s="118" t="str">
        <f t="shared" si="283"/>
        <v/>
      </c>
      <c r="H2057" s="206" t="str">
        <f t="shared" si="287"/>
        <v xml:space="preserve">(13.10) THE QUANTITY FOR - </v>
      </c>
      <c r="L2057" s="118" t="str">
        <f t="shared" si="284"/>
        <v/>
      </c>
      <c r="X2057" t="s">
        <v>3032</v>
      </c>
    </row>
    <row r="2058" spans="1:24" ht="14.25" customHeight="1">
      <c r="A2058" t="s">
        <v>954</v>
      </c>
      <c r="B2058" t="s">
        <v>3304</v>
      </c>
      <c r="E2058" s="118" t="s">
        <v>5458</v>
      </c>
      <c r="J2058" s="106" t="s">
        <v>3371</v>
      </c>
      <c r="L2058" s="118" t="str">
        <f t="shared" si="284"/>
        <v/>
      </c>
      <c r="X2058" t="s">
        <v>3032</v>
      </c>
    </row>
    <row r="2059" spans="1:24" ht="14.25" customHeight="1">
      <c r="A2059" t="s">
        <v>17</v>
      </c>
      <c r="B2059" t="s">
        <v>2701</v>
      </c>
      <c r="D2059" t="s">
        <v>3522</v>
      </c>
      <c r="E2059" s="118" t="str">
        <f t="shared" si="283"/>
        <v xml:space="preserve">(13.10) PLEASE RECORD THE QUANTITY FOR EACH TYPE OF EQUIPMENT. </v>
      </c>
      <c r="F2059" s="130" t="s">
        <v>6660</v>
      </c>
      <c r="H2059" s="206" t="str">
        <f t="shared" si="287"/>
        <v xml:space="preserve">(13.10) THE QUANTITY FOR - (13.10) PLEASE RECORD THE QUANTITY FOR EACH TYPE OF EQUIPMENT. </v>
      </c>
      <c r="I2059" s="213" t="str">
        <f t="shared" si="292"/>
        <v>note</v>
      </c>
      <c r="J2059" s="106" t="s">
        <v>6790</v>
      </c>
      <c r="L2059" s="118" t="str">
        <f t="shared" si="284"/>
        <v/>
      </c>
    </row>
    <row r="2060" spans="1:24" ht="14.25" customHeight="1">
      <c r="A2060" t="s">
        <v>14</v>
      </c>
      <c r="B2060" t="s">
        <v>1259</v>
      </c>
      <c r="C2060" t="str">
        <f t="shared" ref="C2060:C2066" si="295">RIGHT(B2060,2)&amp;"."</f>
        <v>aa.</v>
      </c>
      <c r="D2060" t="s">
        <v>1178</v>
      </c>
      <c r="E2060" s="118" t="str">
        <f t="shared" si="283"/>
        <v>aa.Steel bowl</v>
      </c>
      <c r="F2060" s="118" t="s">
        <v>2716</v>
      </c>
      <c r="H2060" s="206" t="str">
        <f t="shared" si="287"/>
        <v>(13.10) THE QUANTITY FOR - aa.Steel bowl</v>
      </c>
      <c r="I2060" s="213" t="str">
        <f t="shared" si="292"/>
        <v>integer</v>
      </c>
      <c r="J2060" s="106" t="s">
        <v>6791</v>
      </c>
      <c r="K2060" s="116" t="s">
        <v>2443</v>
      </c>
      <c r="L2060" s="118" t="str">
        <f t="shared" si="284"/>
        <v>Sorry, question (13.10)aa is required!</v>
      </c>
      <c r="M2060" s="113" t="s">
        <v>6661</v>
      </c>
      <c r="N2060" s="107" t="str">
        <f t="shared" ref="N2060:N2066" si="296" xml:space="preserve"> "(13.10) "&amp; LEFT(E2060,3) &amp;" RANGE 0-500"</f>
        <v>(13.10) aa. RANGE 0-500</v>
      </c>
    </row>
    <row r="2061" spans="1:24" ht="14.25" customHeight="1">
      <c r="A2061" t="s">
        <v>14</v>
      </c>
      <c r="B2061" t="s">
        <v>1260</v>
      </c>
      <c r="C2061" t="str">
        <f t="shared" si="295"/>
        <v>ab.</v>
      </c>
      <c r="D2061" t="s">
        <v>1179</v>
      </c>
      <c r="E2061" s="118" t="str">
        <f t="shared" si="283"/>
        <v>ab.Protective apron and plastic draw sheet</v>
      </c>
      <c r="F2061" s="118" t="s">
        <v>2716</v>
      </c>
      <c r="H2061" s="206" t="str">
        <f t="shared" si="287"/>
        <v>(13.10) THE QUANTITY FOR - ab.Protective apron and plastic draw sheet</v>
      </c>
      <c r="I2061" s="213" t="str">
        <f t="shared" si="292"/>
        <v>integer</v>
      </c>
      <c r="J2061" s="106" t="s">
        <v>6792</v>
      </c>
      <c r="K2061" s="116" t="s">
        <v>2443</v>
      </c>
      <c r="L2061" s="118" t="str">
        <f t="shared" si="284"/>
        <v>Sorry, question (13.10)ab is required!</v>
      </c>
      <c r="M2061" s="113" t="s">
        <v>6661</v>
      </c>
      <c r="N2061" s="107" t="str">
        <f t="shared" si="296"/>
        <v>(13.10) ab. RANGE 0-500</v>
      </c>
    </row>
    <row r="2062" spans="1:24" ht="14.25" customHeight="1">
      <c r="A2062" t="s">
        <v>14</v>
      </c>
      <c r="B2062" t="s">
        <v>1261</v>
      </c>
      <c r="C2062" t="str">
        <f t="shared" si="295"/>
        <v>ac.</v>
      </c>
      <c r="D2062" t="s">
        <v>1180</v>
      </c>
      <c r="E2062" s="118" t="str">
        <f t="shared" si="283"/>
        <v>ac.Tourniquet</v>
      </c>
      <c r="F2062" s="118" t="s">
        <v>2716</v>
      </c>
      <c r="H2062" s="206" t="str">
        <f t="shared" si="287"/>
        <v>(13.10) THE QUANTITY FOR - ac.Tourniquet</v>
      </c>
      <c r="I2062" s="213" t="str">
        <f t="shared" si="292"/>
        <v>integer</v>
      </c>
      <c r="J2062" s="106" t="s">
        <v>6793</v>
      </c>
      <c r="K2062" s="116" t="s">
        <v>2443</v>
      </c>
      <c r="L2062" s="118" t="str">
        <f t="shared" si="284"/>
        <v>Sorry, question (13.10)ac is required!</v>
      </c>
      <c r="M2062" s="113" t="s">
        <v>6661</v>
      </c>
      <c r="N2062" s="107" t="str">
        <f t="shared" si="296"/>
        <v>(13.10) ac. RANGE 0-500</v>
      </c>
    </row>
    <row r="2063" spans="1:24" ht="14.25" customHeight="1">
      <c r="A2063" t="s">
        <v>14</v>
      </c>
      <c r="B2063" t="s">
        <v>1262</v>
      </c>
      <c r="C2063" t="str">
        <f t="shared" si="295"/>
        <v>ad.</v>
      </c>
      <c r="D2063" t="s">
        <v>1181</v>
      </c>
      <c r="E2063" s="118" t="str">
        <f t="shared" si="283"/>
        <v>ad.Two sterile towels (one to receive the baby, one for active management)</v>
      </c>
      <c r="F2063" s="118" t="s">
        <v>2716</v>
      </c>
      <c r="H2063" s="206" t="str">
        <f t="shared" si="287"/>
        <v>(13.10) THE QUANTITY FOR - ad.Two sterile towels (one to receive the baby, one for active management)</v>
      </c>
      <c r="I2063" s="213" t="str">
        <f t="shared" si="292"/>
        <v>integer</v>
      </c>
      <c r="J2063" s="106" t="s">
        <v>6794</v>
      </c>
      <c r="K2063" s="116" t="s">
        <v>2443</v>
      </c>
      <c r="L2063" s="118" t="str">
        <f t="shared" si="284"/>
        <v>Sorry, question (13.10)ad is required!</v>
      </c>
      <c r="M2063" s="113" t="s">
        <v>6661</v>
      </c>
      <c r="N2063" s="107" t="str">
        <f t="shared" si="296"/>
        <v>(13.10) ad. RANGE 0-500</v>
      </c>
    </row>
    <row r="2064" spans="1:24" ht="14.25" customHeight="1">
      <c r="A2064" t="s">
        <v>14</v>
      </c>
      <c r="B2064" t="s">
        <v>1263</v>
      </c>
      <c r="C2064" t="str">
        <f t="shared" si="295"/>
        <v>ae.</v>
      </c>
      <c r="D2064" t="s">
        <v>1182</v>
      </c>
      <c r="E2064" s="118" t="str">
        <f t="shared" si="283"/>
        <v>ae.Baby scale (infant weighing scale)</v>
      </c>
      <c r="F2064" s="118" t="s">
        <v>2716</v>
      </c>
      <c r="H2064" s="206" t="str">
        <f t="shared" si="287"/>
        <v>(13.10) THE QUANTITY FOR - ae.Baby scale (infant weighing scale)</v>
      </c>
      <c r="I2064" s="213" t="str">
        <f t="shared" si="292"/>
        <v>integer</v>
      </c>
      <c r="J2064" s="106" t="s">
        <v>6795</v>
      </c>
      <c r="K2064" s="116" t="s">
        <v>2443</v>
      </c>
      <c r="L2064" s="118" t="str">
        <f t="shared" si="284"/>
        <v>Sorry, question (13.10)ae is required!</v>
      </c>
      <c r="M2064" s="113" t="s">
        <v>6661</v>
      </c>
      <c r="N2064" s="107" t="str">
        <f t="shared" si="296"/>
        <v>(13.10) ae. RANGE 0-500</v>
      </c>
    </row>
    <row r="2065" spans="1:24" ht="14.25" customHeight="1">
      <c r="A2065" t="s">
        <v>14</v>
      </c>
      <c r="B2065" t="s">
        <v>1264</v>
      </c>
      <c r="C2065" t="str">
        <f t="shared" si="295"/>
        <v>af.</v>
      </c>
      <c r="D2065" t="s">
        <v>1183</v>
      </c>
      <c r="E2065" s="118" t="str">
        <f t="shared" si="283"/>
        <v>af.Forceps, artery</v>
      </c>
      <c r="F2065" s="118" t="s">
        <v>2716</v>
      </c>
      <c r="H2065" s="206" t="str">
        <f t="shared" si="287"/>
        <v>(13.10) THE QUANTITY FOR - af.Forceps, artery</v>
      </c>
      <c r="I2065" s="213" t="str">
        <f t="shared" si="292"/>
        <v>integer</v>
      </c>
      <c r="J2065" s="106" t="s">
        <v>6796</v>
      </c>
      <c r="K2065" s="116" t="s">
        <v>2443</v>
      </c>
      <c r="L2065" s="118" t="str">
        <f t="shared" si="284"/>
        <v>Sorry, question (13.10)af is required!</v>
      </c>
      <c r="M2065" s="113" t="s">
        <v>6661</v>
      </c>
      <c r="N2065" s="107" t="str">
        <f t="shared" si="296"/>
        <v>(13.10) af. RANGE 0-500</v>
      </c>
    </row>
    <row r="2066" spans="1:24" ht="14.25" customHeight="1">
      <c r="A2066" t="s">
        <v>14</v>
      </c>
      <c r="B2066" t="s">
        <v>1265</v>
      </c>
      <c r="C2066" t="str">
        <f t="shared" si="295"/>
        <v>ag.</v>
      </c>
      <c r="D2066" t="s">
        <v>1184</v>
      </c>
      <c r="E2066" s="118" t="str">
        <f t="shared" si="283"/>
        <v>ag.Forceps, dressing</v>
      </c>
      <c r="F2066" s="118" t="s">
        <v>2716</v>
      </c>
      <c r="H2066" s="206" t="str">
        <f t="shared" si="287"/>
        <v>(13.10) THE QUANTITY FOR - ag.Forceps, dressing</v>
      </c>
      <c r="I2066" s="213" t="str">
        <f t="shared" si="292"/>
        <v>integer</v>
      </c>
      <c r="J2066" s="106" t="s">
        <v>6797</v>
      </c>
      <c r="K2066" s="116" t="s">
        <v>2443</v>
      </c>
      <c r="L2066" s="118" t="str">
        <f t="shared" si="284"/>
        <v>Sorry, question (13.10)ag is required!</v>
      </c>
      <c r="M2066" s="113" t="s">
        <v>6661</v>
      </c>
      <c r="N2066" s="107" t="str">
        <f t="shared" si="296"/>
        <v>(13.10) ag. RANGE 0-500</v>
      </c>
    </row>
    <row r="2067" spans="1:24" ht="14.25" customHeight="1">
      <c r="A2067" t="s">
        <v>14</v>
      </c>
      <c r="B2067" t="s">
        <v>1266</v>
      </c>
      <c r="C2067" t="str">
        <f>RIGHT(B2067,2)&amp;"."</f>
        <v>ah.</v>
      </c>
      <c r="D2067" t="s">
        <v>1185</v>
      </c>
      <c r="E2067" s="118" t="str">
        <f>C2067&amp;D2067</f>
        <v>ah.Forceps, uterine</v>
      </c>
      <c r="F2067" s="118" t="s">
        <v>2716</v>
      </c>
      <c r="H2067" s="206" t="str">
        <f t="shared" si="287"/>
        <v>(13.10) THE QUANTITY FOR - ah.Forceps, uterine</v>
      </c>
      <c r="I2067" s="213" t="str">
        <f>A2067</f>
        <v>integer</v>
      </c>
      <c r="J2067" s="106" t="s">
        <v>6798</v>
      </c>
      <c r="K2067" s="116" t="s">
        <v>2443</v>
      </c>
      <c r="L2067" s="118" t="str">
        <f t="shared" si="284"/>
        <v>Sorry, question (13.10)ah is required!</v>
      </c>
      <c r="M2067" s="113" t="s">
        <v>6661</v>
      </c>
      <c r="N2067" s="107" t="str">
        <f xml:space="preserve"> "(13.10) "&amp; LEFT(E2067,3) &amp;" RANGE 0-500"</f>
        <v>(13.10) ah. RANGE 0-500</v>
      </c>
    </row>
    <row r="2068" spans="1:24" ht="14.25" customHeight="1">
      <c r="A2068" t="s">
        <v>15</v>
      </c>
      <c r="H2068" s="206" t="str">
        <f t="shared" si="287"/>
        <v xml:space="preserve">(13.10) THE QUANTITY FOR - </v>
      </c>
      <c r="L2068" s="118" t="str">
        <f t="shared" ref="L2068" si="297">IF(K2068="yes",("Sorry, question "&amp;LEFT($E$2081, 7)&amp;LEFT(C2068,2)&amp;" is required!"),"")</f>
        <v/>
      </c>
      <c r="X2068" t="s">
        <v>3032</v>
      </c>
    </row>
    <row r="2069" spans="1:24" ht="14.25" customHeight="1">
      <c r="A2069" t="s">
        <v>954</v>
      </c>
      <c r="B2069" t="s">
        <v>3303</v>
      </c>
      <c r="E2069" s="118" t="s">
        <v>5458</v>
      </c>
      <c r="J2069" s="106" t="s">
        <v>3371</v>
      </c>
      <c r="L2069" s="118" t="str">
        <f t="shared" ref="L2069:L2085" si="298">IF(K2069="yes",("Sorry, question "&amp;LEFT($E$2081, 7)&amp;LEFT(C2069,2)&amp;" is required!"),"")</f>
        <v/>
      </c>
      <c r="X2069" t="s">
        <v>3032</v>
      </c>
    </row>
    <row r="2070" spans="1:24" ht="14.25" customHeight="1">
      <c r="A2070" t="s">
        <v>17</v>
      </c>
      <c r="B2070" t="s">
        <v>2702</v>
      </c>
      <c r="E2070" s="118" t="s">
        <v>3522</v>
      </c>
      <c r="F2070" s="130" t="s">
        <v>6660</v>
      </c>
      <c r="H2070" s="206" t="str">
        <f t="shared" si="287"/>
        <v xml:space="preserve">(13.10) THE QUANTITY FOR - (13.10) PLEASE RECORD THE QUANTITY FOR EACH TYPE OF EQUIPMENT. </v>
      </c>
      <c r="I2070" s="213" t="str">
        <f t="shared" si="292"/>
        <v>note</v>
      </c>
      <c r="J2070" s="106" t="s">
        <v>6790</v>
      </c>
      <c r="L2070" s="118" t="str">
        <f t="shared" si="298"/>
        <v/>
      </c>
    </row>
    <row r="2071" spans="1:24" ht="14.25" customHeight="1">
      <c r="A2071" t="s">
        <v>14</v>
      </c>
      <c r="B2071" t="s">
        <v>1267</v>
      </c>
      <c r="C2071" t="str">
        <f t="shared" ref="C2071:C2076" si="299">RIGHT(B2071,2)&amp;"."</f>
        <v>ai.</v>
      </c>
      <c r="D2071" t="s">
        <v>1186</v>
      </c>
      <c r="E2071" s="118" t="str">
        <f t="shared" ref="E2071:E2076" si="300">C2071&amp;D2071</f>
        <v>ai.Needle holder</v>
      </c>
      <c r="F2071" s="118" t="s">
        <v>2716</v>
      </c>
      <c r="H2071" s="206" t="str">
        <f t="shared" si="287"/>
        <v>(13.10) THE QUANTITY FOR - ai.Needle holder</v>
      </c>
      <c r="I2071" s="213" t="str">
        <f t="shared" si="292"/>
        <v>integer</v>
      </c>
      <c r="J2071" s="106" t="s">
        <v>6791</v>
      </c>
      <c r="K2071" s="116" t="s">
        <v>2443</v>
      </c>
      <c r="L2071" s="118" t="str">
        <f t="shared" si="298"/>
        <v>Sorry, question (13.10)ai is required!</v>
      </c>
      <c r="M2071" s="113" t="s">
        <v>6661</v>
      </c>
      <c r="N2071" s="107" t="str">
        <f t="shared" ref="N2071:N2076" si="301" xml:space="preserve"> "(13.10) "&amp; LEFT(E2071,3) &amp;" RANGE 0-500"</f>
        <v>(13.10) ai. RANGE 0-500</v>
      </c>
    </row>
    <row r="2072" spans="1:24" ht="14.25" customHeight="1">
      <c r="A2072" t="s">
        <v>14</v>
      </c>
      <c r="B2072" t="s">
        <v>1268</v>
      </c>
      <c r="C2072" t="str">
        <f t="shared" si="299"/>
        <v>aj.</v>
      </c>
      <c r="D2072" t="s">
        <v>1187</v>
      </c>
      <c r="E2072" s="118" t="str">
        <f t="shared" si="300"/>
        <v>aj.Syringes and disposable needles</v>
      </c>
      <c r="F2072" s="118" t="s">
        <v>2716</v>
      </c>
      <c r="H2072" s="206" t="str">
        <f t="shared" si="287"/>
        <v>(13.10) THE QUANTITY FOR - aj.Syringes and disposable needles</v>
      </c>
      <c r="I2072" s="213" t="str">
        <f t="shared" si="292"/>
        <v>integer</v>
      </c>
      <c r="J2072" s="106" t="s">
        <v>6792</v>
      </c>
      <c r="K2072" s="116" t="s">
        <v>2443</v>
      </c>
      <c r="L2072" s="118" t="str">
        <f t="shared" si="298"/>
        <v>Sorry, question (13.10)aj is required!</v>
      </c>
      <c r="M2072" s="113" t="s">
        <v>6661</v>
      </c>
      <c r="N2072" s="107" t="str">
        <f t="shared" si="301"/>
        <v>(13.10) aj. RANGE 0-500</v>
      </c>
    </row>
    <row r="2073" spans="1:24" ht="14.25" customHeight="1">
      <c r="A2073" t="s">
        <v>14</v>
      </c>
      <c r="B2073" t="s">
        <v>1269</v>
      </c>
      <c r="C2073" t="str">
        <f t="shared" si="299"/>
        <v>ak.</v>
      </c>
      <c r="D2073" t="s">
        <v>1188</v>
      </c>
      <c r="E2073" s="118" t="str">
        <f t="shared" si="300"/>
        <v>ak.16- or 18-gauge needles</v>
      </c>
      <c r="F2073" s="118" t="s">
        <v>2716</v>
      </c>
      <c r="H2073" s="206" t="str">
        <f t="shared" si="287"/>
        <v>(13.10) THE QUANTITY FOR - ak.16- or 18-gauge needles</v>
      </c>
      <c r="I2073" s="213" t="str">
        <f t="shared" si="292"/>
        <v>integer</v>
      </c>
      <c r="J2073" s="106" t="s">
        <v>6793</v>
      </c>
      <c r="K2073" s="116" t="s">
        <v>2443</v>
      </c>
      <c r="L2073" s="118" t="str">
        <f t="shared" si="298"/>
        <v>Sorry, question (13.10)ak is required!</v>
      </c>
      <c r="M2073" s="113" t="s">
        <v>6661</v>
      </c>
      <c r="N2073" s="107" t="str">
        <f t="shared" si="301"/>
        <v>(13.10) ak. RANGE 0-500</v>
      </c>
    </row>
    <row r="2074" spans="1:24" ht="14.25" customHeight="1">
      <c r="A2074" t="s">
        <v>14</v>
      </c>
      <c r="B2074" t="s">
        <v>1270</v>
      </c>
      <c r="C2074" t="str">
        <f t="shared" si="299"/>
        <v>al.</v>
      </c>
      <c r="D2074" t="s">
        <v>1189</v>
      </c>
      <c r="E2074" s="118" t="str">
        <f t="shared" si="300"/>
        <v>al.Speculum, vaginal</v>
      </c>
      <c r="F2074" s="118" t="s">
        <v>2716</v>
      </c>
      <c r="H2074" s="206" t="str">
        <f t="shared" si="287"/>
        <v>(13.10) THE QUANTITY FOR - al.Speculum, vaginal</v>
      </c>
      <c r="I2074" s="213" t="str">
        <f t="shared" si="292"/>
        <v>integer</v>
      </c>
      <c r="J2074" s="106" t="s">
        <v>6794</v>
      </c>
      <c r="K2074" s="116" t="s">
        <v>2443</v>
      </c>
      <c r="L2074" s="118" t="str">
        <f t="shared" si="298"/>
        <v>Sorry, question (13.10)al is required!</v>
      </c>
      <c r="M2074" s="113" t="s">
        <v>6661</v>
      </c>
      <c r="N2074" s="107" t="str">
        <f t="shared" si="301"/>
        <v>(13.10) al. RANGE 0-500</v>
      </c>
    </row>
    <row r="2075" spans="1:24" ht="14.25" customHeight="1">
      <c r="A2075" t="s">
        <v>14</v>
      </c>
      <c r="B2075" t="s">
        <v>1271</v>
      </c>
      <c r="C2075" t="str">
        <f t="shared" si="299"/>
        <v>am.</v>
      </c>
      <c r="D2075" t="s">
        <v>1190</v>
      </c>
      <c r="E2075" s="118" t="str">
        <f t="shared" si="300"/>
        <v>am.Clamps (hemostats)</v>
      </c>
      <c r="F2075" s="118" t="s">
        <v>2716</v>
      </c>
      <c r="H2075" s="206" t="str">
        <f t="shared" si="287"/>
        <v>(13.10) THE QUANTITY FOR - am.Clamps (hemostats)</v>
      </c>
      <c r="I2075" s="213" t="str">
        <f t="shared" si="292"/>
        <v>integer</v>
      </c>
      <c r="J2075" s="106" t="s">
        <v>6795</v>
      </c>
      <c r="K2075" s="116" t="s">
        <v>2443</v>
      </c>
      <c r="L2075" s="118" t="str">
        <f t="shared" si="298"/>
        <v>Sorry, question (13.10)am is required!</v>
      </c>
      <c r="M2075" s="113" t="s">
        <v>6661</v>
      </c>
      <c r="N2075" s="107" t="str">
        <f t="shared" si="301"/>
        <v>(13.10) am. RANGE 0-500</v>
      </c>
    </row>
    <row r="2076" spans="1:24" ht="14.25" customHeight="1">
      <c r="A2076" t="s">
        <v>14</v>
      </c>
      <c r="B2076" t="s">
        <v>1272</v>
      </c>
      <c r="C2076" t="str">
        <f t="shared" si="299"/>
        <v>an.</v>
      </c>
      <c r="D2076" t="s">
        <v>1191</v>
      </c>
      <c r="E2076" s="118" t="str">
        <f t="shared" si="300"/>
        <v>an.Suction pump, hand or foot operated</v>
      </c>
      <c r="F2076" s="118" t="s">
        <v>2716</v>
      </c>
      <c r="H2076" s="206" t="str">
        <f t="shared" si="287"/>
        <v>(13.10) THE QUANTITY FOR - an.Suction pump, hand or foot operated</v>
      </c>
      <c r="I2076" s="213" t="str">
        <f t="shared" si="292"/>
        <v>integer</v>
      </c>
      <c r="J2076" s="106" t="s">
        <v>6796</v>
      </c>
      <c r="K2076" s="116" t="s">
        <v>2443</v>
      </c>
      <c r="L2076" s="118" t="str">
        <f t="shared" si="298"/>
        <v>Sorry, question (13.10)an is required!</v>
      </c>
      <c r="M2076" s="113" t="s">
        <v>6661</v>
      </c>
      <c r="N2076" s="107" t="str">
        <f t="shared" si="301"/>
        <v>(13.10) an. RANGE 0-500</v>
      </c>
    </row>
    <row r="2077" spans="1:24" ht="14.25" customHeight="1">
      <c r="A2077" t="s">
        <v>14</v>
      </c>
      <c r="B2077" t="s">
        <v>1273</v>
      </c>
      <c r="C2077" t="str">
        <f>RIGHT(B2077,2)&amp;"."</f>
        <v>ao.</v>
      </c>
      <c r="D2077" t="s">
        <v>1192</v>
      </c>
      <c r="E2077" s="118" t="str">
        <f>C2077&amp;D2077</f>
        <v>ao.Vacuum extractor</v>
      </c>
      <c r="F2077" s="118" t="s">
        <v>2716</v>
      </c>
      <c r="H2077" s="206" t="str">
        <f t="shared" si="287"/>
        <v>(13.10) THE QUANTITY FOR - ao.Vacuum extractor</v>
      </c>
      <c r="I2077" s="213" t="str">
        <f>A2077</f>
        <v>integer</v>
      </c>
      <c r="J2077" s="106" t="s">
        <v>6797</v>
      </c>
      <c r="K2077" s="116" t="s">
        <v>2443</v>
      </c>
      <c r="L2077" s="118" t="str">
        <f t="shared" si="298"/>
        <v>Sorry, question (13.10)ao is required!</v>
      </c>
      <c r="M2077" s="113" t="s">
        <v>6661</v>
      </c>
      <c r="N2077" s="107" t="e">
        <f>M1974:M1981+M2022= "(13.10) "&amp; LEFT(E2077,3) &amp;" RANGE 0-500"</f>
        <v>#VALUE!</v>
      </c>
    </row>
    <row r="2078" spans="1:24" ht="14.25" customHeight="1">
      <c r="A2078" t="s">
        <v>14</v>
      </c>
      <c r="B2078" t="s">
        <v>1274</v>
      </c>
      <c r="C2078" t="str">
        <f>RIGHT(B2078,2)&amp;"."</f>
        <v>ap.</v>
      </c>
      <c r="D2078" t="s">
        <v>1193</v>
      </c>
      <c r="E2078" s="118" t="str">
        <f>C2078&amp;D2078</f>
        <v>ap.Uterine dilator</v>
      </c>
      <c r="F2078" s="118" t="s">
        <v>2716</v>
      </c>
      <c r="H2078" s="206" t="str">
        <f t="shared" si="287"/>
        <v>(13.10) THE QUANTITY FOR - ap.Uterine dilator</v>
      </c>
      <c r="I2078" s="213" t="str">
        <f>A2078</f>
        <v>integer</v>
      </c>
      <c r="J2078" s="106" t="s">
        <v>6798</v>
      </c>
      <c r="K2078" s="116" t="s">
        <v>2443</v>
      </c>
      <c r="L2078" s="118" t="str">
        <f t="shared" si="298"/>
        <v>Sorry, question (13.10)ap is required!</v>
      </c>
      <c r="M2078" s="113" t="s">
        <v>6661</v>
      </c>
      <c r="N2078" s="107" t="str">
        <f xml:space="preserve"> "(13.10) "&amp; LEFT(E2078,3) &amp;" RANGE 0-500"</f>
        <v>(13.10) ap. RANGE 0-500</v>
      </c>
    </row>
    <row r="2079" spans="1:24" ht="14.25" customHeight="1">
      <c r="A2079" t="s">
        <v>15</v>
      </c>
      <c r="H2079" s="206" t="str">
        <f t="shared" si="287"/>
        <v xml:space="preserve">(13.10) THE QUANTITY FOR - </v>
      </c>
      <c r="L2079" s="118" t="str">
        <f t="shared" si="298"/>
        <v/>
      </c>
      <c r="X2079" t="s">
        <v>3032</v>
      </c>
    </row>
    <row r="2080" spans="1:24" ht="14.25" customHeight="1">
      <c r="A2080" t="s">
        <v>954</v>
      </c>
      <c r="B2080" t="s">
        <v>3302</v>
      </c>
      <c r="E2080" s="118" t="s">
        <v>5458</v>
      </c>
      <c r="J2080" s="106" t="s">
        <v>3371</v>
      </c>
      <c r="L2080" s="118" t="str">
        <f t="shared" si="298"/>
        <v/>
      </c>
      <c r="X2080" t="s">
        <v>3032</v>
      </c>
    </row>
    <row r="2081" spans="1:24" ht="14.25" customHeight="1">
      <c r="A2081" t="s">
        <v>17</v>
      </c>
      <c r="B2081" t="s">
        <v>2703</v>
      </c>
      <c r="E2081" s="118" t="s">
        <v>3523</v>
      </c>
      <c r="F2081" s="130" t="s">
        <v>6660</v>
      </c>
      <c r="H2081" s="206" t="str">
        <f t="shared" si="287"/>
        <v>(13.10) THE QUANTITY FOR - (13.10) PLEASE RECORD THE QUANTITY FOR EACH TYPE OF EQUIPMENT.</v>
      </c>
      <c r="I2081" s="213" t="str">
        <f t="shared" si="292"/>
        <v>note</v>
      </c>
      <c r="J2081" s="106" t="s">
        <v>6790</v>
      </c>
      <c r="L2081" s="118" t="str">
        <f t="shared" si="298"/>
        <v/>
      </c>
    </row>
    <row r="2082" spans="1:24" ht="14.25" customHeight="1">
      <c r="A2082" t="s">
        <v>14</v>
      </c>
      <c r="B2082" t="s">
        <v>1275</v>
      </c>
      <c r="C2082" t="str">
        <f t="shared" ref="C2082:C2089" si="302">RIGHT(B2082,2)&amp;"."</f>
        <v>aq.</v>
      </c>
      <c r="D2082" t="s">
        <v>1194</v>
      </c>
      <c r="E2082" s="118" t="str">
        <f t="shared" ref="E2082:E2089" si="303">C2082&amp;D2082</f>
        <v>aq.Curette, uterine</v>
      </c>
      <c r="F2082" s="118" t="s">
        <v>2716</v>
      </c>
      <c r="H2082" s="206" t="str">
        <f t="shared" si="287"/>
        <v>(13.10) THE QUANTITY FOR - aq.Curette, uterine</v>
      </c>
      <c r="I2082" s="213" t="str">
        <f t="shared" si="292"/>
        <v>integer</v>
      </c>
      <c r="J2082" s="106" t="s">
        <v>6791</v>
      </c>
      <c r="K2082" s="116" t="s">
        <v>2443</v>
      </c>
      <c r="L2082" s="118" t="str">
        <f t="shared" si="298"/>
        <v>Sorry, question (13.10)aq is required!</v>
      </c>
      <c r="M2082" s="113" t="s">
        <v>6661</v>
      </c>
      <c r="N2082" s="107" t="str">
        <f t="shared" ref="N2082:N2089" si="304" xml:space="preserve"> "(13.10) "&amp; LEFT(E2082,3) &amp;" RANGE 0-500"</f>
        <v>(13.10) aq. RANGE 0-500</v>
      </c>
    </row>
    <row r="2083" spans="1:24" ht="14.25" customHeight="1">
      <c r="A2083" t="s">
        <v>14</v>
      </c>
      <c r="B2083" t="s">
        <v>1276</v>
      </c>
      <c r="C2083" t="str">
        <f t="shared" si="302"/>
        <v>ar.</v>
      </c>
      <c r="D2083" t="s">
        <v>1195</v>
      </c>
      <c r="E2083" s="118" t="str">
        <f t="shared" si="303"/>
        <v>ar.Vaginal retractor</v>
      </c>
      <c r="F2083" s="118" t="s">
        <v>2716</v>
      </c>
      <c r="H2083" s="206" t="str">
        <f t="shared" si="287"/>
        <v>(13.10) THE QUANTITY FOR - ar.Vaginal retractor</v>
      </c>
      <c r="I2083" s="213" t="str">
        <f t="shared" si="292"/>
        <v>integer</v>
      </c>
      <c r="J2083" s="106" t="s">
        <v>6792</v>
      </c>
      <c r="K2083" s="116" t="s">
        <v>2443</v>
      </c>
      <c r="L2083" s="118" t="str">
        <f t="shared" si="298"/>
        <v>Sorry, question (13.10)ar is required!</v>
      </c>
      <c r="M2083" s="113" t="s">
        <v>6661</v>
      </c>
      <c r="N2083" s="107" t="str">
        <f t="shared" si="304"/>
        <v>(13.10) ar. RANGE 0-500</v>
      </c>
    </row>
    <row r="2084" spans="1:24" ht="14.25" customHeight="1">
      <c r="A2084" t="s">
        <v>14</v>
      </c>
      <c r="B2084" t="s">
        <v>1277</v>
      </c>
      <c r="C2084" t="str">
        <f t="shared" si="302"/>
        <v>as.</v>
      </c>
      <c r="D2084" t="s">
        <v>1196</v>
      </c>
      <c r="E2084" s="118" t="str">
        <f t="shared" si="303"/>
        <v>as.Bag Valve Mask (Ambu bag), Adult</v>
      </c>
      <c r="F2084" s="118" t="s">
        <v>2716</v>
      </c>
      <c r="H2084" s="206" t="str">
        <f t="shared" si="287"/>
        <v>(13.10) THE QUANTITY FOR - as.Bag Valve Mask (Ambu bag), Adult</v>
      </c>
      <c r="I2084" s="213" t="str">
        <f t="shared" si="292"/>
        <v>integer</v>
      </c>
      <c r="J2084" s="106" t="s">
        <v>6793</v>
      </c>
      <c r="K2084" s="116" t="s">
        <v>2443</v>
      </c>
      <c r="L2084" s="118" t="str">
        <f t="shared" si="298"/>
        <v>Sorry, question (13.10)as is required!</v>
      </c>
      <c r="M2084" s="113" t="s">
        <v>6661</v>
      </c>
      <c r="N2084" s="107" t="str">
        <f t="shared" si="304"/>
        <v>(13.10) as. RANGE 0-500</v>
      </c>
    </row>
    <row r="2085" spans="1:24" ht="14.25" customHeight="1">
      <c r="A2085" t="s">
        <v>14</v>
      </c>
      <c r="B2085" t="s">
        <v>3419</v>
      </c>
      <c r="C2085" t="str">
        <f t="shared" si="302"/>
        <v>at.</v>
      </c>
      <c r="D2085" t="s">
        <v>3418</v>
      </c>
      <c r="E2085" s="118" t="str">
        <f t="shared" si="303"/>
        <v>at.Guedel airways-neonatal, child, and adult</v>
      </c>
      <c r="F2085" s="118" t="s">
        <v>2716</v>
      </c>
      <c r="H2085" s="206" t="str">
        <f t="shared" si="287"/>
        <v>(13.10) THE QUANTITY FOR - at.Guedel airways-neonatal, child, and adult</v>
      </c>
      <c r="I2085" s="213" t="str">
        <f t="shared" si="292"/>
        <v>integer</v>
      </c>
      <c r="J2085" s="106" t="s">
        <v>6794</v>
      </c>
      <c r="K2085" s="116" t="s">
        <v>2443</v>
      </c>
      <c r="L2085" s="118" t="str">
        <f t="shared" si="298"/>
        <v>Sorry, question (13.10)at is required!</v>
      </c>
      <c r="M2085" s="113" t="s">
        <v>6661</v>
      </c>
      <c r="N2085" s="107" t="str">
        <f t="shared" si="304"/>
        <v>(13.10) at. RANGE 0-500</v>
      </c>
    </row>
    <row r="2086" spans="1:24" ht="14.25" customHeight="1">
      <c r="A2086" t="s">
        <v>14</v>
      </c>
      <c r="B2086" t="s">
        <v>1278</v>
      </c>
      <c r="C2086" t="str">
        <f t="shared" si="302"/>
        <v>au.</v>
      </c>
      <c r="D2086" t="s">
        <v>1197</v>
      </c>
      <c r="E2086" s="118" t="str">
        <f t="shared" si="303"/>
        <v>au.Perineal pads</v>
      </c>
      <c r="F2086" s="118" t="s">
        <v>2716</v>
      </c>
      <c r="H2086" s="206" t="str">
        <f t="shared" si="287"/>
        <v>(13.10) THE QUANTITY FOR - au.Perineal pads</v>
      </c>
      <c r="I2086" s="213" t="str">
        <f t="shared" si="292"/>
        <v>integer</v>
      </c>
      <c r="J2086" s="106" t="s">
        <v>6795</v>
      </c>
      <c r="K2086" s="116" t="s">
        <v>2443</v>
      </c>
      <c r="L2086" s="118" t="str">
        <f t="shared" ref="L2086:L2089" si="305">IF(K2086="yes",("Sorry, question "&amp;LEFT($E$2081, 7)&amp;LEFT(C2086,2)&amp;" is required!"),"")</f>
        <v>Sorry, question (13.10)au is required!</v>
      </c>
      <c r="M2086" s="113" t="s">
        <v>6661</v>
      </c>
      <c r="N2086" s="107" t="str">
        <f t="shared" si="304"/>
        <v>(13.10) au. RANGE 0-500</v>
      </c>
    </row>
    <row r="2087" spans="1:24" ht="14.25" customHeight="1">
      <c r="A2087" t="s">
        <v>14</v>
      </c>
      <c r="B2087" t="s">
        <v>1279</v>
      </c>
      <c r="C2087" t="str">
        <f t="shared" si="302"/>
        <v>av.</v>
      </c>
      <c r="D2087" t="s">
        <v>1198</v>
      </c>
      <c r="E2087" s="118" t="str">
        <f t="shared" si="303"/>
        <v>av.Kit for caesarean sections</v>
      </c>
      <c r="F2087" s="118" t="s">
        <v>2716</v>
      </c>
      <c r="H2087" s="206" t="str">
        <f t="shared" ref="H2087:H2089" si="306">"(13.10) THE QUANTITY FOR - "&amp;E2087</f>
        <v>(13.10) THE QUANTITY FOR - av.Kit for caesarean sections</v>
      </c>
      <c r="I2087" s="213" t="str">
        <f t="shared" si="292"/>
        <v>integer</v>
      </c>
      <c r="J2087" s="106" t="s">
        <v>6796</v>
      </c>
      <c r="K2087" s="116" t="s">
        <v>2443</v>
      </c>
      <c r="L2087" s="118" t="str">
        <f t="shared" si="305"/>
        <v>Sorry, question (13.10)av is required!</v>
      </c>
      <c r="M2087" s="113" t="s">
        <v>6661</v>
      </c>
      <c r="N2087" s="107" t="str">
        <f t="shared" si="304"/>
        <v>(13.10) av. RANGE 0-500</v>
      </c>
    </row>
    <row r="2088" spans="1:24" ht="14.25" customHeight="1">
      <c r="A2088" t="s">
        <v>14</v>
      </c>
      <c r="B2088" t="s">
        <v>1280</v>
      </c>
      <c r="C2088" t="str">
        <f t="shared" si="302"/>
        <v>aw.</v>
      </c>
      <c r="D2088" t="s">
        <v>1199</v>
      </c>
      <c r="E2088" s="118" t="str">
        <f t="shared" si="303"/>
        <v>aw.Delivery kit</v>
      </c>
      <c r="F2088" s="118" t="s">
        <v>2716</v>
      </c>
      <c r="H2088" s="206" t="str">
        <f t="shared" si="306"/>
        <v>(13.10) THE QUANTITY FOR - aw.Delivery kit</v>
      </c>
      <c r="I2088" s="213" t="str">
        <f t="shared" si="292"/>
        <v>integer</v>
      </c>
      <c r="J2088" s="106" t="s">
        <v>6797</v>
      </c>
      <c r="K2088" s="116" t="s">
        <v>2443</v>
      </c>
      <c r="L2088" s="118" t="str">
        <f t="shared" si="305"/>
        <v>Sorry, question (13.10)aw is required!</v>
      </c>
      <c r="M2088" s="113" t="s">
        <v>6661</v>
      </c>
      <c r="N2088" s="107" t="str">
        <f t="shared" si="304"/>
        <v>(13.10) aw. RANGE 0-500</v>
      </c>
    </row>
    <row r="2089" spans="1:24" ht="14.25" customHeight="1">
      <c r="A2089" t="s">
        <v>14</v>
      </c>
      <c r="B2089" t="s">
        <v>1281</v>
      </c>
      <c r="C2089" t="str">
        <f t="shared" si="302"/>
        <v>ax.</v>
      </c>
      <c r="D2089" t="s">
        <v>1200</v>
      </c>
      <c r="E2089" s="118" t="str">
        <f t="shared" si="303"/>
        <v>ax.Newborn resuscitation kit</v>
      </c>
      <c r="F2089" s="118" t="s">
        <v>2716</v>
      </c>
      <c r="H2089" s="206" t="str">
        <f t="shared" si="306"/>
        <v>(13.10) THE QUANTITY FOR - ax.Newborn resuscitation kit</v>
      </c>
      <c r="I2089" s="213" t="str">
        <f t="shared" si="292"/>
        <v>integer</v>
      </c>
      <c r="J2089" s="106" t="s">
        <v>6798</v>
      </c>
      <c r="K2089" s="116" t="s">
        <v>2443</v>
      </c>
      <c r="L2089" s="118" t="str">
        <f t="shared" si="305"/>
        <v>Sorry, question (13.10)ax is required!</v>
      </c>
      <c r="M2089" s="113" t="s">
        <v>6661</v>
      </c>
      <c r="N2089" s="107" t="str">
        <f t="shared" si="304"/>
        <v>(13.10) ax. RANGE 0-500</v>
      </c>
    </row>
    <row r="2090" spans="1:24" ht="14.25" customHeight="1">
      <c r="A2090" t="s">
        <v>15</v>
      </c>
      <c r="X2090" t="s">
        <v>3032</v>
      </c>
    </row>
    <row r="2091" spans="1:24" ht="14.25" customHeight="1">
      <c r="A2091" t="s">
        <v>15</v>
      </c>
      <c r="X2091" t="s">
        <v>2778</v>
      </c>
    </row>
    <row r="2092" spans="1:24" ht="14.25" customHeight="1">
      <c r="E2092" s="118" t="s">
        <v>1067</v>
      </c>
    </row>
    <row r="2093" spans="1:24" ht="14.25" customHeight="1">
      <c r="A2093" t="s">
        <v>12</v>
      </c>
      <c r="B2093" t="s">
        <v>1523</v>
      </c>
      <c r="E2093" s="118" t="s">
        <v>2782</v>
      </c>
      <c r="J2093" s="106" t="s">
        <v>2778</v>
      </c>
      <c r="O2093" s="110" t="s">
        <v>3582</v>
      </c>
      <c r="X2093" t="s">
        <v>2778</v>
      </c>
    </row>
    <row r="2094" spans="1:24" ht="14.25" customHeight="1">
      <c r="A2094" t="s">
        <v>12</v>
      </c>
      <c r="B2094" t="s">
        <v>3603</v>
      </c>
      <c r="J2094" s="106" t="s">
        <v>13</v>
      </c>
      <c r="X2094" t="s">
        <v>3032</v>
      </c>
    </row>
    <row r="2095" spans="1:24" ht="14.25" customHeight="1">
      <c r="A2095" t="s">
        <v>17</v>
      </c>
      <c r="B2095" t="s">
        <v>1524</v>
      </c>
      <c r="E2095" s="118" t="s">
        <v>4150</v>
      </c>
      <c r="I2095" s="213" t="str">
        <f t="shared" si="292"/>
        <v>note</v>
      </c>
    </row>
    <row r="2096" spans="1:24" ht="14.25" customHeight="1">
      <c r="A2096" t="s">
        <v>17</v>
      </c>
      <c r="B2096" t="s">
        <v>1525</v>
      </c>
      <c r="E2096" s="118" t="s">
        <v>4151</v>
      </c>
      <c r="F2096" s="118" t="s">
        <v>4152</v>
      </c>
      <c r="I2096" s="213" t="str">
        <f t="shared" si="292"/>
        <v>note</v>
      </c>
    </row>
    <row r="2097" spans="1:24" ht="15">
      <c r="A2097" s="107" t="s">
        <v>17</v>
      </c>
      <c r="B2097" s="107" t="s">
        <v>3599</v>
      </c>
      <c r="E2097" s="130" t="s">
        <v>5220</v>
      </c>
      <c r="S2097" t="s">
        <v>2443</v>
      </c>
    </row>
    <row r="2098" spans="1:24" ht="15">
      <c r="A2098" s="1" t="s">
        <v>2713</v>
      </c>
      <c r="B2098" t="s">
        <v>3604</v>
      </c>
      <c r="E2098" s="130" t="s">
        <v>3600</v>
      </c>
      <c r="J2098" s="106" t="s">
        <v>5221</v>
      </c>
      <c r="K2098" s="116" t="s">
        <v>2443</v>
      </c>
      <c r="L2098" s="118" t="s">
        <v>3693</v>
      </c>
      <c r="S2098" t="s">
        <v>2443</v>
      </c>
    </row>
    <row r="2099" spans="1:24" ht="15">
      <c r="A2099" s="1" t="s">
        <v>4149</v>
      </c>
      <c r="B2099" s="1" t="s">
        <v>6664</v>
      </c>
      <c r="E2099" s="130" t="s">
        <v>3600</v>
      </c>
      <c r="H2099" s="206" t="s">
        <v>6813</v>
      </c>
      <c r="I2099" s="213" t="str">
        <f t="shared" si="292"/>
        <v>select_multiple staff</v>
      </c>
      <c r="J2099" s="165" t="s">
        <v>6663</v>
      </c>
      <c r="K2099" s="116" t="s">
        <v>2443</v>
      </c>
      <c r="L2099" s="118" t="s">
        <v>3693</v>
      </c>
      <c r="M2099" s="101" t="s">
        <v>6667</v>
      </c>
      <c r="N2099" s="130" t="s">
        <v>6668</v>
      </c>
      <c r="S2099" s="1"/>
    </row>
    <row r="2100" spans="1:24" ht="15">
      <c r="A2100" s="1" t="s">
        <v>4149</v>
      </c>
      <c r="B2100" s="1" t="s">
        <v>6665</v>
      </c>
      <c r="E2100" s="130" t="s">
        <v>4802</v>
      </c>
      <c r="H2100" s="206" t="s">
        <v>6814</v>
      </c>
      <c r="I2100" s="213" t="str">
        <f t="shared" si="292"/>
        <v>select_multiple staff</v>
      </c>
      <c r="J2100" s="201" t="s">
        <v>6666</v>
      </c>
      <c r="M2100" s="101"/>
      <c r="N2100" s="130"/>
      <c r="S2100" s="1"/>
    </row>
    <row r="2101" spans="1:24" ht="14.25" customHeight="1">
      <c r="A2101" t="s">
        <v>15</v>
      </c>
      <c r="X2101" t="s">
        <v>3032</v>
      </c>
    </row>
    <row r="2102" spans="1:24" ht="14.25" customHeight="1">
      <c r="A2102" t="s">
        <v>12</v>
      </c>
      <c r="B2102" t="s">
        <v>3309</v>
      </c>
      <c r="E2102" s="118" t="s">
        <v>1067</v>
      </c>
      <c r="J2102" s="106" t="s">
        <v>13</v>
      </c>
      <c r="X2102" t="s">
        <v>3032</v>
      </c>
    </row>
    <row r="2103" spans="1:24" ht="14.25" customHeight="1">
      <c r="A2103" t="s">
        <v>17</v>
      </c>
      <c r="B2103" t="s">
        <v>3564</v>
      </c>
      <c r="E2103" s="118" t="s">
        <v>4604</v>
      </c>
      <c r="I2103" s="213" t="str">
        <f t="shared" si="292"/>
        <v>note</v>
      </c>
    </row>
    <row r="2104" spans="1:24" ht="14.25" customHeight="1">
      <c r="A2104" t="s">
        <v>17</v>
      </c>
      <c r="B2104" t="s">
        <v>3557</v>
      </c>
      <c r="E2104" s="118" t="s">
        <v>1998</v>
      </c>
      <c r="I2104" s="213" t="str">
        <f t="shared" si="292"/>
        <v>note</v>
      </c>
    </row>
    <row r="2105" spans="1:24" ht="14.25" customHeight="1">
      <c r="A2105" t="s">
        <v>23</v>
      </c>
      <c r="B2105" t="s">
        <v>1289</v>
      </c>
      <c r="C2105" t="str">
        <f>RIGHT(B2105,1)&amp;"."</f>
        <v>a.</v>
      </c>
      <c r="D2105" t="s">
        <v>1282</v>
      </c>
      <c r="E2105" s="118" t="str">
        <f t="shared" ref="E2105:E2114" si="307">C2105&amp;D2105</f>
        <v>a.Health facility manager/ in charge</v>
      </c>
      <c r="H2105" s="206" t="str">
        <f>"(14.01) "&amp;E2105</f>
        <v>(14.01) a.Health facility manager/ in charge</v>
      </c>
      <c r="I2105" s="213" t="str">
        <f t="shared" si="292"/>
        <v>select_one yesno</v>
      </c>
      <c r="J2105" s="106" t="s">
        <v>4457</v>
      </c>
      <c r="K2105" s="116" t="s">
        <v>2443</v>
      </c>
      <c r="L2105" s="118" t="str">
        <f t="shared" ref="L2105:L2114" si="308">"Sorry, question "&amp;LEFT($E$2104, 7)&amp;LEFT(C2105,1)&amp;" is required!"</f>
        <v>Sorry, question (14.01)a is required!</v>
      </c>
    </row>
    <row r="2106" spans="1:24" ht="14.25" customHeight="1">
      <c r="A2106" t="s">
        <v>23</v>
      </c>
      <c r="B2106" t="s">
        <v>1290</v>
      </c>
      <c r="C2106" t="str">
        <f t="shared" ref="C2106:C2114" si="309">RIGHT(B2106,1)&amp;"."</f>
        <v>b.</v>
      </c>
      <c r="D2106" t="s">
        <v>1283</v>
      </c>
      <c r="E2106" s="118" t="str">
        <f t="shared" si="307"/>
        <v xml:space="preserve">b.Health facility staff </v>
      </c>
      <c r="H2106" s="206" t="str">
        <f t="shared" ref="H2106:H2115" si="310">"(14.01) "&amp;E2106</f>
        <v xml:space="preserve">(14.01) b.Health facility staff </v>
      </c>
      <c r="I2106" s="213" t="str">
        <f t="shared" si="292"/>
        <v>select_one yesno</v>
      </c>
      <c r="J2106" s="106" t="s">
        <v>4457</v>
      </c>
      <c r="K2106" s="116" t="s">
        <v>2443</v>
      </c>
      <c r="L2106" s="118" t="str">
        <f t="shared" si="308"/>
        <v>Sorry, question (14.01)b is required!</v>
      </c>
    </row>
    <row r="2107" spans="1:24" ht="14.25" customHeight="1">
      <c r="A2107" t="s">
        <v>23</v>
      </c>
      <c r="B2107" t="s">
        <v>1291</v>
      </c>
      <c r="C2107" t="str">
        <f t="shared" si="309"/>
        <v>c.</v>
      </c>
      <c r="D2107" t="s">
        <v>671</v>
      </c>
      <c r="E2107" s="118" t="str">
        <f t="shared" si="307"/>
        <v>c.Non Governmental Organization staff</v>
      </c>
      <c r="H2107" s="206" t="str">
        <f t="shared" si="310"/>
        <v>(14.01) c.Non Governmental Organization staff</v>
      </c>
      <c r="I2107" s="213" t="str">
        <f t="shared" si="292"/>
        <v>select_one yesno</v>
      </c>
      <c r="J2107" s="106" t="s">
        <v>4457</v>
      </c>
      <c r="K2107" s="116" t="s">
        <v>2443</v>
      </c>
      <c r="L2107" s="118" t="str">
        <f t="shared" si="308"/>
        <v>Sorry, question (14.01)c is required!</v>
      </c>
    </row>
    <row r="2108" spans="1:24" ht="14.25" customHeight="1">
      <c r="A2108" t="s">
        <v>23</v>
      </c>
      <c r="B2108" t="s">
        <v>1292</v>
      </c>
      <c r="C2108" t="str">
        <f t="shared" si="309"/>
        <v>d.</v>
      </c>
      <c r="D2108" t="s">
        <v>1284</v>
      </c>
      <c r="E2108" s="118" t="str">
        <f t="shared" si="307"/>
        <v>d.Local government</v>
      </c>
      <c r="H2108" s="206" t="str">
        <f t="shared" si="310"/>
        <v>(14.01) d.Local government</v>
      </c>
      <c r="I2108" s="213" t="str">
        <f t="shared" si="292"/>
        <v>select_one yesno</v>
      </c>
      <c r="J2108" s="106" t="s">
        <v>4457</v>
      </c>
      <c r="K2108" s="116" t="s">
        <v>2443</v>
      </c>
      <c r="L2108" s="118" t="str">
        <f t="shared" si="308"/>
        <v>Sorry, question (14.01)d is required!</v>
      </c>
    </row>
    <row r="2109" spans="1:24" ht="14.25" customHeight="1">
      <c r="A2109" t="s">
        <v>23</v>
      </c>
      <c r="B2109" t="s">
        <v>1293</v>
      </c>
      <c r="C2109" t="str">
        <f t="shared" si="309"/>
        <v>e.</v>
      </c>
      <c r="D2109" t="s">
        <v>1285</v>
      </c>
      <c r="E2109" s="118" t="str">
        <f t="shared" si="307"/>
        <v>e.National government</v>
      </c>
      <c r="H2109" s="206" t="str">
        <f t="shared" si="310"/>
        <v>(14.01) e.National government</v>
      </c>
      <c r="I2109" s="213" t="str">
        <f t="shared" si="292"/>
        <v>select_one yesno</v>
      </c>
      <c r="J2109" s="106" t="s">
        <v>4457</v>
      </c>
      <c r="K2109" s="116" t="s">
        <v>2443</v>
      </c>
      <c r="L2109" s="118" t="str">
        <f t="shared" si="308"/>
        <v>Sorry, question (14.01)e is required!</v>
      </c>
    </row>
    <row r="2110" spans="1:24" ht="14.25" customHeight="1">
      <c r="A2110" t="s">
        <v>23</v>
      </c>
      <c r="B2110" t="s">
        <v>1294</v>
      </c>
      <c r="C2110" t="str">
        <f t="shared" si="309"/>
        <v>f.</v>
      </c>
      <c r="D2110" t="s">
        <v>730</v>
      </c>
      <c r="E2110" s="118" t="str">
        <f t="shared" si="307"/>
        <v>f.Community Health Worker Cooperative president / leader</v>
      </c>
      <c r="H2110" s="206" t="str">
        <f t="shared" si="310"/>
        <v>(14.01) f.Community Health Worker Cooperative president / leader</v>
      </c>
      <c r="I2110" s="213" t="str">
        <f t="shared" si="292"/>
        <v>select_one yesno</v>
      </c>
      <c r="J2110" s="106" t="s">
        <v>4457</v>
      </c>
      <c r="K2110" s="116" t="s">
        <v>2443</v>
      </c>
      <c r="L2110" s="118" t="str">
        <f t="shared" si="308"/>
        <v>Sorry, question (14.01)f is required!</v>
      </c>
    </row>
    <row r="2111" spans="1:24" ht="14.25" customHeight="1">
      <c r="A2111" t="s">
        <v>23</v>
      </c>
      <c r="B2111" t="s">
        <v>1295</v>
      </c>
      <c r="C2111" t="str">
        <f t="shared" si="309"/>
        <v>g.</v>
      </c>
      <c r="D2111" t="s">
        <v>668</v>
      </c>
      <c r="E2111" s="118" t="str">
        <f t="shared" si="307"/>
        <v>g.Community Health Workers</v>
      </c>
      <c r="H2111" s="206" t="str">
        <f t="shared" si="310"/>
        <v>(14.01) g.Community Health Workers</v>
      </c>
      <c r="I2111" s="213" t="str">
        <f t="shared" si="292"/>
        <v>select_one yesno</v>
      </c>
      <c r="J2111" s="106" t="s">
        <v>4457</v>
      </c>
      <c r="K2111" s="116" t="s">
        <v>2443</v>
      </c>
      <c r="L2111" s="118" t="str">
        <f t="shared" si="308"/>
        <v>Sorry, question (14.01)g is required!</v>
      </c>
    </row>
    <row r="2112" spans="1:24" ht="14.25" customHeight="1">
      <c r="A2112" t="s">
        <v>23</v>
      </c>
      <c r="B2112" t="s">
        <v>1296</v>
      </c>
      <c r="C2112" t="str">
        <f t="shared" si="309"/>
        <v>h.</v>
      </c>
      <c r="D2112" t="s">
        <v>734</v>
      </c>
      <c r="E2112" s="118" t="str">
        <f t="shared" si="307"/>
        <v>h.Community members</v>
      </c>
      <c r="H2112" s="206" t="str">
        <f t="shared" si="310"/>
        <v>(14.01) h.Community members</v>
      </c>
      <c r="I2112" s="213" t="str">
        <f t="shared" si="292"/>
        <v>select_one yesno</v>
      </c>
      <c r="J2112" s="106" t="s">
        <v>4457</v>
      </c>
      <c r="K2112" s="116" t="s">
        <v>2443</v>
      </c>
      <c r="L2112" s="118" t="str">
        <f t="shared" si="308"/>
        <v>Sorry, question (14.01)h is required!</v>
      </c>
    </row>
    <row r="2113" spans="1:24" ht="14.25" customHeight="1">
      <c r="A2113" t="s">
        <v>23</v>
      </c>
      <c r="B2113" t="s">
        <v>1297</v>
      </c>
      <c r="C2113" t="str">
        <f t="shared" si="309"/>
        <v>i.</v>
      </c>
      <c r="D2113" t="s">
        <v>1286</v>
      </c>
      <c r="E2113" s="118" t="str">
        <f t="shared" si="307"/>
        <v>i.Health Committee</v>
      </c>
      <c r="H2113" s="206" t="str">
        <f t="shared" si="310"/>
        <v>(14.01) i.Health Committee</v>
      </c>
      <c r="I2113" s="213" t="str">
        <f t="shared" ref="I2113:I2176" si="311">A2113</f>
        <v>select_one yesno</v>
      </c>
      <c r="J2113" s="106" t="s">
        <v>4457</v>
      </c>
      <c r="K2113" s="116" t="s">
        <v>2443</v>
      </c>
      <c r="L2113" s="118" t="str">
        <f t="shared" si="308"/>
        <v>Sorry, question (14.01)i is required!</v>
      </c>
    </row>
    <row r="2114" spans="1:24" ht="14.25" customHeight="1">
      <c r="A2114" t="s">
        <v>23</v>
      </c>
      <c r="B2114" t="s">
        <v>1298</v>
      </c>
      <c r="C2114" t="str">
        <f t="shared" si="309"/>
        <v>j.</v>
      </c>
      <c r="D2114" t="s">
        <v>35</v>
      </c>
      <c r="E2114" s="118" t="str">
        <f t="shared" si="307"/>
        <v>j.Other, specify:</v>
      </c>
      <c r="H2114" s="206" t="str">
        <f t="shared" si="310"/>
        <v>(14.01) j.Other, specify:</v>
      </c>
      <c r="I2114" s="213" t="str">
        <f t="shared" si="311"/>
        <v>select_one yesno</v>
      </c>
      <c r="J2114" s="106" t="s">
        <v>4457</v>
      </c>
      <c r="K2114" s="116" t="s">
        <v>2443</v>
      </c>
      <c r="L2114" s="118" t="str">
        <f t="shared" si="308"/>
        <v>Sorry, question (14.01)j is required!</v>
      </c>
    </row>
    <row r="2115" spans="1:24" ht="14.25" customHeight="1">
      <c r="A2115" t="s">
        <v>16</v>
      </c>
      <c r="B2115" t="s">
        <v>2594</v>
      </c>
      <c r="E2115" s="118" t="s">
        <v>6745</v>
      </c>
      <c r="F2115" s="118" t="s">
        <v>35</v>
      </c>
      <c r="H2115" s="206" t="str">
        <f t="shared" si="310"/>
        <v>(14.01) j.Other, specify:</v>
      </c>
      <c r="I2115" s="213" t="str">
        <f t="shared" si="311"/>
        <v>text</v>
      </c>
      <c r="J2115" s="106" t="s">
        <v>2773</v>
      </c>
      <c r="K2115" s="116" t="s">
        <v>2443</v>
      </c>
      <c r="L2115" s="118" t="str">
        <f>IF(K2115="yes",("Sorry, question (14.01) "&amp;LEFT(E2115, 7)&amp;" is required!"),"")</f>
        <v>Sorry, question (14.01) j.Other is required!</v>
      </c>
      <c r="O2115" s="110" t="s">
        <v>2595</v>
      </c>
    </row>
    <row r="2116" spans="1:24" ht="14.25" customHeight="1">
      <c r="A2116" t="s">
        <v>15</v>
      </c>
      <c r="E2116" s="118" t="s">
        <v>1067</v>
      </c>
      <c r="L2116" s="118" t="str">
        <f t="shared" ref="L2116:L2125" si="312">IF(K2116="yes",("Sorry, question "&amp;LEFT(E2116, 7)&amp;" is required!"),"")</f>
        <v/>
      </c>
      <c r="X2116" t="s">
        <v>3032</v>
      </c>
    </row>
    <row r="2117" spans="1:24" ht="14.25" customHeight="1">
      <c r="A2117" t="s">
        <v>954</v>
      </c>
      <c r="B2117" t="s">
        <v>3310</v>
      </c>
      <c r="E2117" s="118" t="s">
        <v>1067</v>
      </c>
      <c r="J2117" s="106" t="s">
        <v>13</v>
      </c>
      <c r="L2117" s="118" t="str">
        <f t="shared" si="312"/>
        <v/>
      </c>
      <c r="X2117" t="s">
        <v>3032</v>
      </c>
    </row>
    <row r="2118" spans="1:24" ht="14.25" customHeight="1">
      <c r="A2118" t="s">
        <v>2995</v>
      </c>
      <c r="B2118" t="s">
        <v>1299</v>
      </c>
      <c r="E2118" s="130" t="s">
        <v>6673</v>
      </c>
      <c r="F2118" s="129"/>
      <c r="H2118" s="206" t="str">
        <f>E2118</f>
        <v>(14.02) Could you bring me to the place in this facility that is used to store drugs?</v>
      </c>
      <c r="I2118" s="213" t="str">
        <f t="shared" si="311"/>
        <v>select_one store</v>
      </c>
      <c r="J2118" s="106" t="s">
        <v>4457</v>
      </c>
      <c r="K2118" s="116" t="s">
        <v>2443</v>
      </c>
      <c r="L2118" s="118" t="str">
        <f t="shared" si="312"/>
        <v>Sorry, question (14.02) is required!</v>
      </c>
    </row>
    <row r="2119" spans="1:24" ht="14.25" customHeight="1">
      <c r="A2119" t="s">
        <v>23</v>
      </c>
      <c r="B2119" s="107" t="s">
        <v>1300</v>
      </c>
      <c r="E2119" s="118" t="s">
        <v>1999</v>
      </c>
      <c r="H2119" s="206" t="str">
        <f t="shared" ref="H2119:H2129" si="313">E2119</f>
        <v>(14.03) INTERVIEWER: IS THIS A SEPARATE ROOM FROM THE REST OF THE FACILITY?</v>
      </c>
      <c r="I2119" s="213" t="str">
        <f t="shared" si="311"/>
        <v>select_one yesno</v>
      </c>
      <c r="J2119" s="106" t="s">
        <v>4457</v>
      </c>
      <c r="K2119" s="116" t="s">
        <v>2443</v>
      </c>
      <c r="L2119" s="118" t="str">
        <f t="shared" si="312"/>
        <v>Sorry, question (14.03) is required!</v>
      </c>
    </row>
    <row r="2120" spans="1:24" ht="14.25" customHeight="1">
      <c r="A2120" t="s">
        <v>2996</v>
      </c>
      <c r="B2120" t="s">
        <v>1301</v>
      </c>
      <c r="E2120" s="118" t="s">
        <v>2000</v>
      </c>
      <c r="H2120" s="206" t="str">
        <f t="shared" si="313"/>
        <v>(14.04) Does this pharmacy serve only to store and dispense drugs, or does it also serve for other purposes?</v>
      </c>
      <c r="I2120" s="213" t="str">
        <f t="shared" si="311"/>
        <v>select_one pharma</v>
      </c>
      <c r="J2120" s="106" t="s">
        <v>4457</v>
      </c>
      <c r="K2120" s="116" t="s">
        <v>2443</v>
      </c>
      <c r="L2120" s="118" t="str">
        <f t="shared" si="312"/>
        <v>Sorry, question (14.04) is required!</v>
      </c>
    </row>
    <row r="2121" spans="1:24" ht="14.25" customHeight="1">
      <c r="A2121" t="s">
        <v>23</v>
      </c>
      <c r="B2121" t="s">
        <v>1302</v>
      </c>
      <c r="E2121" s="118" t="s">
        <v>2001</v>
      </c>
      <c r="H2121" s="206" t="str">
        <f t="shared" si="313"/>
        <v>(14.05) Can the doors and windows be locked to keep the pharmacy secured?</v>
      </c>
      <c r="I2121" s="213" t="str">
        <f t="shared" si="311"/>
        <v>select_one yesno</v>
      </c>
      <c r="J2121" s="106" t="s">
        <v>4457</v>
      </c>
      <c r="K2121" s="116" t="s">
        <v>2443</v>
      </c>
      <c r="L2121" s="118" t="str">
        <f t="shared" si="312"/>
        <v>Sorry, question (14.05) is required!</v>
      </c>
    </row>
    <row r="2122" spans="1:24" ht="14.25" customHeight="1">
      <c r="A2122" t="s">
        <v>2997</v>
      </c>
      <c r="B2122" t="s">
        <v>1303</v>
      </c>
      <c r="E2122" s="118" t="s">
        <v>3063</v>
      </c>
      <c r="H2122" s="206" t="str">
        <f t="shared" si="313"/>
        <v>(14.06) INTERVIEWER: DOES THE DRUG STORAGE AREA LOOK CLEAN, PARTIALLY DIRTY, OR DIRTY?</v>
      </c>
      <c r="I2122" s="213" t="str">
        <f t="shared" si="311"/>
        <v>select_one area</v>
      </c>
      <c r="J2122" s="106" t="s">
        <v>4457</v>
      </c>
      <c r="K2122" s="116" t="s">
        <v>2443</v>
      </c>
      <c r="L2122" s="118" t="str">
        <f t="shared" si="312"/>
        <v>Sorry, question (14.06) is required!</v>
      </c>
    </row>
    <row r="2123" spans="1:24" ht="14.25" customHeight="1">
      <c r="A2123" t="s">
        <v>15</v>
      </c>
      <c r="L2123" s="118" t="str">
        <f t="shared" si="312"/>
        <v/>
      </c>
      <c r="X2123" t="s">
        <v>3032</v>
      </c>
    </row>
    <row r="2124" spans="1:24" ht="14.25" customHeight="1">
      <c r="A2124" t="s">
        <v>954</v>
      </c>
      <c r="B2124" t="s">
        <v>3311</v>
      </c>
      <c r="J2124" s="106" t="s">
        <v>13</v>
      </c>
      <c r="L2124" s="118" t="str">
        <f t="shared" si="312"/>
        <v/>
      </c>
      <c r="X2124" t="s">
        <v>3032</v>
      </c>
    </row>
    <row r="2125" spans="1:24" ht="14.25" customHeight="1">
      <c r="A2125" t="s">
        <v>2998</v>
      </c>
      <c r="B2125" t="s">
        <v>1304</v>
      </c>
      <c r="E2125" s="118" t="s">
        <v>2002</v>
      </c>
      <c r="H2125" s="206" t="str">
        <f t="shared" si="313"/>
        <v>(14.07) INTERVIEWER: DO THE CEILING, WALLS, FLOORS AND WINDOWS LOOK DRY AND FREE FROM TRACES OF WATER INFILTRATION?</v>
      </c>
      <c r="I2125" s="213" t="str">
        <f t="shared" si="311"/>
        <v>select_one water</v>
      </c>
      <c r="K2125" s="116" t="s">
        <v>2443</v>
      </c>
      <c r="L2125" s="118" t="str">
        <f t="shared" si="312"/>
        <v>Sorry, question (14.07) is required!</v>
      </c>
    </row>
    <row r="2126" spans="1:24" ht="14.25" customHeight="1">
      <c r="A2126" t="s">
        <v>23</v>
      </c>
      <c r="B2126" s="107" t="s">
        <v>3064</v>
      </c>
      <c r="E2126" s="118" t="s">
        <v>3065</v>
      </c>
      <c r="H2126" s="206" t="str">
        <f t="shared" si="313"/>
        <v>(14.07_1N) INTERVIEWER: IS THERE A FUNCTIONAL FAN OR AIR CONDITIONER IN THE STORE?</v>
      </c>
      <c r="I2126" s="213" t="str">
        <f t="shared" si="311"/>
        <v>select_one yesno</v>
      </c>
      <c r="J2126" s="106" t="s">
        <v>4457</v>
      </c>
      <c r="K2126" s="116" t="s">
        <v>2443</v>
      </c>
      <c r="L2126" s="118" t="str">
        <f>IF(K2126="yes",("Sorry, question "&amp;LEFT(E2126, 10)&amp;" is required!"),"")</f>
        <v>Sorry, question (14.07_1N) is required!</v>
      </c>
    </row>
    <row r="2127" spans="1:24" ht="14.25" customHeight="1">
      <c r="A2127" t="s">
        <v>2999</v>
      </c>
      <c r="B2127" t="s">
        <v>1305</v>
      </c>
      <c r="E2127" s="118" t="s">
        <v>2003</v>
      </c>
      <c r="H2127" s="206" t="str">
        <f t="shared" si="313"/>
        <v>(14.08) INTERVIEWER: ARE THE WINDOWS COVERED TO KEEP THE SUNLIGHT OUT?</v>
      </c>
      <c r="I2127" s="213" t="str">
        <f t="shared" si="311"/>
        <v>select_one window</v>
      </c>
      <c r="J2127" s="106" t="s">
        <v>4457</v>
      </c>
      <c r="K2127" s="116" t="s">
        <v>2443</v>
      </c>
      <c r="L2127" s="118" t="str">
        <f>IF(K2127="yes",("Sorry, question "&amp;LEFT(E2127, 7)&amp;" is required!"),"")</f>
        <v>Sorry, question (14.08) is required!</v>
      </c>
    </row>
    <row r="2128" spans="1:24" ht="14.25" customHeight="1">
      <c r="A2128" t="s">
        <v>1287</v>
      </c>
      <c r="B2128" t="s">
        <v>1306</v>
      </c>
      <c r="E2128" s="118" t="s">
        <v>3420</v>
      </c>
      <c r="H2128" s="206" t="str">
        <f t="shared" si="313"/>
        <v>(14.09) INTERVIEWER: ARE THE DRUGS KEPT ON AN ELEVATED PLATFORM I.E. OFF THE FLOOR?</v>
      </c>
      <c r="I2128" s="213" t="str">
        <f t="shared" si="311"/>
        <v>select_one yesno</v>
      </c>
      <c r="J2128" s="106" t="s">
        <v>4457</v>
      </c>
      <c r="K2128" s="116" t="s">
        <v>2443</v>
      </c>
      <c r="L2128" s="118" t="str">
        <f>IF(K2128="yes",("Sorry, question "&amp;LEFT(E2128, 7)&amp;" is required!"),"")</f>
        <v>Sorry, question (14.09) is required!</v>
      </c>
    </row>
    <row r="2129" spans="1:24" ht="14.25" customHeight="1">
      <c r="A2129" t="s">
        <v>2969</v>
      </c>
      <c r="B2129" t="s">
        <v>1307</v>
      </c>
      <c r="E2129" s="118" t="s">
        <v>3524</v>
      </c>
      <c r="F2129" s="118" t="s">
        <v>3525</v>
      </c>
      <c r="H2129" s="206" t="str">
        <f t="shared" si="313"/>
        <v xml:space="preserve">(14.10) Does the pharmacy maintain stock cards or stock register? </v>
      </c>
      <c r="I2129" s="213" t="str">
        <f t="shared" si="311"/>
        <v>select_one seen</v>
      </c>
      <c r="J2129" s="106" t="s">
        <v>4457</v>
      </c>
      <c r="K2129" s="116" t="s">
        <v>2443</v>
      </c>
      <c r="L2129" s="118" t="str">
        <f>IF(K2129="yes",("Sorry, question "&amp;LEFT(E2129, 7)&amp;" is required!"),"")</f>
        <v>Sorry, question (14.10) is required!</v>
      </c>
    </row>
    <row r="2130" spans="1:24" ht="14.25" customHeight="1">
      <c r="A2130" t="s">
        <v>15</v>
      </c>
      <c r="X2130" t="s">
        <v>3032</v>
      </c>
    </row>
    <row r="2131" spans="1:24" ht="14.25" customHeight="1">
      <c r="A2131" t="s">
        <v>12</v>
      </c>
      <c r="B2131" t="s">
        <v>3312</v>
      </c>
      <c r="E2131" s="118" t="s">
        <v>2799</v>
      </c>
      <c r="X2131" t="s">
        <v>3032</v>
      </c>
    </row>
    <row r="2132" spans="1:24" ht="14.25" customHeight="1">
      <c r="A2132" t="s">
        <v>12</v>
      </c>
      <c r="B2132" t="s">
        <v>3314</v>
      </c>
      <c r="J2132" s="106" t="s">
        <v>3526</v>
      </c>
      <c r="X2132" t="s">
        <v>3033</v>
      </c>
    </row>
    <row r="2133" spans="1:24" ht="14.25" customHeight="1">
      <c r="A2133" t="s">
        <v>17</v>
      </c>
      <c r="B2133" t="s">
        <v>3066</v>
      </c>
      <c r="E2133" s="118" t="s">
        <v>4153</v>
      </c>
      <c r="I2133" s="213" t="str">
        <f t="shared" si="311"/>
        <v>note</v>
      </c>
      <c r="J2133" s="106" t="s">
        <v>3527</v>
      </c>
    </row>
    <row r="2134" spans="1:24" ht="14.25" customHeight="1">
      <c r="A2134" t="s">
        <v>17</v>
      </c>
      <c r="B2134" t="s">
        <v>3000</v>
      </c>
      <c r="E2134" s="118" t="s">
        <v>4154</v>
      </c>
      <c r="I2134" s="213" t="str">
        <f t="shared" si="311"/>
        <v>note</v>
      </c>
      <c r="J2134" s="106" t="s">
        <v>3529</v>
      </c>
    </row>
    <row r="2135" spans="1:24" ht="14.25" customHeight="1">
      <c r="A2135" t="s">
        <v>17</v>
      </c>
      <c r="B2135" t="s">
        <v>5222</v>
      </c>
      <c r="E2135" s="118" t="s">
        <v>4155</v>
      </c>
      <c r="I2135" s="213" t="str">
        <f t="shared" si="311"/>
        <v>note</v>
      </c>
      <c r="J2135" s="106" t="s">
        <v>3530</v>
      </c>
    </row>
    <row r="2136" spans="1:24" ht="14.25" customHeight="1">
      <c r="A2136" t="s">
        <v>14</v>
      </c>
      <c r="B2136" t="s">
        <v>1479</v>
      </c>
      <c r="E2136" s="118" t="s">
        <v>3572</v>
      </c>
      <c r="F2136" s="118" t="s">
        <v>3313</v>
      </c>
      <c r="H2136" s="206" t="str">
        <f>E2136</f>
        <v xml:space="preserve">(14.13a) What quantity of Tetracycline ophthalmic ointments are available at this time? </v>
      </c>
      <c r="I2136" s="213" t="str">
        <f t="shared" si="311"/>
        <v>integer</v>
      </c>
      <c r="J2136" s="106" t="s">
        <v>3374</v>
      </c>
      <c r="K2136" s="116" t="s">
        <v>2443</v>
      </c>
      <c r="L2136" s="118" t="str">
        <f>IF(K2136="yes",("Sorry, question "&amp;LEFT(E2136, 8)&amp;" is required!"),"")</f>
        <v>Sorry, question (14.13a) is required!</v>
      </c>
    </row>
    <row r="2137" spans="1:24" ht="14.25" customHeight="1">
      <c r="A2137" t="s">
        <v>15</v>
      </c>
      <c r="E2137" s="118" t="s">
        <v>1067</v>
      </c>
      <c r="L2137" s="118" t="str">
        <f t="shared" ref="L2137:L2199" si="314">IF(A2137="integer",("Sorry, question "&amp;LEFT(E2137, 8)&amp;" is required!"),"")</f>
        <v/>
      </c>
      <c r="O2137" s="110" t="s">
        <v>1067</v>
      </c>
      <c r="X2137" t="s">
        <v>3033</v>
      </c>
    </row>
    <row r="2138" spans="1:24" s="120" customFormat="1" ht="14.25" customHeight="1">
      <c r="A2138" s="120" t="s">
        <v>12</v>
      </c>
      <c r="B2138" s="120" t="s">
        <v>3423</v>
      </c>
      <c r="E2138" s="131"/>
      <c r="F2138" s="131"/>
      <c r="H2138" s="211"/>
      <c r="I2138" s="213"/>
      <c r="J2138" s="121" t="s">
        <v>13</v>
      </c>
      <c r="K2138" s="122"/>
      <c r="L2138" s="118" t="str">
        <f t="shared" si="314"/>
        <v/>
      </c>
      <c r="M2138" s="123"/>
      <c r="O2138" s="124"/>
      <c r="P2138" s="101"/>
      <c r="X2138" s="120" t="s">
        <v>3034</v>
      </c>
    </row>
    <row r="2139" spans="1:24" ht="14.25" customHeight="1">
      <c r="A2139" t="s">
        <v>23</v>
      </c>
      <c r="B2139" t="s">
        <v>1526</v>
      </c>
      <c r="E2139" s="118" t="s">
        <v>2011</v>
      </c>
      <c r="H2139" s="206" t="str">
        <f>E2139</f>
        <v>(14.14a) In the past 30 days, has the item been out of stock at any time?</v>
      </c>
      <c r="I2139" s="213" t="str">
        <f t="shared" si="311"/>
        <v>select_one yesno</v>
      </c>
      <c r="J2139" s="106" t="s">
        <v>4457</v>
      </c>
      <c r="K2139" s="116" t="s">
        <v>2443</v>
      </c>
      <c r="L2139" s="118" t="str">
        <f>IF(K2139="yes",("Sorry, question "&amp;LEFT(E2139, 8)&amp;" is required!"),"")</f>
        <v>Sorry, question (14.14a) is required!</v>
      </c>
      <c r="O2139" s="124" t="s">
        <v>3315</v>
      </c>
    </row>
    <row r="2140" spans="1:24" ht="14.25" customHeight="1">
      <c r="A2140" t="s">
        <v>14</v>
      </c>
      <c r="B2140" t="s">
        <v>1527</v>
      </c>
      <c r="E2140" s="118" t="s">
        <v>2012</v>
      </c>
      <c r="H2140" s="206" t="str">
        <f t="shared" ref="H2140:H2203" si="315">E2140</f>
        <v>(14.15a) In the past 30 days, how many days has the item been out of stock?</v>
      </c>
      <c r="I2140" s="213" t="str">
        <f t="shared" si="311"/>
        <v>integer</v>
      </c>
      <c r="J2140" s="106" t="s">
        <v>3379</v>
      </c>
      <c r="K2140" s="116" t="s">
        <v>2443</v>
      </c>
      <c r="L2140" s="118" t="str">
        <f>IF(K2140="yes",("Sorry, question "&amp;LEFT(E2140, 8)&amp;" is required!"),"")</f>
        <v>Sorry, question (14.15a) is required!</v>
      </c>
      <c r="M2140" s="113" t="s">
        <v>3598</v>
      </c>
      <c r="N2140" s="1" t="s">
        <v>4080</v>
      </c>
      <c r="O2140" s="110" t="s">
        <v>3641</v>
      </c>
    </row>
    <row r="2141" spans="1:24" s="120" customFormat="1" ht="14.25" customHeight="1">
      <c r="A2141" s="120" t="s">
        <v>15</v>
      </c>
      <c r="E2141" s="131"/>
      <c r="F2141" s="131"/>
      <c r="H2141" s="206">
        <f t="shared" si="315"/>
        <v>0</v>
      </c>
      <c r="I2141" s="213"/>
      <c r="L2141" s="118" t="str">
        <f t="shared" si="314"/>
        <v/>
      </c>
      <c r="P2141" s="101"/>
      <c r="X2141" s="120" t="s">
        <v>3034</v>
      </c>
    </row>
    <row r="2142" spans="1:24" ht="14.25" customHeight="1">
      <c r="A2142" t="s">
        <v>12</v>
      </c>
      <c r="B2142" t="s">
        <v>3323</v>
      </c>
      <c r="E2142" s="118" t="s">
        <v>1067</v>
      </c>
      <c r="H2142" s="206" t="str">
        <f t="shared" si="315"/>
        <v/>
      </c>
      <c r="J2142" s="106" t="s">
        <v>3526</v>
      </c>
      <c r="L2142" s="118" t="str">
        <f t="shared" si="314"/>
        <v/>
      </c>
      <c r="O2142" s="110" t="s">
        <v>1067</v>
      </c>
      <c r="X2142" t="s">
        <v>3033</v>
      </c>
    </row>
    <row r="2143" spans="1:24" ht="21" customHeight="1">
      <c r="A2143" t="s">
        <v>17</v>
      </c>
      <c r="B2143" t="s">
        <v>5223</v>
      </c>
      <c r="E2143" s="118" t="s">
        <v>4156</v>
      </c>
      <c r="H2143" s="206" t="str">
        <f t="shared" si="315"/>
        <v>&lt;font color='#000000'&gt;&lt;b&gt;Paracetamol (Panadol) tabs&lt;/b&gt;&lt;/f&gt;</v>
      </c>
      <c r="I2143" s="213" t="str">
        <f t="shared" si="311"/>
        <v>note</v>
      </c>
      <c r="J2143" s="106" t="s">
        <v>3528</v>
      </c>
      <c r="L2143" s="118" t="str">
        <f t="shared" si="314"/>
        <v/>
      </c>
      <c r="O2143" s="110" t="s">
        <v>1067</v>
      </c>
    </row>
    <row r="2144" spans="1:24" ht="14.25" customHeight="1">
      <c r="A2144" t="s">
        <v>14</v>
      </c>
      <c r="B2144" t="s">
        <v>1308</v>
      </c>
      <c r="E2144" s="118" t="s">
        <v>2013</v>
      </c>
      <c r="F2144" s="118" t="s">
        <v>3313</v>
      </c>
      <c r="H2144" s="206" t="str">
        <f t="shared" si="315"/>
        <v xml:space="preserve">(14.13b) What quantity of Paracetamol (Panadol) tabs are available at this time? </v>
      </c>
      <c r="I2144" s="213" t="str">
        <f t="shared" si="311"/>
        <v>integer</v>
      </c>
      <c r="J2144" s="106" t="s">
        <v>3372</v>
      </c>
      <c r="K2144" s="116" t="s">
        <v>2443</v>
      </c>
      <c r="L2144" s="118" t="str">
        <f>IF(K2144="yes",("Sorry, question "&amp;LEFT(E2144, 8)&amp;" is required!"),"")</f>
        <v>Sorry, question (14.13b) is required!</v>
      </c>
      <c r="O2144" s="110" t="s">
        <v>1067</v>
      </c>
    </row>
    <row r="2145" spans="1:24" ht="14.25" customHeight="1">
      <c r="A2145" t="s">
        <v>15</v>
      </c>
      <c r="H2145" s="206">
        <f t="shared" si="315"/>
        <v>0</v>
      </c>
      <c r="L2145" s="118" t="str">
        <f t="shared" si="314"/>
        <v/>
      </c>
      <c r="O2145" s="110" t="s">
        <v>1067</v>
      </c>
      <c r="X2145" t="s">
        <v>3033</v>
      </c>
    </row>
    <row r="2146" spans="1:24" s="120" customFormat="1" ht="14.25" customHeight="1">
      <c r="A2146" s="120" t="s">
        <v>12</v>
      </c>
      <c r="B2146" s="120" t="s">
        <v>3424</v>
      </c>
      <c r="E2146" s="131"/>
      <c r="F2146" s="131"/>
      <c r="H2146" s="206">
        <f t="shared" si="315"/>
        <v>0</v>
      </c>
      <c r="I2146" s="213"/>
      <c r="J2146" s="121" t="s">
        <v>13</v>
      </c>
      <c r="K2146" s="122"/>
      <c r="L2146" s="118" t="str">
        <f t="shared" si="314"/>
        <v/>
      </c>
      <c r="M2146" s="123"/>
      <c r="P2146" s="101"/>
    </row>
    <row r="2147" spans="1:24" ht="14.25" customHeight="1">
      <c r="A2147" t="s">
        <v>23</v>
      </c>
      <c r="B2147" t="s">
        <v>1309</v>
      </c>
      <c r="E2147" s="118" t="s">
        <v>2056</v>
      </c>
      <c r="H2147" s="206" t="str">
        <f t="shared" si="315"/>
        <v>(14.14b) In the past 30 days, has the item been out of stock at any time?</v>
      </c>
      <c r="I2147" s="213" t="str">
        <f t="shared" si="311"/>
        <v>select_one yesno</v>
      </c>
      <c r="J2147" s="106" t="s">
        <v>4457</v>
      </c>
      <c r="K2147" s="116" t="s">
        <v>2443</v>
      </c>
      <c r="L2147" s="118" t="str">
        <f>IF(K2147="yes",("Sorry, question "&amp;LEFT(E2147, 8)&amp;" is required!"),"")</f>
        <v>Sorry, question (14.14b) is required!</v>
      </c>
      <c r="O2147" s="124" t="s">
        <v>3067</v>
      </c>
    </row>
    <row r="2148" spans="1:24" ht="14.25" customHeight="1">
      <c r="A2148" t="s">
        <v>14</v>
      </c>
      <c r="B2148" t="s">
        <v>1310</v>
      </c>
      <c r="E2148" s="132" t="s">
        <v>2057</v>
      </c>
      <c r="F2148" s="118" t="s">
        <v>3383</v>
      </c>
      <c r="H2148" s="206" t="str">
        <f t="shared" si="315"/>
        <v>(14.15b) In the past 30 days, how many days has the item been out of stock?</v>
      </c>
      <c r="I2148" s="213" t="str">
        <f t="shared" si="311"/>
        <v>integer</v>
      </c>
      <c r="J2148" s="106" t="s">
        <v>3379</v>
      </c>
      <c r="K2148" s="116" t="s">
        <v>2443</v>
      </c>
      <c r="L2148" s="118" t="str">
        <f>IF(K2148="yes",("Sorry, question "&amp;LEFT(E2148, 8)&amp;" is required!"),"")</f>
        <v>Sorry, question (14.15b) is required!</v>
      </c>
      <c r="M2148" s="113" t="s">
        <v>3598</v>
      </c>
      <c r="N2148" s="1" t="s">
        <v>4081</v>
      </c>
      <c r="O2148" s="110" t="s">
        <v>3642</v>
      </c>
    </row>
    <row r="2149" spans="1:24" s="120" customFormat="1" ht="14.25" customHeight="1">
      <c r="A2149" s="120" t="s">
        <v>15</v>
      </c>
      <c r="E2149" s="131"/>
      <c r="F2149" s="131"/>
      <c r="H2149" s="206">
        <f t="shared" si="315"/>
        <v>0</v>
      </c>
      <c r="I2149" s="213"/>
      <c r="J2149" s="121"/>
      <c r="K2149" s="122"/>
      <c r="L2149" s="118" t="str">
        <f t="shared" si="314"/>
        <v/>
      </c>
      <c r="M2149" s="123"/>
      <c r="P2149" s="101"/>
    </row>
    <row r="2150" spans="1:24" ht="14.25" customHeight="1">
      <c r="A2150" t="s">
        <v>12</v>
      </c>
      <c r="B2150" t="s">
        <v>3324</v>
      </c>
      <c r="E2150" s="118" t="s">
        <v>1067</v>
      </c>
      <c r="H2150" s="206" t="str">
        <f t="shared" si="315"/>
        <v/>
      </c>
      <c r="J2150" s="106" t="s">
        <v>3526</v>
      </c>
      <c r="L2150" s="118" t="str">
        <f t="shared" si="314"/>
        <v/>
      </c>
      <c r="O2150" s="110" t="s">
        <v>1067</v>
      </c>
      <c r="X2150" t="s">
        <v>3033</v>
      </c>
    </row>
    <row r="2151" spans="1:24" ht="14.25" customHeight="1">
      <c r="A2151" t="s">
        <v>17</v>
      </c>
      <c r="B2151" t="s">
        <v>5224</v>
      </c>
      <c r="E2151" s="118" t="s">
        <v>4157</v>
      </c>
      <c r="H2151" s="206" t="str">
        <f t="shared" si="315"/>
        <v>&lt;font color='#000000'&gt;&lt;b&gt;Amoxicillin (tabs or capsule)&lt;/b&gt;&lt;/f&gt;</v>
      </c>
      <c r="I2151" s="213" t="str">
        <f t="shared" si="311"/>
        <v>note</v>
      </c>
      <c r="J2151" s="106" t="s">
        <v>3528</v>
      </c>
      <c r="L2151" s="118" t="str">
        <f t="shared" si="314"/>
        <v/>
      </c>
      <c r="O2151" s="110" t="s">
        <v>1067</v>
      </c>
    </row>
    <row r="2152" spans="1:24" ht="14.25" customHeight="1">
      <c r="A2152" t="s">
        <v>14</v>
      </c>
      <c r="B2152" t="s">
        <v>1311</v>
      </c>
      <c r="E2152" s="118" t="s">
        <v>2014</v>
      </c>
      <c r="F2152" s="118" t="s">
        <v>3313</v>
      </c>
      <c r="H2152" s="206" t="str">
        <f t="shared" si="315"/>
        <v xml:space="preserve">(14.13c) What quantity of Amoxicillin (tabs or capsule) are available at this time? </v>
      </c>
      <c r="I2152" s="213" t="str">
        <f t="shared" si="311"/>
        <v>integer</v>
      </c>
      <c r="J2152" s="106" t="s">
        <v>3372</v>
      </c>
      <c r="K2152" s="116" t="s">
        <v>2443</v>
      </c>
      <c r="L2152" s="118" t="str">
        <f>IF(K2152="yes",("Sorry, question "&amp;LEFT(E2152, 8)&amp;" is required!"),"")</f>
        <v>Sorry, question (14.13c) is required!</v>
      </c>
      <c r="O2152" s="110" t="s">
        <v>1067</v>
      </c>
    </row>
    <row r="2153" spans="1:24" ht="14.25" customHeight="1">
      <c r="A2153" t="s">
        <v>15</v>
      </c>
      <c r="H2153" s="206">
        <f t="shared" si="315"/>
        <v>0</v>
      </c>
      <c r="L2153" s="118" t="str">
        <f t="shared" si="314"/>
        <v/>
      </c>
      <c r="O2153" s="110" t="s">
        <v>1067</v>
      </c>
      <c r="X2153" t="s">
        <v>3033</v>
      </c>
    </row>
    <row r="2154" spans="1:24" s="120" customFormat="1" ht="14.25" customHeight="1">
      <c r="A2154" s="120" t="s">
        <v>12</v>
      </c>
      <c r="B2154" s="120" t="s">
        <v>3425</v>
      </c>
      <c r="E2154" s="131"/>
      <c r="F2154" s="131"/>
      <c r="H2154" s="206">
        <f t="shared" si="315"/>
        <v>0</v>
      </c>
      <c r="I2154" s="213"/>
      <c r="J2154" s="121" t="s">
        <v>13</v>
      </c>
      <c r="K2154" s="122"/>
      <c r="L2154" s="118" t="str">
        <f t="shared" si="314"/>
        <v/>
      </c>
      <c r="M2154" s="123"/>
      <c r="O2154" s="124"/>
      <c r="P2154" s="101"/>
    </row>
    <row r="2155" spans="1:24" ht="14.25" customHeight="1">
      <c r="A2155" t="s">
        <v>23</v>
      </c>
      <c r="B2155" t="s">
        <v>1312</v>
      </c>
      <c r="E2155" s="118" t="s">
        <v>3001</v>
      </c>
      <c r="H2155" s="206" t="str">
        <f t="shared" si="315"/>
        <v>(14.14c) In the past 30 days, has the item been out of stock at any time?</v>
      </c>
      <c r="I2155" s="213" t="str">
        <f t="shared" si="311"/>
        <v>select_one yesno</v>
      </c>
      <c r="J2155" s="106" t="s">
        <v>4457</v>
      </c>
      <c r="K2155" s="116" t="s">
        <v>2443</v>
      </c>
      <c r="L2155" s="118" t="str">
        <f>IF(K2155="yes",("Sorry, question "&amp;LEFT(E2155, 8)&amp;" is required!"),"")</f>
        <v>Sorry, question (14.14c) is required!</v>
      </c>
      <c r="O2155" s="110" t="s">
        <v>1899</v>
      </c>
    </row>
    <row r="2156" spans="1:24" ht="14.25" customHeight="1">
      <c r="A2156" t="s">
        <v>14</v>
      </c>
      <c r="B2156" t="s">
        <v>1313</v>
      </c>
      <c r="E2156" s="118" t="s">
        <v>3002</v>
      </c>
      <c r="F2156" s="118" t="s">
        <v>3383</v>
      </c>
      <c r="H2156" s="206" t="str">
        <f t="shared" si="315"/>
        <v>(14.15c) In the past 30 days, how many days has the item been out of stock?</v>
      </c>
      <c r="I2156" s="213" t="str">
        <f t="shared" si="311"/>
        <v>integer</v>
      </c>
      <c r="J2156" s="106" t="s">
        <v>3379</v>
      </c>
      <c r="K2156" s="116" t="s">
        <v>2443</v>
      </c>
      <c r="L2156" s="118" t="str">
        <f>IF(K2156="yes",("Sorry, question "&amp;LEFT(E2156, 8)&amp;" is required!"),"")</f>
        <v>Sorry, question (14.15c) is required!</v>
      </c>
      <c r="M2156" s="113" t="s">
        <v>3598</v>
      </c>
      <c r="N2156" s="1" t="s">
        <v>4082</v>
      </c>
      <c r="O2156" s="110" t="s">
        <v>3643</v>
      </c>
    </row>
    <row r="2157" spans="1:24" s="120" customFormat="1" ht="14.25" customHeight="1">
      <c r="A2157" s="120" t="s">
        <v>15</v>
      </c>
      <c r="E2157" s="131"/>
      <c r="F2157" s="131"/>
      <c r="H2157" s="206">
        <f t="shared" si="315"/>
        <v>0</v>
      </c>
      <c r="I2157" s="213"/>
      <c r="J2157" s="121"/>
      <c r="K2157" s="122"/>
      <c r="L2157" s="118" t="str">
        <f t="shared" si="314"/>
        <v/>
      </c>
      <c r="M2157" s="123"/>
      <c r="O2157" s="124"/>
      <c r="P2157" s="101"/>
    </row>
    <row r="2158" spans="1:24" ht="14.25" customHeight="1">
      <c r="A2158" t="s">
        <v>12</v>
      </c>
      <c r="B2158" t="s">
        <v>3322</v>
      </c>
      <c r="E2158" s="118" t="s">
        <v>1067</v>
      </c>
      <c r="H2158" s="206" t="str">
        <f t="shared" si="315"/>
        <v/>
      </c>
      <c r="J2158" s="106" t="s">
        <v>3526</v>
      </c>
      <c r="L2158" s="118" t="str">
        <f t="shared" si="314"/>
        <v/>
      </c>
      <c r="O2158" s="110" t="s">
        <v>1067</v>
      </c>
      <c r="X2158" t="s">
        <v>3033</v>
      </c>
    </row>
    <row r="2159" spans="1:24" ht="14.25" customHeight="1">
      <c r="A2159" t="s">
        <v>17</v>
      </c>
      <c r="B2159" t="s">
        <v>5225</v>
      </c>
      <c r="E2159" s="118" t="s">
        <v>4158</v>
      </c>
      <c r="H2159" s="206" t="str">
        <f t="shared" si="315"/>
        <v>&lt;font color='#000000'&gt;&lt;b&gt;Amoxicillin (syrup)&lt;/b&gt;&lt;/f&gt;</v>
      </c>
      <c r="I2159" s="213" t="str">
        <f t="shared" si="311"/>
        <v>note</v>
      </c>
      <c r="J2159" s="106" t="s">
        <v>3528</v>
      </c>
      <c r="L2159" s="118" t="str">
        <f t="shared" si="314"/>
        <v/>
      </c>
      <c r="O2159" s="110" t="s">
        <v>1067</v>
      </c>
    </row>
    <row r="2160" spans="1:24" ht="14.25" customHeight="1">
      <c r="A2160" t="s">
        <v>14</v>
      </c>
      <c r="B2160" t="s">
        <v>1314</v>
      </c>
      <c r="E2160" s="118" t="s">
        <v>2015</v>
      </c>
      <c r="F2160" s="118" t="s">
        <v>3313</v>
      </c>
      <c r="H2160" s="206" t="str">
        <f t="shared" si="315"/>
        <v xml:space="preserve">(14.13d) What quantity of Amoxicillin (syrup) are available at this time? </v>
      </c>
      <c r="I2160" s="213" t="str">
        <f t="shared" si="311"/>
        <v>integer</v>
      </c>
      <c r="J2160" s="106" t="s">
        <v>3372</v>
      </c>
      <c r="K2160" s="116" t="s">
        <v>2443</v>
      </c>
      <c r="L2160" s="118" t="str">
        <f>IF(K2160="yes",("Sorry, question "&amp;LEFT(E2160, 8)&amp;" is required!"),"")</f>
        <v>Sorry, question (14.13d) is required!</v>
      </c>
      <c r="O2160" s="110" t="s">
        <v>1067</v>
      </c>
    </row>
    <row r="2161" spans="1:24" ht="14.25" customHeight="1">
      <c r="A2161" t="s">
        <v>15</v>
      </c>
      <c r="H2161" s="206">
        <f t="shared" si="315"/>
        <v>0</v>
      </c>
      <c r="L2161" s="118" t="str">
        <f t="shared" si="314"/>
        <v/>
      </c>
      <c r="O2161" s="110" t="s">
        <v>1067</v>
      </c>
      <c r="X2161" t="s">
        <v>3033</v>
      </c>
    </row>
    <row r="2162" spans="1:24" s="120" customFormat="1" ht="14.25" customHeight="1">
      <c r="A2162" s="120" t="s">
        <v>12</v>
      </c>
      <c r="B2162" s="120" t="s">
        <v>3426</v>
      </c>
      <c r="E2162" s="131"/>
      <c r="F2162" s="131"/>
      <c r="H2162" s="206">
        <f t="shared" si="315"/>
        <v>0</v>
      </c>
      <c r="I2162" s="213"/>
      <c r="J2162" s="121" t="s">
        <v>13</v>
      </c>
      <c r="K2162" s="122"/>
      <c r="L2162" s="118" t="str">
        <f t="shared" si="314"/>
        <v/>
      </c>
      <c r="M2162" s="123"/>
      <c r="O2162" s="124"/>
      <c r="P2162" s="101"/>
    </row>
    <row r="2163" spans="1:24" ht="14.25" customHeight="1">
      <c r="A2163" t="s">
        <v>23</v>
      </c>
      <c r="B2163" t="s">
        <v>1315</v>
      </c>
      <c r="E2163" s="118" t="s">
        <v>2058</v>
      </c>
      <c r="H2163" s="206" t="str">
        <f t="shared" si="315"/>
        <v>(14.14d) In the past 30 days, has the item been out of stock at any time?</v>
      </c>
      <c r="I2163" s="213" t="str">
        <f t="shared" si="311"/>
        <v>select_one yesno</v>
      </c>
      <c r="J2163" s="106" t="s">
        <v>4457</v>
      </c>
      <c r="K2163" s="116" t="s">
        <v>2443</v>
      </c>
      <c r="L2163" s="118" t="str">
        <f>IF(K2163="yes",("Sorry, question "&amp;LEFT(E2163, 8)&amp;" is required!"),"")</f>
        <v>Sorry, question (14.14d) is required!</v>
      </c>
      <c r="O2163" s="110" t="s">
        <v>1900</v>
      </c>
    </row>
    <row r="2164" spans="1:24" ht="14.25" customHeight="1">
      <c r="A2164" t="s">
        <v>14</v>
      </c>
      <c r="B2164" t="s">
        <v>1316</v>
      </c>
      <c r="E2164" s="118" t="s">
        <v>2059</v>
      </c>
      <c r="F2164" s="118" t="s">
        <v>3383</v>
      </c>
      <c r="H2164" s="206" t="str">
        <f t="shared" si="315"/>
        <v>(14.15d) In the past 30 days, how many days has the item been out of stock?</v>
      </c>
      <c r="I2164" s="213" t="str">
        <f t="shared" si="311"/>
        <v>integer</v>
      </c>
      <c r="J2164" s="106" t="s">
        <v>3379</v>
      </c>
      <c r="K2164" s="116" t="s">
        <v>2443</v>
      </c>
      <c r="L2164" s="118" t="str">
        <f>IF(K2164="yes",("Sorry, question "&amp;LEFT(E2164, 8)&amp;" is required!"),"")</f>
        <v>Sorry, question (14.15d) is required!</v>
      </c>
      <c r="M2164" s="113" t="s">
        <v>3598</v>
      </c>
      <c r="N2164" s="1" t="s">
        <v>4083</v>
      </c>
      <c r="O2164" s="110" t="s">
        <v>3644</v>
      </c>
    </row>
    <row r="2165" spans="1:24" s="120" customFormat="1" ht="14.25" customHeight="1">
      <c r="A2165" s="120" t="s">
        <v>15</v>
      </c>
      <c r="E2165" s="131"/>
      <c r="F2165" s="131"/>
      <c r="H2165" s="206">
        <f t="shared" si="315"/>
        <v>0</v>
      </c>
      <c r="I2165" s="213"/>
      <c r="J2165" s="121"/>
      <c r="K2165" s="122"/>
      <c r="L2165" s="118" t="str">
        <f t="shared" si="314"/>
        <v/>
      </c>
      <c r="M2165" s="123"/>
      <c r="O2165" s="124"/>
      <c r="P2165" s="101"/>
    </row>
    <row r="2166" spans="1:24" ht="14.25" customHeight="1">
      <c r="A2166" t="s">
        <v>12</v>
      </c>
      <c r="B2166" t="s">
        <v>3321</v>
      </c>
      <c r="E2166" s="118" t="s">
        <v>1067</v>
      </c>
      <c r="H2166" s="206" t="str">
        <f t="shared" si="315"/>
        <v/>
      </c>
      <c r="J2166" s="106" t="s">
        <v>3526</v>
      </c>
      <c r="L2166" s="118" t="str">
        <f t="shared" si="314"/>
        <v/>
      </c>
      <c r="O2166" s="110" t="s">
        <v>1067</v>
      </c>
      <c r="X2166" t="s">
        <v>3033</v>
      </c>
    </row>
    <row r="2167" spans="1:24" ht="14.25" customHeight="1">
      <c r="A2167" t="s">
        <v>17</v>
      </c>
      <c r="B2167" t="s">
        <v>5226</v>
      </c>
      <c r="E2167" s="118" t="s">
        <v>4159</v>
      </c>
      <c r="H2167" s="206" t="str">
        <f t="shared" si="315"/>
        <v>&lt;font color='#000000'&gt;&lt;b&gt;Oral Rehydration Solution (ORS) packets&lt;/b&gt;&lt;/f&gt;</v>
      </c>
      <c r="I2167" s="213" t="str">
        <f t="shared" si="311"/>
        <v>note</v>
      </c>
      <c r="J2167" s="106" t="s">
        <v>3528</v>
      </c>
      <c r="L2167" s="118" t="str">
        <f t="shared" si="314"/>
        <v/>
      </c>
      <c r="O2167" s="110" t="s">
        <v>1067</v>
      </c>
    </row>
    <row r="2168" spans="1:24" ht="14.25" customHeight="1">
      <c r="A2168" t="s">
        <v>14</v>
      </c>
      <c r="B2168" t="s">
        <v>1317</v>
      </c>
      <c r="E2168" s="118" t="s">
        <v>2016</v>
      </c>
      <c r="F2168" s="118" t="s">
        <v>3313</v>
      </c>
      <c r="H2168" s="206" t="str">
        <f t="shared" si="315"/>
        <v xml:space="preserve">(14.13e) What quantity of Oral Rehydration Solution (ORS) packets are available at this time? </v>
      </c>
      <c r="I2168" s="213" t="str">
        <f t="shared" si="311"/>
        <v>integer</v>
      </c>
      <c r="J2168" s="106" t="s">
        <v>3372</v>
      </c>
      <c r="K2168" s="116" t="s">
        <v>2443</v>
      </c>
      <c r="L2168" s="118" t="str">
        <f>IF(K2168="yes",("Sorry, question "&amp;LEFT(E2168, 8)&amp;" is required!"),"")</f>
        <v>Sorry, question (14.13e) is required!</v>
      </c>
      <c r="O2168" s="110" t="s">
        <v>1067</v>
      </c>
    </row>
    <row r="2169" spans="1:24" ht="14.25" customHeight="1">
      <c r="A2169" t="s">
        <v>15</v>
      </c>
      <c r="H2169" s="206">
        <f t="shared" si="315"/>
        <v>0</v>
      </c>
      <c r="L2169" s="118" t="str">
        <f t="shared" si="314"/>
        <v/>
      </c>
      <c r="O2169" s="110" t="s">
        <v>1067</v>
      </c>
      <c r="X2169" t="s">
        <v>3033</v>
      </c>
    </row>
    <row r="2170" spans="1:24" s="120" customFormat="1" ht="14.25" customHeight="1">
      <c r="A2170" s="120" t="s">
        <v>12</v>
      </c>
      <c r="B2170" s="120" t="s">
        <v>3427</v>
      </c>
      <c r="E2170" s="131"/>
      <c r="F2170" s="131"/>
      <c r="H2170" s="206">
        <f t="shared" si="315"/>
        <v>0</v>
      </c>
      <c r="I2170" s="213"/>
      <c r="J2170" s="121" t="s">
        <v>13</v>
      </c>
      <c r="K2170" s="122"/>
      <c r="L2170" s="118" t="str">
        <f t="shared" si="314"/>
        <v/>
      </c>
      <c r="M2170" s="123"/>
      <c r="O2170" s="124"/>
      <c r="P2170" s="101"/>
    </row>
    <row r="2171" spans="1:24" ht="14.25" customHeight="1">
      <c r="A2171" t="s">
        <v>23</v>
      </c>
      <c r="B2171" t="s">
        <v>1318</v>
      </c>
      <c r="E2171" s="118" t="s">
        <v>2060</v>
      </c>
      <c r="H2171" s="206" t="str">
        <f t="shared" si="315"/>
        <v>(14.14e) In the past 30 days, has the item been out of stock at any time?</v>
      </c>
      <c r="I2171" s="213" t="str">
        <f t="shared" si="311"/>
        <v>select_one yesno</v>
      </c>
      <c r="J2171" s="106" t="s">
        <v>4457</v>
      </c>
      <c r="K2171" s="116" t="s">
        <v>2443</v>
      </c>
      <c r="L2171" s="118" t="str">
        <f>IF(K2171="yes",("Sorry, question "&amp;LEFT(E2171, 8)&amp;" is required!"),"")</f>
        <v>Sorry, question (14.14e) is required!</v>
      </c>
      <c r="O2171" s="110" t="s">
        <v>1901</v>
      </c>
    </row>
    <row r="2172" spans="1:24" ht="14.25" customHeight="1">
      <c r="A2172" t="s">
        <v>14</v>
      </c>
      <c r="B2172" t="s">
        <v>1319</v>
      </c>
      <c r="E2172" s="118" t="s">
        <v>2061</v>
      </c>
      <c r="F2172" s="118" t="s">
        <v>3383</v>
      </c>
      <c r="H2172" s="206" t="str">
        <f t="shared" si="315"/>
        <v>(14.15e) In the past 30 days, how many days has the item been out of stock?</v>
      </c>
      <c r="I2172" s="213" t="str">
        <f t="shared" si="311"/>
        <v>integer</v>
      </c>
      <c r="J2172" s="106" t="s">
        <v>3379</v>
      </c>
      <c r="K2172" s="116" t="s">
        <v>2443</v>
      </c>
      <c r="L2172" s="118" t="str">
        <f>IF(K2172="yes",("Sorry, question "&amp;LEFT(E2172, 8)&amp;" is required!"),"")</f>
        <v>Sorry, question (14.15e) is required!</v>
      </c>
      <c r="M2172" s="113" t="s">
        <v>3598</v>
      </c>
      <c r="N2172" s="1" t="s">
        <v>4084</v>
      </c>
      <c r="O2172" s="110" t="s">
        <v>3645</v>
      </c>
    </row>
    <row r="2173" spans="1:24" s="120" customFormat="1" ht="14.25" customHeight="1">
      <c r="A2173" s="120" t="s">
        <v>15</v>
      </c>
      <c r="E2173" s="131"/>
      <c r="F2173" s="131"/>
      <c r="H2173" s="206">
        <f t="shared" si="315"/>
        <v>0</v>
      </c>
      <c r="I2173" s="213"/>
      <c r="J2173" s="121"/>
      <c r="K2173" s="122"/>
      <c r="L2173" s="118" t="str">
        <f t="shared" si="314"/>
        <v/>
      </c>
      <c r="M2173" s="123"/>
      <c r="O2173" s="124" t="s">
        <v>1067</v>
      </c>
      <c r="P2173" s="101"/>
      <c r="X2173" s="120" t="s">
        <v>3033</v>
      </c>
    </row>
    <row r="2174" spans="1:24" ht="14.25" customHeight="1">
      <c r="A2174" t="s">
        <v>12</v>
      </c>
      <c r="B2174" t="s">
        <v>3320</v>
      </c>
      <c r="H2174" s="206">
        <f t="shared" si="315"/>
        <v>0</v>
      </c>
      <c r="J2174" s="106" t="s">
        <v>3526</v>
      </c>
      <c r="L2174" s="118" t="str">
        <f t="shared" si="314"/>
        <v/>
      </c>
      <c r="X2174" t="s">
        <v>3033</v>
      </c>
    </row>
    <row r="2175" spans="1:24" ht="14.25" customHeight="1">
      <c r="A2175" t="s">
        <v>17</v>
      </c>
      <c r="B2175" t="s">
        <v>5227</v>
      </c>
      <c r="E2175" s="118" t="s">
        <v>4160</v>
      </c>
      <c r="H2175" s="206" t="str">
        <f t="shared" si="315"/>
        <v>&lt;font color='#000000'&gt;&lt;b&gt;Iron tabs (with or without folic acid)&lt;/b&gt;&lt;/f&gt;</v>
      </c>
      <c r="I2175" s="213" t="str">
        <f t="shared" si="311"/>
        <v>note</v>
      </c>
      <c r="J2175" s="106" t="s">
        <v>3528</v>
      </c>
      <c r="L2175" s="118" t="str">
        <f t="shared" si="314"/>
        <v/>
      </c>
      <c r="O2175" s="110" t="s">
        <v>1067</v>
      </c>
    </row>
    <row r="2176" spans="1:24" ht="14.25" customHeight="1">
      <c r="A2176" t="s">
        <v>14</v>
      </c>
      <c r="B2176" t="s">
        <v>1320</v>
      </c>
      <c r="E2176" s="118" t="s">
        <v>2017</v>
      </c>
      <c r="F2176" s="118" t="s">
        <v>3313</v>
      </c>
      <c r="H2176" s="206" t="str">
        <f t="shared" si="315"/>
        <v xml:space="preserve">(14.13f) What quantity of Iron tabs (with or without folic acid) are available at this time? </v>
      </c>
      <c r="I2176" s="213" t="str">
        <f t="shared" si="311"/>
        <v>integer</v>
      </c>
      <c r="J2176" s="106" t="s">
        <v>3372</v>
      </c>
      <c r="K2176" s="116" t="s">
        <v>2443</v>
      </c>
      <c r="L2176" s="118" t="str">
        <f>IF(K2176="yes",("Sorry, question "&amp;LEFT(E2176, 8)&amp;" is required!"),"")</f>
        <v>Sorry, question (14.13f) is required!</v>
      </c>
      <c r="O2176" s="110" t="s">
        <v>1067</v>
      </c>
    </row>
    <row r="2177" spans="1:24" ht="14.25" customHeight="1">
      <c r="A2177" t="s">
        <v>15</v>
      </c>
      <c r="H2177" s="206">
        <f t="shared" si="315"/>
        <v>0</v>
      </c>
      <c r="L2177" s="118" t="str">
        <f t="shared" si="314"/>
        <v/>
      </c>
      <c r="O2177" s="110" t="s">
        <v>1067</v>
      </c>
      <c r="X2177" t="s">
        <v>3033</v>
      </c>
    </row>
    <row r="2178" spans="1:24" s="120" customFormat="1" ht="14.25" customHeight="1">
      <c r="A2178" s="120" t="s">
        <v>12</v>
      </c>
      <c r="B2178" s="120" t="s">
        <v>3428</v>
      </c>
      <c r="E2178" s="131"/>
      <c r="F2178" s="131"/>
      <c r="H2178" s="206">
        <f t="shared" si="315"/>
        <v>0</v>
      </c>
      <c r="I2178" s="213"/>
      <c r="J2178" s="121" t="s">
        <v>13</v>
      </c>
      <c r="K2178" s="122"/>
      <c r="L2178" s="118" t="str">
        <f t="shared" si="314"/>
        <v/>
      </c>
      <c r="M2178" s="123"/>
      <c r="O2178" s="124"/>
      <c r="P2178" s="101"/>
    </row>
    <row r="2179" spans="1:24" ht="14.25" customHeight="1">
      <c r="A2179" t="s">
        <v>23</v>
      </c>
      <c r="B2179" t="s">
        <v>1321</v>
      </c>
      <c r="E2179" s="118" t="s">
        <v>2062</v>
      </c>
      <c r="H2179" s="206" t="str">
        <f t="shared" si="315"/>
        <v>(14.14f) In the past 30 days, has the item been out of stock at any time?</v>
      </c>
      <c r="I2179" s="213" t="str">
        <f t="shared" ref="I2179:I2239" si="316">A2179</f>
        <v>select_one yesno</v>
      </c>
      <c r="J2179" s="106" t="s">
        <v>4457</v>
      </c>
      <c r="K2179" s="116" t="s">
        <v>2443</v>
      </c>
      <c r="L2179" s="118" t="str">
        <f>IF(K2179="yes",("Sorry, question "&amp;LEFT(E2179, 8)&amp;" is required!"),"")</f>
        <v>Sorry, question (14.14f) is required!</v>
      </c>
      <c r="O2179" s="110" t="s">
        <v>1902</v>
      </c>
    </row>
    <row r="2180" spans="1:24" ht="14.25" customHeight="1">
      <c r="A2180" t="s">
        <v>14</v>
      </c>
      <c r="B2180" t="s">
        <v>1322</v>
      </c>
      <c r="E2180" s="118" t="s">
        <v>2063</v>
      </c>
      <c r="F2180" s="118" t="s">
        <v>3383</v>
      </c>
      <c r="H2180" s="206" t="str">
        <f t="shared" si="315"/>
        <v>(14.15f) In the past 30 days, how many days has the item been out of stock?</v>
      </c>
      <c r="I2180" s="213" t="str">
        <f t="shared" si="316"/>
        <v>integer</v>
      </c>
      <c r="J2180" s="106" t="s">
        <v>3379</v>
      </c>
      <c r="K2180" s="116" t="s">
        <v>2443</v>
      </c>
      <c r="L2180" s="118" t="str">
        <f>IF(K2180="yes",("Sorry, question "&amp;LEFT(E2180, 8)&amp;" is required!"),"")</f>
        <v>Sorry, question (14.15f) is required!</v>
      </c>
      <c r="M2180" s="113" t="s">
        <v>3598</v>
      </c>
      <c r="N2180" s="1" t="s">
        <v>4085</v>
      </c>
      <c r="O2180" s="110" t="s">
        <v>3646</v>
      </c>
    </row>
    <row r="2181" spans="1:24" s="120" customFormat="1" ht="14.25" customHeight="1">
      <c r="A2181" s="120" t="s">
        <v>15</v>
      </c>
      <c r="E2181" s="131"/>
      <c r="F2181" s="131"/>
      <c r="H2181" s="206">
        <f t="shared" si="315"/>
        <v>0</v>
      </c>
      <c r="I2181" s="213"/>
      <c r="J2181" s="121"/>
      <c r="K2181" s="122"/>
      <c r="L2181" s="118" t="str">
        <f t="shared" si="314"/>
        <v/>
      </c>
      <c r="M2181" s="123"/>
      <c r="O2181" s="124" t="s">
        <v>1067</v>
      </c>
      <c r="P2181" s="101"/>
      <c r="X2181" s="120" t="s">
        <v>3033</v>
      </c>
    </row>
    <row r="2182" spans="1:24" ht="14.25" customHeight="1">
      <c r="A2182" t="s">
        <v>12</v>
      </c>
      <c r="B2182" t="s">
        <v>3319</v>
      </c>
      <c r="H2182" s="206">
        <f t="shared" si="315"/>
        <v>0</v>
      </c>
      <c r="J2182" s="106" t="s">
        <v>3526</v>
      </c>
      <c r="L2182" s="118" t="str">
        <f t="shared" si="314"/>
        <v/>
      </c>
      <c r="X2182" t="s">
        <v>3033</v>
      </c>
    </row>
    <row r="2183" spans="1:24" ht="14.25" customHeight="1">
      <c r="A2183" t="s">
        <v>17</v>
      </c>
      <c r="B2183" t="s">
        <v>5228</v>
      </c>
      <c r="E2183" s="118" t="s">
        <v>4161</v>
      </c>
      <c r="H2183" s="206" t="str">
        <f t="shared" si="315"/>
        <v>&lt;font color='#000000'&gt;&lt;b&gt;Folic acid tabs&lt;/b&gt;&lt;/f&gt;</v>
      </c>
      <c r="I2183" s="213" t="str">
        <f t="shared" si="316"/>
        <v>note</v>
      </c>
      <c r="J2183" s="106" t="s">
        <v>3528</v>
      </c>
      <c r="L2183" s="118" t="str">
        <f t="shared" si="314"/>
        <v/>
      </c>
      <c r="O2183" s="110" t="s">
        <v>1067</v>
      </c>
    </row>
    <row r="2184" spans="1:24" ht="14.25" customHeight="1">
      <c r="A2184" t="s">
        <v>14</v>
      </c>
      <c r="B2184" t="s">
        <v>1323</v>
      </c>
      <c r="E2184" s="118" t="s">
        <v>2018</v>
      </c>
      <c r="F2184" s="118" t="s">
        <v>3313</v>
      </c>
      <c r="H2184" s="206" t="str">
        <f t="shared" si="315"/>
        <v xml:space="preserve">(14.13g) What quantity of Folic acid tabs are available at this time? </v>
      </c>
      <c r="I2184" s="213" t="str">
        <f t="shared" si="316"/>
        <v>integer</v>
      </c>
      <c r="J2184" s="106" t="s">
        <v>3372</v>
      </c>
      <c r="K2184" s="116" t="s">
        <v>2443</v>
      </c>
      <c r="L2184" s="118" t="str">
        <f>IF(K2184="yes",("Sorry, question "&amp;LEFT(E2184, 8)&amp;" is required!"),"")</f>
        <v>Sorry, question (14.13g) is required!</v>
      </c>
      <c r="O2184" s="110" t="s">
        <v>1067</v>
      </c>
    </row>
    <row r="2185" spans="1:24" ht="14.25" customHeight="1">
      <c r="A2185" t="s">
        <v>15</v>
      </c>
      <c r="H2185" s="206">
        <f t="shared" si="315"/>
        <v>0</v>
      </c>
      <c r="L2185" s="118" t="str">
        <f t="shared" si="314"/>
        <v/>
      </c>
      <c r="O2185" s="110" t="s">
        <v>1067</v>
      </c>
      <c r="X2185" t="s">
        <v>3033</v>
      </c>
    </row>
    <row r="2186" spans="1:24" s="120" customFormat="1" ht="14.25" customHeight="1">
      <c r="A2186" s="120" t="s">
        <v>12</v>
      </c>
      <c r="B2186" s="120" t="s">
        <v>3429</v>
      </c>
      <c r="E2186" s="131"/>
      <c r="F2186" s="131"/>
      <c r="H2186" s="206">
        <f t="shared" si="315"/>
        <v>0</v>
      </c>
      <c r="I2186" s="213"/>
      <c r="J2186" s="121" t="s">
        <v>13</v>
      </c>
      <c r="K2186" s="122"/>
      <c r="L2186" s="118" t="str">
        <f t="shared" si="314"/>
        <v/>
      </c>
      <c r="M2186" s="123"/>
      <c r="O2186" s="124"/>
      <c r="P2186" s="101"/>
    </row>
    <row r="2187" spans="1:24" ht="14.25" customHeight="1">
      <c r="A2187" t="s">
        <v>23</v>
      </c>
      <c r="B2187" t="s">
        <v>1324</v>
      </c>
      <c r="E2187" s="118" t="s">
        <v>2064</v>
      </c>
      <c r="H2187" s="206" t="str">
        <f t="shared" si="315"/>
        <v>(14.14g) In the past 30 days, has the item been out of stock at any time?</v>
      </c>
      <c r="I2187" s="213" t="str">
        <f t="shared" si="316"/>
        <v>select_one yesno</v>
      </c>
      <c r="J2187" s="106" t="s">
        <v>4457</v>
      </c>
      <c r="K2187" s="116" t="s">
        <v>2443</v>
      </c>
      <c r="L2187" s="118" t="str">
        <f>IF(K2187="yes",("Sorry, question "&amp;LEFT(E2187, 8)&amp;" is required!"),"")</f>
        <v>Sorry, question (14.14g) is required!</v>
      </c>
      <c r="O2187" s="110" t="s">
        <v>1903</v>
      </c>
    </row>
    <row r="2188" spans="1:24" ht="14.25" customHeight="1">
      <c r="A2188" t="s">
        <v>14</v>
      </c>
      <c r="B2188" t="s">
        <v>1325</v>
      </c>
      <c r="E2188" s="118" t="s">
        <v>2065</v>
      </c>
      <c r="F2188" s="118" t="s">
        <v>3383</v>
      </c>
      <c r="H2188" s="206" t="str">
        <f t="shared" si="315"/>
        <v>(14.15g) In the past 30 days, how many days has the item been out of stock?</v>
      </c>
      <c r="I2188" s="213" t="str">
        <f t="shared" si="316"/>
        <v>integer</v>
      </c>
      <c r="J2188" s="106" t="s">
        <v>3379</v>
      </c>
      <c r="K2188" s="116" t="s">
        <v>2443</v>
      </c>
      <c r="L2188" s="118" t="str">
        <f>IF(K2188="yes",("Sorry, question "&amp;LEFT(E2188, 8)&amp;" is required!"),"")</f>
        <v>Sorry, question (14.15g) is required!</v>
      </c>
      <c r="M2188" s="113" t="s">
        <v>3598</v>
      </c>
      <c r="N2188" s="1" t="s">
        <v>4086</v>
      </c>
      <c r="O2188" s="110" t="s">
        <v>3647</v>
      </c>
    </row>
    <row r="2189" spans="1:24" s="120" customFormat="1" ht="14.25" customHeight="1">
      <c r="A2189" s="120" t="s">
        <v>15</v>
      </c>
      <c r="E2189" s="131"/>
      <c r="F2189" s="131"/>
      <c r="H2189" s="206">
        <f t="shared" si="315"/>
        <v>0</v>
      </c>
      <c r="I2189" s="213"/>
      <c r="J2189" s="121"/>
      <c r="K2189" s="122"/>
      <c r="L2189" s="118" t="str">
        <f t="shared" si="314"/>
        <v/>
      </c>
      <c r="M2189" s="123"/>
      <c r="O2189" s="124" t="s">
        <v>1067</v>
      </c>
      <c r="P2189" s="101"/>
      <c r="X2189" s="120" t="s">
        <v>3033</v>
      </c>
    </row>
    <row r="2190" spans="1:24" ht="14.25" customHeight="1">
      <c r="A2190" t="s">
        <v>12</v>
      </c>
      <c r="B2190" t="s">
        <v>3318</v>
      </c>
      <c r="H2190" s="206">
        <f t="shared" si="315"/>
        <v>0</v>
      </c>
      <c r="J2190" s="106" t="s">
        <v>3526</v>
      </c>
      <c r="L2190" s="118" t="str">
        <f t="shared" si="314"/>
        <v/>
      </c>
      <c r="X2190" t="s">
        <v>3033</v>
      </c>
    </row>
    <row r="2191" spans="1:24" ht="14.25" customHeight="1">
      <c r="A2191" t="s">
        <v>17</v>
      </c>
      <c r="B2191" t="s">
        <v>5229</v>
      </c>
      <c r="E2191" s="118" t="s">
        <v>4162</v>
      </c>
      <c r="H2191" s="206" t="str">
        <f t="shared" si="315"/>
        <v>&lt;font color='#000000'&gt;&lt;b&gt;Other antibiotics besides Amoxicillin&lt;/b&gt;&lt;/f&gt;</v>
      </c>
      <c r="I2191" s="213" t="str">
        <f t="shared" si="316"/>
        <v>note</v>
      </c>
      <c r="J2191" s="106" t="s">
        <v>3528</v>
      </c>
      <c r="L2191" s="118" t="str">
        <f t="shared" si="314"/>
        <v/>
      </c>
      <c r="O2191" s="110" t="s">
        <v>1067</v>
      </c>
    </row>
    <row r="2192" spans="1:24" ht="14.25" customHeight="1">
      <c r="A2192" t="s">
        <v>14</v>
      </c>
      <c r="B2192" t="s">
        <v>1326</v>
      </c>
      <c r="E2192" s="118" t="s">
        <v>2019</v>
      </c>
      <c r="F2192" s="118" t="s">
        <v>3313</v>
      </c>
      <c r="H2192" s="206" t="str">
        <f t="shared" si="315"/>
        <v xml:space="preserve">(14.13h) What quantity of Other antibiotics besides Amoxicillin are available at this time? </v>
      </c>
      <c r="I2192" s="213" t="str">
        <f t="shared" si="316"/>
        <v>integer</v>
      </c>
      <c r="J2192" s="106" t="s">
        <v>3372</v>
      </c>
      <c r="K2192" s="116" t="s">
        <v>2443</v>
      </c>
      <c r="L2192" s="118" t="str">
        <f>IF(K2192="yes",("Sorry, question "&amp;LEFT(E2192, 8)&amp;" is required!"),"")</f>
        <v>Sorry, question (14.13h) is required!</v>
      </c>
      <c r="O2192" s="110" t="s">
        <v>1067</v>
      </c>
    </row>
    <row r="2193" spans="1:24" ht="14.25" customHeight="1">
      <c r="A2193" t="s">
        <v>15</v>
      </c>
      <c r="H2193" s="206">
        <f t="shared" si="315"/>
        <v>0</v>
      </c>
      <c r="L2193" s="118" t="str">
        <f t="shared" si="314"/>
        <v/>
      </c>
      <c r="O2193" s="110" t="s">
        <v>1067</v>
      </c>
      <c r="X2193" t="s">
        <v>3033</v>
      </c>
    </row>
    <row r="2194" spans="1:24" s="120" customFormat="1" ht="14.25" customHeight="1">
      <c r="A2194" s="120" t="s">
        <v>12</v>
      </c>
      <c r="B2194" s="120" t="s">
        <v>3430</v>
      </c>
      <c r="E2194" s="131"/>
      <c r="F2194" s="131"/>
      <c r="H2194" s="206">
        <f t="shared" si="315"/>
        <v>0</v>
      </c>
      <c r="I2194" s="213"/>
      <c r="J2194" s="121" t="s">
        <v>13</v>
      </c>
      <c r="K2194" s="122"/>
      <c r="L2194" s="118" t="str">
        <f t="shared" si="314"/>
        <v/>
      </c>
      <c r="M2194" s="123"/>
      <c r="O2194" s="124"/>
      <c r="P2194" s="101"/>
    </row>
    <row r="2195" spans="1:24" ht="14.25" customHeight="1">
      <c r="A2195" t="s">
        <v>23</v>
      </c>
      <c r="B2195" t="s">
        <v>1327</v>
      </c>
      <c r="E2195" s="118" t="s">
        <v>2066</v>
      </c>
      <c r="H2195" s="206" t="str">
        <f t="shared" si="315"/>
        <v>(14.14h) In the past 30 days, has the item been out of stock at any time?</v>
      </c>
      <c r="I2195" s="213" t="str">
        <f t="shared" si="316"/>
        <v>select_one yesno</v>
      </c>
      <c r="J2195" s="106" t="s">
        <v>4457</v>
      </c>
      <c r="K2195" s="116" t="s">
        <v>2443</v>
      </c>
      <c r="L2195" s="118" t="str">
        <f>IF(K2195="yes",("Sorry, question "&amp;LEFT(E2195, 8)&amp;" is required!"),"")</f>
        <v>Sorry, question (14.14h) is required!</v>
      </c>
      <c r="O2195" s="110" t="s">
        <v>1904</v>
      </c>
    </row>
    <row r="2196" spans="1:24" ht="14.25" customHeight="1">
      <c r="A2196" t="s">
        <v>14</v>
      </c>
      <c r="B2196" t="s">
        <v>1328</v>
      </c>
      <c r="E2196" s="118" t="s">
        <v>2067</v>
      </c>
      <c r="F2196" s="118" t="s">
        <v>3383</v>
      </c>
      <c r="H2196" s="206" t="str">
        <f t="shared" si="315"/>
        <v>(14.15h) In the past 30 days, how many days has the item been out of stock?</v>
      </c>
      <c r="I2196" s="213" t="str">
        <f t="shared" si="316"/>
        <v>integer</v>
      </c>
      <c r="J2196" s="106" t="s">
        <v>3379</v>
      </c>
      <c r="K2196" s="116" t="s">
        <v>2443</v>
      </c>
      <c r="L2196" s="118" t="str">
        <f>IF(K2196="yes",("Sorry, question "&amp;LEFT(E2196, 8)&amp;" is required!"),"")</f>
        <v>Sorry, question (14.15h) is required!</v>
      </c>
      <c r="M2196" s="113" t="s">
        <v>3598</v>
      </c>
      <c r="N2196" s="1" t="s">
        <v>4087</v>
      </c>
      <c r="O2196" s="110" t="s">
        <v>3648</v>
      </c>
    </row>
    <row r="2197" spans="1:24" s="120" customFormat="1" ht="14.25" customHeight="1">
      <c r="A2197" s="120" t="s">
        <v>15</v>
      </c>
      <c r="E2197" s="131"/>
      <c r="F2197" s="131"/>
      <c r="H2197" s="206">
        <f t="shared" si="315"/>
        <v>0</v>
      </c>
      <c r="I2197" s="213"/>
      <c r="J2197" s="121"/>
      <c r="K2197" s="122"/>
      <c r="L2197" s="118" t="str">
        <f t="shared" si="314"/>
        <v/>
      </c>
      <c r="M2197" s="123"/>
      <c r="O2197" s="124" t="s">
        <v>1067</v>
      </c>
      <c r="P2197" s="101"/>
      <c r="X2197" s="120" t="s">
        <v>3033</v>
      </c>
    </row>
    <row r="2198" spans="1:24" ht="14.25" customHeight="1">
      <c r="A2198" t="s">
        <v>12</v>
      </c>
      <c r="B2198" t="s">
        <v>3317</v>
      </c>
      <c r="H2198" s="206">
        <f t="shared" si="315"/>
        <v>0</v>
      </c>
      <c r="J2198" s="106" t="s">
        <v>3526</v>
      </c>
      <c r="L2198" s="118" t="str">
        <f t="shared" si="314"/>
        <v/>
      </c>
      <c r="X2198" t="s">
        <v>3033</v>
      </c>
    </row>
    <row r="2199" spans="1:24" ht="14.25" customHeight="1">
      <c r="A2199" t="s">
        <v>17</v>
      </c>
      <c r="B2199" t="s">
        <v>5230</v>
      </c>
      <c r="E2199" s="118" t="s">
        <v>4163</v>
      </c>
      <c r="H2199" s="206" t="str">
        <f t="shared" si="315"/>
        <v>&lt;font color='#000000'&gt;&lt;b&gt;Vitamin A&lt;/b&gt;&lt;/f&gt;</v>
      </c>
      <c r="I2199" s="213" t="str">
        <f t="shared" si="316"/>
        <v>note</v>
      </c>
      <c r="J2199" s="106" t="s">
        <v>3528</v>
      </c>
      <c r="L2199" s="118" t="str">
        <f t="shared" si="314"/>
        <v/>
      </c>
      <c r="O2199" s="110" t="s">
        <v>1067</v>
      </c>
    </row>
    <row r="2200" spans="1:24" ht="14.25" customHeight="1">
      <c r="A2200" t="s">
        <v>14</v>
      </c>
      <c r="B2200" t="s">
        <v>1329</v>
      </c>
      <c r="E2200" s="118" t="s">
        <v>2020</v>
      </c>
      <c r="F2200" s="118" t="s">
        <v>3313</v>
      </c>
      <c r="H2200" s="206" t="str">
        <f t="shared" si="315"/>
        <v xml:space="preserve">(14.13i) What quantity of Vitamin A are available at this time? </v>
      </c>
      <c r="I2200" s="213" t="str">
        <f t="shared" si="316"/>
        <v>integer</v>
      </c>
      <c r="J2200" s="106" t="s">
        <v>3372</v>
      </c>
      <c r="K2200" s="116" t="s">
        <v>2443</v>
      </c>
      <c r="L2200" s="118" t="str">
        <f>IF(K2200="yes",("Sorry, question "&amp;LEFT(E2200, 8)&amp;" is required!"),"")</f>
        <v>Sorry, question (14.13i) is required!</v>
      </c>
      <c r="O2200" s="110" t="s">
        <v>1067</v>
      </c>
    </row>
    <row r="2201" spans="1:24" ht="14.25" customHeight="1">
      <c r="A2201" t="s">
        <v>15</v>
      </c>
      <c r="H2201" s="206">
        <f t="shared" si="315"/>
        <v>0</v>
      </c>
      <c r="L2201" s="118" t="str">
        <f t="shared" ref="L2201:L2261" si="317">IF(A2201="integer",("Sorry, question "&amp;LEFT(E2201, 8)&amp;" is required!"),"")</f>
        <v/>
      </c>
      <c r="O2201" s="110" t="s">
        <v>1067</v>
      </c>
      <c r="X2201" t="s">
        <v>3033</v>
      </c>
    </row>
    <row r="2202" spans="1:24" s="120" customFormat="1" ht="14.25" customHeight="1">
      <c r="A2202" s="120" t="s">
        <v>12</v>
      </c>
      <c r="B2202" s="120" t="s">
        <v>3431</v>
      </c>
      <c r="E2202" s="131"/>
      <c r="F2202" s="131"/>
      <c r="H2202" s="206">
        <f t="shared" si="315"/>
        <v>0</v>
      </c>
      <c r="I2202" s="213"/>
      <c r="J2202" s="121" t="s">
        <v>13</v>
      </c>
      <c r="K2202" s="122"/>
      <c r="L2202" s="118" t="str">
        <f t="shared" si="317"/>
        <v/>
      </c>
      <c r="M2202" s="123"/>
      <c r="O2202" s="124"/>
      <c r="P2202" s="101"/>
    </row>
    <row r="2203" spans="1:24" ht="14.25" customHeight="1">
      <c r="A2203" t="s">
        <v>23</v>
      </c>
      <c r="B2203" t="s">
        <v>1330</v>
      </c>
      <c r="E2203" s="118" t="s">
        <v>2068</v>
      </c>
      <c r="H2203" s="206" t="str">
        <f t="shared" si="315"/>
        <v>(14.14i) In the past 30 days, has the item been out of stock at any time?</v>
      </c>
      <c r="I2203" s="213" t="str">
        <f t="shared" si="316"/>
        <v>select_one yesno</v>
      </c>
      <c r="J2203" s="106" t="s">
        <v>4457</v>
      </c>
      <c r="K2203" s="116" t="s">
        <v>2443</v>
      </c>
      <c r="L2203" s="118" t="str">
        <f>IF(K2203="yes",("Sorry, question "&amp;LEFT(E2203, 8)&amp;" is required!"),"")</f>
        <v>Sorry, question (14.14i) is required!</v>
      </c>
      <c r="O2203" s="110" t="s">
        <v>1905</v>
      </c>
    </row>
    <row r="2204" spans="1:24" ht="14.25" customHeight="1">
      <c r="A2204" t="s">
        <v>14</v>
      </c>
      <c r="B2204" t="s">
        <v>1331</v>
      </c>
      <c r="E2204" s="118" t="s">
        <v>2069</v>
      </c>
      <c r="F2204" s="118" t="s">
        <v>3383</v>
      </c>
      <c r="H2204" s="206" t="str">
        <f t="shared" ref="H2204:H2267" si="318">E2204</f>
        <v>(14.15i) In the past 30 days, how many days has the item been out of stock?</v>
      </c>
      <c r="I2204" s="213" t="str">
        <f t="shared" si="316"/>
        <v>integer</v>
      </c>
      <c r="J2204" s="106" t="s">
        <v>3379</v>
      </c>
      <c r="K2204" s="116" t="s">
        <v>2443</v>
      </c>
      <c r="L2204" s="118" t="str">
        <f>IF(K2204="yes",("Sorry, question "&amp;LEFT(E2204, 8)&amp;" is required!"),"")</f>
        <v>Sorry, question (14.15i) is required!</v>
      </c>
      <c r="M2204" s="113" t="s">
        <v>3598</v>
      </c>
      <c r="N2204" s="1" t="s">
        <v>4088</v>
      </c>
      <c r="O2204" s="110" t="s">
        <v>3649</v>
      </c>
    </row>
    <row r="2205" spans="1:24" s="120" customFormat="1" ht="14.25" customHeight="1">
      <c r="A2205" s="125" t="s">
        <v>15</v>
      </c>
      <c r="E2205" s="131"/>
      <c r="F2205" s="131"/>
      <c r="H2205" s="206">
        <f t="shared" si="318"/>
        <v>0</v>
      </c>
      <c r="I2205" s="213"/>
      <c r="J2205" s="121"/>
      <c r="K2205" s="122"/>
      <c r="L2205" s="118" t="str">
        <f t="shared" si="317"/>
        <v/>
      </c>
      <c r="M2205" s="123"/>
      <c r="O2205" s="124" t="s">
        <v>1067</v>
      </c>
      <c r="P2205" s="101"/>
      <c r="X2205" s="120" t="s">
        <v>3033</v>
      </c>
    </row>
    <row r="2206" spans="1:24" ht="14.25" customHeight="1">
      <c r="A2206" t="s">
        <v>12</v>
      </c>
      <c r="B2206" t="s">
        <v>3316</v>
      </c>
      <c r="H2206" s="206">
        <f t="shared" si="318"/>
        <v>0</v>
      </c>
      <c r="J2206" s="106" t="s">
        <v>3526</v>
      </c>
      <c r="L2206" s="118" t="str">
        <f t="shared" si="317"/>
        <v/>
      </c>
      <c r="X2206" t="s">
        <v>3033</v>
      </c>
    </row>
    <row r="2207" spans="1:24" ht="14.25" customHeight="1">
      <c r="A2207" t="s">
        <v>17</v>
      </c>
      <c r="B2207" t="s">
        <v>5231</v>
      </c>
      <c r="E2207" s="118" t="s">
        <v>4164</v>
      </c>
      <c r="H2207" s="206" t="str">
        <f t="shared" si="318"/>
        <v>&lt;font color='#000000'&gt;&lt;b&gt;Mebendazole&lt;/b&gt;&lt;/f&gt;</v>
      </c>
      <c r="I2207" s="213" t="str">
        <f t="shared" si="316"/>
        <v>note</v>
      </c>
      <c r="J2207" s="106" t="s">
        <v>3528</v>
      </c>
      <c r="L2207" s="118" t="str">
        <f t="shared" si="317"/>
        <v/>
      </c>
      <c r="O2207" s="110" t="s">
        <v>1067</v>
      </c>
    </row>
    <row r="2208" spans="1:24" ht="14.25" customHeight="1">
      <c r="A2208" t="s">
        <v>14</v>
      </c>
      <c r="B2208" t="s">
        <v>1332</v>
      </c>
      <c r="E2208" s="118" t="s">
        <v>2021</v>
      </c>
      <c r="F2208" s="118" t="s">
        <v>3313</v>
      </c>
      <c r="H2208" s="206" t="str">
        <f t="shared" si="318"/>
        <v xml:space="preserve">(14.13j) What quantity of Mebendazole   are available at this time? </v>
      </c>
      <c r="I2208" s="213" t="str">
        <f t="shared" si="316"/>
        <v>integer</v>
      </c>
      <c r="J2208" s="106" t="s">
        <v>3372</v>
      </c>
      <c r="K2208" s="116" t="s">
        <v>2443</v>
      </c>
      <c r="L2208" s="118" t="str">
        <f>IF(K2208="yes",("Sorry, question "&amp;LEFT(E2208, 8)&amp;" is required!"),"")</f>
        <v>Sorry, question (14.13j) is required!</v>
      </c>
      <c r="O2208" s="110" t="s">
        <v>1067</v>
      </c>
    </row>
    <row r="2209" spans="1:24" ht="14.25" customHeight="1">
      <c r="A2209" t="s">
        <v>15</v>
      </c>
      <c r="H2209" s="206">
        <f t="shared" si="318"/>
        <v>0</v>
      </c>
      <c r="L2209" s="118" t="str">
        <f t="shared" si="317"/>
        <v/>
      </c>
      <c r="X2209" t="s">
        <v>3033</v>
      </c>
    </row>
    <row r="2210" spans="1:24" s="120" customFormat="1" ht="14.25" customHeight="1">
      <c r="A2210" s="120" t="s">
        <v>12</v>
      </c>
      <c r="B2210" s="120" t="s">
        <v>3432</v>
      </c>
      <c r="E2210" s="131"/>
      <c r="F2210" s="131"/>
      <c r="H2210" s="206">
        <f t="shared" si="318"/>
        <v>0</v>
      </c>
      <c r="I2210" s="213"/>
      <c r="J2210" s="121" t="s">
        <v>13</v>
      </c>
      <c r="K2210" s="122"/>
      <c r="L2210" s="118" t="str">
        <f t="shared" si="317"/>
        <v/>
      </c>
      <c r="M2210" s="123"/>
      <c r="O2210" s="124"/>
      <c r="P2210" s="101"/>
    </row>
    <row r="2211" spans="1:24" ht="14.25" customHeight="1">
      <c r="A2211" t="s">
        <v>23</v>
      </c>
      <c r="B2211" t="s">
        <v>1333</v>
      </c>
      <c r="E2211" s="118" t="s">
        <v>2070</v>
      </c>
      <c r="H2211" s="206" t="str">
        <f t="shared" si="318"/>
        <v>(14.14j) In the past 30 days, has the item been out of stock at any time?</v>
      </c>
      <c r="I2211" s="213" t="str">
        <f t="shared" si="316"/>
        <v>select_one yesno</v>
      </c>
      <c r="J2211" s="106" t="s">
        <v>4457</v>
      </c>
      <c r="K2211" s="116" t="s">
        <v>2443</v>
      </c>
      <c r="L2211" s="118" t="str">
        <f>IF(K2211="yes",("Sorry, question "&amp;LEFT(E2211, 8)&amp;" is required!"),"")</f>
        <v>Sorry, question (14.14j) is required!</v>
      </c>
      <c r="O2211" s="110" t="s">
        <v>1906</v>
      </c>
    </row>
    <row r="2212" spans="1:24" ht="14.25" customHeight="1">
      <c r="A2212" t="s">
        <v>14</v>
      </c>
      <c r="B2212" t="s">
        <v>1334</v>
      </c>
      <c r="E2212" s="118" t="s">
        <v>2071</v>
      </c>
      <c r="F2212" s="118" t="s">
        <v>3383</v>
      </c>
      <c r="H2212" s="206" t="str">
        <f t="shared" si="318"/>
        <v>(14.15j) In the past 30 days, how many days has the item been out of stock?</v>
      </c>
      <c r="I2212" s="213" t="str">
        <f t="shared" si="316"/>
        <v>integer</v>
      </c>
      <c r="J2212" s="106" t="s">
        <v>3379</v>
      </c>
      <c r="K2212" s="116" t="s">
        <v>2443</v>
      </c>
      <c r="L2212" s="118" t="str">
        <f>IF(K2212="yes",("Sorry, question "&amp;LEFT(E2212, 8)&amp;" is required!"),"")</f>
        <v>Sorry, question (14.15j) is required!</v>
      </c>
      <c r="M2212" s="113" t="s">
        <v>3598</v>
      </c>
      <c r="N2212" s="1" t="s">
        <v>4089</v>
      </c>
      <c r="O2212" s="110" t="s">
        <v>3650</v>
      </c>
    </row>
    <row r="2213" spans="1:24" s="120" customFormat="1" ht="14.25" customHeight="1">
      <c r="A2213" s="120" t="s">
        <v>15</v>
      </c>
      <c r="E2213" s="131"/>
      <c r="F2213" s="131"/>
      <c r="H2213" s="206">
        <f t="shared" si="318"/>
        <v>0</v>
      </c>
      <c r="I2213" s="213"/>
      <c r="J2213" s="121"/>
      <c r="K2213" s="122"/>
      <c r="L2213" s="118" t="str">
        <f t="shared" si="317"/>
        <v/>
      </c>
      <c r="M2213" s="123"/>
      <c r="O2213" s="124"/>
      <c r="P2213" s="101"/>
      <c r="X2213" s="120" t="s">
        <v>3033</v>
      </c>
    </row>
    <row r="2214" spans="1:24" ht="14.25" customHeight="1">
      <c r="A2214" t="s">
        <v>15</v>
      </c>
      <c r="H2214" s="206">
        <f t="shared" si="318"/>
        <v>0</v>
      </c>
      <c r="L2214" s="118" t="str">
        <f t="shared" si="317"/>
        <v/>
      </c>
      <c r="X2214" t="s">
        <v>3032</v>
      </c>
    </row>
    <row r="2215" spans="1:24" ht="14.25" customHeight="1">
      <c r="A2215" t="s">
        <v>12</v>
      </c>
      <c r="B2215" t="s">
        <v>3325</v>
      </c>
      <c r="E2215" s="118" t="s">
        <v>2800</v>
      </c>
      <c r="H2215" s="206" t="str">
        <f t="shared" si="318"/>
        <v>Family Planning</v>
      </c>
      <c r="L2215" s="118" t="str">
        <f t="shared" si="317"/>
        <v/>
      </c>
      <c r="X2215" t="s">
        <v>3032</v>
      </c>
    </row>
    <row r="2216" spans="1:24" ht="14.25" customHeight="1">
      <c r="A2216" t="s">
        <v>12</v>
      </c>
      <c r="B2216" t="s">
        <v>3326</v>
      </c>
      <c r="H2216" s="206">
        <f t="shared" si="318"/>
        <v>0</v>
      </c>
      <c r="J2216" s="106" t="s">
        <v>3526</v>
      </c>
      <c r="L2216" s="118" t="str">
        <f t="shared" si="317"/>
        <v/>
      </c>
      <c r="X2216" t="s">
        <v>3033</v>
      </c>
    </row>
    <row r="2217" spans="1:24" ht="14.25" customHeight="1">
      <c r="A2217" t="s">
        <v>17</v>
      </c>
      <c r="B2217" t="s">
        <v>5232</v>
      </c>
      <c r="E2217" s="118" t="s">
        <v>3563</v>
      </c>
      <c r="H2217" s="206" t="str">
        <f t="shared" si="318"/>
        <v xml:space="preserve">&lt;b&gt;&lt;font color='#610B0B'&gt;&lt;big&gt;FAMILY PLANNING&lt;/big&gt;&lt;/font&gt;&lt;b&gt;
</v>
      </c>
      <c r="I2217" s="213" t="str">
        <f t="shared" si="316"/>
        <v>note</v>
      </c>
      <c r="J2217" s="106" t="s">
        <v>3528</v>
      </c>
      <c r="L2217" s="118" t="str">
        <f t="shared" si="317"/>
        <v/>
      </c>
    </row>
    <row r="2218" spans="1:24" ht="14.25" customHeight="1">
      <c r="A2218" t="s">
        <v>17</v>
      </c>
      <c r="B2218" t="s">
        <v>5233</v>
      </c>
      <c r="E2218" s="118" t="s">
        <v>4165</v>
      </c>
      <c r="H2218" s="206" t="str">
        <f t="shared" si="318"/>
        <v>&lt;font color='#000000'&gt;&lt;b&gt;Condoms male&lt;/b&gt;&lt;/f&gt;</v>
      </c>
      <c r="I2218" s="213" t="str">
        <f t="shared" si="316"/>
        <v>note</v>
      </c>
      <c r="J2218" s="106" t="s">
        <v>3529</v>
      </c>
      <c r="L2218" s="118" t="str">
        <f t="shared" si="317"/>
        <v/>
      </c>
      <c r="O2218" s="110" t="s">
        <v>1067</v>
      </c>
    </row>
    <row r="2219" spans="1:24" ht="14.25" customHeight="1">
      <c r="A2219" t="s">
        <v>14</v>
      </c>
      <c r="B2219" t="s">
        <v>1335</v>
      </c>
      <c r="E2219" s="118" t="s">
        <v>3421</v>
      </c>
      <c r="F2219" s="118" t="s">
        <v>3313</v>
      </c>
      <c r="H2219" s="206" t="str">
        <f t="shared" si="318"/>
        <v xml:space="preserve">(14.13k) What quantity of Male comdoms are available at this time? </v>
      </c>
      <c r="I2219" s="213" t="str">
        <f t="shared" si="316"/>
        <v>integer</v>
      </c>
      <c r="J2219" s="106" t="s">
        <v>3373</v>
      </c>
      <c r="K2219" s="116" t="s">
        <v>2443</v>
      </c>
      <c r="L2219" s="118" t="str">
        <f>IF(K2219="yes",("Sorry, question "&amp;LEFT(E2219, 8)&amp;" is required!"),"")</f>
        <v>Sorry, question (14.13k) is required!</v>
      </c>
      <c r="O2219" s="110" t="s">
        <v>1067</v>
      </c>
    </row>
    <row r="2220" spans="1:24" ht="14.25" customHeight="1">
      <c r="A2220" t="s">
        <v>15</v>
      </c>
      <c r="H2220" s="206">
        <f t="shared" si="318"/>
        <v>0</v>
      </c>
      <c r="L2220" s="118" t="str">
        <f t="shared" si="317"/>
        <v/>
      </c>
      <c r="O2220" s="110" t="s">
        <v>1067</v>
      </c>
      <c r="X2220" t="s">
        <v>3033</v>
      </c>
    </row>
    <row r="2221" spans="1:24" ht="14.25" customHeight="1">
      <c r="A2221" t="s">
        <v>12</v>
      </c>
      <c r="B2221" t="s">
        <v>3433</v>
      </c>
      <c r="H2221" s="206">
        <f t="shared" si="318"/>
        <v>0</v>
      </c>
      <c r="J2221" s="106" t="s">
        <v>13</v>
      </c>
      <c r="L2221" s="118" t="str">
        <f t="shared" si="317"/>
        <v/>
      </c>
      <c r="X2221" t="s">
        <v>3033</v>
      </c>
    </row>
    <row r="2222" spans="1:24" ht="14.25" customHeight="1">
      <c r="A2222" t="s">
        <v>23</v>
      </c>
      <c r="B2222" t="s">
        <v>1336</v>
      </c>
      <c r="E2222" s="118" t="s">
        <v>2072</v>
      </c>
      <c r="H2222" s="206" t="str">
        <f t="shared" si="318"/>
        <v>(14.14k) In the past 30 days, has the item been out of stock at any time?</v>
      </c>
      <c r="I2222" s="213" t="str">
        <f t="shared" si="316"/>
        <v>select_one yesno</v>
      </c>
      <c r="J2222" s="106" t="s">
        <v>4457</v>
      </c>
      <c r="K2222" s="116" t="s">
        <v>2443</v>
      </c>
      <c r="L2222" s="118" t="str">
        <f>IF(K2222="yes",("Sorry, question "&amp;LEFT(E2222, 8)&amp;" is required!"),"")</f>
        <v>Sorry, question (14.14k) is required!</v>
      </c>
      <c r="O2222" s="110" t="s">
        <v>1907</v>
      </c>
    </row>
    <row r="2223" spans="1:24" ht="14.25" customHeight="1">
      <c r="A2223" t="s">
        <v>14</v>
      </c>
      <c r="B2223" t="s">
        <v>1337</v>
      </c>
      <c r="E2223" s="118" t="s">
        <v>2073</v>
      </c>
      <c r="F2223" s="118" t="s">
        <v>3383</v>
      </c>
      <c r="H2223" s="206" t="str">
        <f t="shared" si="318"/>
        <v>(14.15k) In the past 30 days, how many days has the item been out of stock?</v>
      </c>
      <c r="I2223" s="213" t="str">
        <f t="shared" si="316"/>
        <v>integer</v>
      </c>
      <c r="J2223" s="106" t="s">
        <v>3379</v>
      </c>
      <c r="K2223" s="116" t="s">
        <v>2443</v>
      </c>
      <c r="L2223" s="118" t="str">
        <f>IF(K2223="yes",("Sorry, question "&amp;LEFT(E2223, 8)&amp;" is required!"),"")</f>
        <v>Sorry, question (14.15k) is required!</v>
      </c>
      <c r="M2223" s="113" t="s">
        <v>3598</v>
      </c>
      <c r="N2223" s="1" t="s">
        <v>4090</v>
      </c>
      <c r="O2223" s="110" t="s">
        <v>3651</v>
      </c>
    </row>
    <row r="2224" spans="1:24" ht="14.25" customHeight="1">
      <c r="A2224" t="s">
        <v>15</v>
      </c>
      <c r="H2224" s="206">
        <f t="shared" si="318"/>
        <v>0</v>
      </c>
      <c r="L2224" s="118" t="str">
        <f t="shared" si="317"/>
        <v/>
      </c>
      <c r="O2224" s="110" t="s">
        <v>1067</v>
      </c>
      <c r="X2224" t="s">
        <v>3033</v>
      </c>
    </row>
    <row r="2225" spans="1:24" ht="14.25" customHeight="1">
      <c r="A2225" t="s">
        <v>12</v>
      </c>
      <c r="B2225" t="s">
        <v>3327</v>
      </c>
      <c r="H2225" s="206">
        <f t="shared" si="318"/>
        <v>0</v>
      </c>
      <c r="J2225" s="106" t="s">
        <v>3526</v>
      </c>
      <c r="L2225" s="118" t="str">
        <f t="shared" si="317"/>
        <v/>
      </c>
      <c r="X2225" t="s">
        <v>3033</v>
      </c>
    </row>
    <row r="2226" spans="1:24" ht="14.25" customHeight="1">
      <c r="A2226" t="s">
        <v>17</v>
      </c>
      <c r="B2226" t="s">
        <v>5234</v>
      </c>
      <c r="E2226" s="118" t="s">
        <v>4166</v>
      </c>
      <c r="H2226" s="206" t="str">
        <f t="shared" si="318"/>
        <v>&lt;font color='#000000'&gt;&lt;b&gt;Condoms female&lt;/b&gt;&lt;/f&gt;</v>
      </c>
      <c r="I2226" s="213" t="str">
        <f t="shared" si="316"/>
        <v>note</v>
      </c>
      <c r="J2226" s="106" t="s">
        <v>3528</v>
      </c>
      <c r="L2226" s="118" t="str">
        <f t="shared" si="317"/>
        <v/>
      </c>
      <c r="O2226" s="110" t="s">
        <v>1067</v>
      </c>
    </row>
    <row r="2227" spans="1:24" ht="14.25" customHeight="1">
      <c r="A2227" t="s">
        <v>14</v>
      </c>
      <c r="B2227" t="s">
        <v>1338</v>
      </c>
      <c r="E2227" s="118" t="s">
        <v>3422</v>
      </c>
      <c r="F2227" s="118" t="s">
        <v>3313</v>
      </c>
      <c r="H2227" s="206" t="str">
        <f t="shared" si="318"/>
        <v xml:space="preserve">(14.13l) What quantity of Female condoms are available at this time? </v>
      </c>
      <c r="I2227" s="213" t="str">
        <f t="shared" si="316"/>
        <v>integer</v>
      </c>
      <c r="J2227" s="106" t="s">
        <v>3372</v>
      </c>
      <c r="K2227" s="116" t="s">
        <v>2443</v>
      </c>
      <c r="L2227" s="118" t="str">
        <f>IF(K2227="yes",("Sorry, question "&amp;LEFT(E2227, 8)&amp;" is required!"),"")</f>
        <v>Sorry, question (14.13l) is required!</v>
      </c>
      <c r="O2227" s="110" t="s">
        <v>1067</v>
      </c>
    </row>
    <row r="2228" spans="1:24" ht="14.25" customHeight="1">
      <c r="A2228" t="s">
        <v>15</v>
      </c>
      <c r="H2228" s="206">
        <f t="shared" si="318"/>
        <v>0</v>
      </c>
      <c r="L2228" s="118" t="str">
        <f t="shared" si="317"/>
        <v/>
      </c>
      <c r="O2228" s="110" t="s">
        <v>1067</v>
      </c>
      <c r="X2228" t="s">
        <v>3033</v>
      </c>
    </row>
    <row r="2229" spans="1:24" ht="14.25" customHeight="1">
      <c r="A2229" t="s">
        <v>12</v>
      </c>
      <c r="B2229" t="s">
        <v>3434</v>
      </c>
      <c r="H2229" s="206">
        <f t="shared" si="318"/>
        <v>0</v>
      </c>
      <c r="J2229" s="106" t="s">
        <v>13</v>
      </c>
      <c r="L2229" s="118" t="str">
        <f t="shared" si="317"/>
        <v/>
      </c>
      <c r="X2229" t="s">
        <v>3033</v>
      </c>
    </row>
    <row r="2230" spans="1:24" ht="14.25" customHeight="1">
      <c r="A2230" t="s">
        <v>23</v>
      </c>
      <c r="B2230" t="s">
        <v>1339</v>
      </c>
      <c r="E2230" s="118" t="s">
        <v>2074</v>
      </c>
      <c r="H2230" s="206" t="str">
        <f t="shared" si="318"/>
        <v>(14.14l) In the past 30 days, has the item been out of stock at any time?</v>
      </c>
      <c r="I2230" s="213" t="str">
        <f t="shared" si="316"/>
        <v>select_one yesno</v>
      </c>
      <c r="J2230" s="106" t="s">
        <v>4457</v>
      </c>
      <c r="K2230" s="116" t="s">
        <v>2443</v>
      </c>
      <c r="L2230" s="118" t="str">
        <f>IF(K2230="yes",("Sorry, question "&amp;LEFT(E2230, 8)&amp;" is required!"),"")</f>
        <v>Sorry, question (14.14l) is required!</v>
      </c>
      <c r="O2230" s="110" t="s">
        <v>1908</v>
      </c>
    </row>
    <row r="2231" spans="1:24" ht="14.25" customHeight="1">
      <c r="A2231" t="s">
        <v>14</v>
      </c>
      <c r="B2231" t="s">
        <v>1340</v>
      </c>
      <c r="E2231" s="118" t="s">
        <v>2075</v>
      </c>
      <c r="F2231" s="118" t="s">
        <v>3383</v>
      </c>
      <c r="H2231" s="206" t="str">
        <f t="shared" si="318"/>
        <v>(14.15l) In the past 30 days, how many days has the item been out of stock?</v>
      </c>
      <c r="I2231" s="213" t="str">
        <f t="shared" si="316"/>
        <v>integer</v>
      </c>
      <c r="J2231" s="106" t="s">
        <v>3379</v>
      </c>
      <c r="K2231" s="116" t="s">
        <v>2443</v>
      </c>
      <c r="L2231" s="118" t="str">
        <f>IF(K2231="yes",("Sorry, question "&amp;LEFT(E2231, 8)&amp;" is required!"),"")</f>
        <v>Sorry, question (14.15l) is required!</v>
      </c>
      <c r="M2231" s="113" t="s">
        <v>3598</v>
      </c>
      <c r="N2231" s="1" t="s">
        <v>4092</v>
      </c>
      <c r="O2231" s="110" t="s">
        <v>3652</v>
      </c>
    </row>
    <row r="2232" spans="1:24" ht="14.25" customHeight="1">
      <c r="A2232" t="s">
        <v>15</v>
      </c>
      <c r="H2232" s="206">
        <f t="shared" si="318"/>
        <v>0</v>
      </c>
      <c r="L2232" s="118" t="str">
        <f t="shared" si="317"/>
        <v/>
      </c>
      <c r="O2232" s="110" t="s">
        <v>1067</v>
      </c>
      <c r="X2232" t="s">
        <v>3033</v>
      </c>
    </row>
    <row r="2233" spans="1:24" ht="14.25" customHeight="1">
      <c r="A2233" t="s">
        <v>12</v>
      </c>
      <c r="B2233" t="s">
        <v>3328</v>
      </c>
      <c r="H2233" s="206">
        <f t="shared" si="318"/>
        <v>0</v>
      </c>
      <c r="J2233" s="106" t="s">
        <v>3526</v>
      </c>
      <c r="L2233" s="118" t="str">
        <f t="shared" si="317"/>
        <v/>
      </c>
      <c r="X2233" t="s">
        <v>3033</v>
      </c>
    </row>
    <row r="2234" spans="1:24" ht="14.25" customHeight="1">
      <c r="A2234" t="s">
        <v>17</v>
      </c>
      <c r="B2234" t="s">
        <v>5235</v>
      </c>
      <c r="E2234" s="118" t="s">
        <v>4167</v>
      </c>
      <c r="H2234" s="206" t="str">
        <f t="shared" si="318"/>
        <v>&lt;font color='#000000'&gt;&lt;b&gt;Oral contraceptive tablets&lt;/b&gt;&lt;/f&gt;</v>
      </c>
      <c r="I2234" s="213" t="str">
        <f t="shared" si="316"/>
        <v>note</v>
      </c>
      <c r="J2234" s="106" t="s">
        <v>3528</v>
      </c>
      <c r="L2234" s="118" t="str">
        <f t="shared" si="317"/>
        <v/>
      </c>
      <c r="O2234" s="110" t="s">
        <v>1067</v>
      </c>
    </row>
    <row r="2235" spans="1:24" ht="14.25" customHeight="1">
      <c r="A2235" t="s">
        <v>14</v>
      </c>
      <c r="B2235" t="s">
        <v>1341</v>
      </c>
      <c r="E2235" s="118" t="s">
        <v>2596</v>
      </c>
      <c r="F2235" s="118" t="s">
        <v>3313</v>
      </c>
      <c r="H2235" s="206" t="str">
        <f t="shared" si="318"/>
        <v xml:space="preserve">(14.13m) What quantity of Oral contraceptive tablets are available at this time? </v>
      </c>
      <c r="I2235" s="213" t="str">
        <f t="shared" si="316"/>
        <v>integer</v>
      </c>
      <c r="J2235" s="106" t="s">
        <v>3372</v>
      </c>
      <c r="K2235" s="116" t="s">
        <v>2443</v>
      </c>
      <c r="L2235" s="118" t="str">
        <f>IF(K2235="yes",("Sorry, question "&amp;LEFT(E2235, 8)&amp;" is required!"),"")</f>
        <v>Sorry, question (14.13m) is required!</v>
      </c>
      <c r="O2235" s="110" t="s">
        <v>1067</v>
      </c>
    </row>
    <row r="2236" spans="1:24" ht="14.25" customHeight="1">
      <c r="A2236" t="s">
        <v>15</v>
      </c>
      <c r="H2236" s="206">
        <f t="shared" si="318"/>
        <v>0</v>
      </c>
      <c r="L2236" s="118" t="str">
        <f t="shared" si="317"/>
        <v/>
      </c>
    </row>
    <row r="2237" spans="1:24" ht="14.25" customHeight="1">
      <c r="A2237" t="s">
        <v>12</v>
      </c>
      <c r="B2237" t="s">
        <v>3435</v>
      </c>
      <c r="H2237" s="206">
        <f t="shared" si="318"/>
        <v>0</v>
      </c>
      <c r="J2237" s="106" t="s">
        <v>13</v>
      </c>
      <c r="L2237" s="118" t="str">
        <f t="shared" si="317"/>
        <v/>
      </c>
      <c r="X2237" t="s">
        <v>3033</v>
      </c>
    </row>
    <row r="2238" spans="1:24" ht="14.25" customHeight="1">
      <c r="A2238" t="s">
        <v>23</v>
      </c>
      <c r="B2238" t="s">
        <v>1342</v>
      </c>
      <c r="E2238" s="118" t="s">
        <v>2076</v>
      </c>
      <c r="H2238" s="206" t="str">
        <f t="shared" si="318"/>
        <v>(14.14m) In the past 30 days, has the item been out of stock at any time?</v>
      </c>
      <c r="I2238" s="213" t="str">
        <f t="shared" si="316"/>
        <v>select_one yesno</v>
      </c>
      <c r="J2238" s="106" t="s">
        <v>4457</v>
      </c>
      <c r="K2238" s="116" t="s">
        <v>2443</v>
      </c>
      <c r="L2238" s="118" t="str">
        <f>IF(K2238="yes",("Sorry, question "&amp;LEFT(E2238, 8)&amp;" is required!"),"")</f>
        <v>Sorry, question (14.14m) is required!</v>
      </c>
      <c r="O2238" s="110" t="s">
        <v>1909</v>
      </c>
    </row>
    <row r="2239" spans="1:24" ht="14.25" customHeight="1">
      <c r="A2239" t="s">
        <v>14</v>
      </c>
      <c r="B2239" t="s">
        <v>1343</v>
      </c>
      <c r="E2239" s="118" t="s">
        <v>2077</v>
      </c>
      <c r="F2239" s="118" t="s">
        <v>3383</v>
      </c>
      <c r="H2239" s="206" t="str">
        <f t="shared" si="318"/>
        <v>(14.15m) In the past 30 days, how many days has the item been out of stock?</v>
      </c>
      <c r="I2239" s="213" t="str">
        <f t="shared" si="316"/>
        <v>integer</v>
      </c>
      <c r="J2239" s="106" t="s">
        <v>3379</v>
      </c>
      <c r="K2239" s="116" t="s">
        <v>2443</v>
      </c>
      <c r="L2239" s="118" t="str">
        <f>IF(K2239="yes",("Sorry, question "&amp;LEFT(E2239, 8)&amp;" is required!"),"")</f>
        <v>Sorry, question (14.15m) is required!</v>
      </c>
      <c r="M2239" s="113" t="s">
        <v>3598</v>
      </c>
      <c r="N2239" s="1" t="s">
        <v>4091</v>
      </c>
      <c r="O2239" s="110" t="s">
        <v>3653</v>
      </c>
    </row>
    <row r="2240" spans="1:24" ht="14.25" customHeight="1">
      <c r="A2240" t="s">
        <v>15</v>
      </c>
      <c r="H2240" s="206">
        <f t="shared" si="318"/>
        <v>0</v>
      </c>
      <c r="L2240" s="118" t="str">
        <f t="shared" si="317"/>
        <v/>
      </c>
    </row>
    <row r="2241" spans="1:24" ht="14.25" customHeight="1">
      <c r="A2241" t="s">
        <v>12</v>
      </c>
      <c r="B2241" t="s">
        <v>3329</v>
      </c>
      <c r="E2241" s="118" t="s">
        <v>1067</v>
      </c>
      <c r="H2241" s="206" t="str">
        <f t="shared" si="318"/>
        <v/>
      </c>
      <c r="J2241" s="106" t="s">
        <v>3526</v>
      </c>
      <c r="L2241" s="118" t="str">
        <f t="shared" si="317"/>
        <v/>
      </c>
      <c r="O2241" s="110" t="s">
        <v>1067</v>
      </c>
      <c r="X2241" t="s">
        <v>3033</v>
      </c>
    </row>
    <row r="2242" spans="1:24" ht="14.25" customHeight="1">
      <c r="A2242" t="s">
        <v>17</v>
      </c>
      <c r="B2242" t="s">
        <v>5236</v>
      </c>
      <c r="E2242" s="118" t="s">
        <v>4168</v>
      </c>
      <c r="H2242" s="206" t="str">
        <f t="shared" si="318"/>
        <v>&lt;font color='#000000'&gt;&lt;b&gt;Depot Medroxyprogesterone Acetate (DMPA)&lt;/b&gt;&lt;/f&gt;</v>
      </c>
      <c r="I2242" s="213" t="str">
        <f t="shared" ref="I2242:I2304" si="319">A2242</f>
        <v>note</v>
      </c>
      <c r="J2242" s="106" t="s">
        <v>3528</v>
      </c>
      <c r="L2242" s="118" t="str">
        <f t="shared" si="317"/>
        <v/>
      </c>
      <c r="O2242" s="110" t="s">
        <v>1067</v>
      </c>
    </row>
    <row r="2243" spans="1:24" ht="14.25" customHeight="1">
      <c r="A2243" t="s">
        <v>14</v>
      </c>
      <c r="B2243" t="s">
        <v>1344</v>
      </c>
      <c r="E2243" s="118" t="s">
        <v>2597</v>
      </c>
      <c r="F2243" s="118" t="s">
        <v>3313</v>
      </c>
      <c r="H2243" s="206" t="str">
        <f t="shared" si="318"/>
        <v xml:space="preserve">(14.13n) What quantity of Depot Medroxyprogesterone Acetate (DMPA) are available at this time? </v>
      </c>
      <c r="I2243" s="213" t="str">
        <f t="shared" si="319"/>
        <v>integer</v>
      </c>
      <c r="J2243" s="106" t="s">
        <v>3372</v>
      </c>
      <c r="K2243" s="116" t="s">
        <v>2443</v>
      </c>
      <c r="L2243" s="118" t="str">
        <f>IF(K2243="yes",("Sorry, question "&amp;LEFT(E2243, 8)&amp;" is required!"),"")</f>
        <v>Sorry, question (14.13n) is required!</v>
      </c>
      <c r="O2243" s="110" t="s">
        <v>1067</v>
      </c>
    </row>
    <row r="2244" spans="1:24" ht="14.25" customHeight="1">
      <c r="A2244" t="s">
        <v>15</v>
      </c>
      <c r="H2244" s="206">
        <f t="shared" si="318"/>
        <v>0</v>
      </c>
      <c r="L2244" s="118" t="str">
        <f t="shared" si="317"/>
        <v/>
      </c>
    </row>
    <row r="2245" spans="1:24" ht="14.25" customHeight="1">
      <c r="A2245" t="s">
        <v>12</v>
      </c>
      <c r="B2245" t="s">
        <v>3436</v>
      </c>
      <c r="H2245" s="206">
        <f t="shared" si="318"/>
        <v>0</v>
      </c>
      <c r="J2245" s="106" t="s">
        <v>13</v>
      </c>
      <c r="L2245" s="118" t="str">
        <f t="shared" si="317"/>
        <v/>
      </c>
      <c r="X2245" t="s">
        <v>3033</v>
      </c>
    </row>
    <row r="2246" spans="1:24" ht="14.25" customHeight="1">
      <c r="A2246" t="s">
        <v>23</v>
      </c>
      <c r="B2246" t="s">
        <v>1345</v>
      </c>
      <c r="E2246" s="118" t="s">
        <v>2078</v>
      </c>
      <c r="H2246" s="206" t="str">
        <f t="shared" si="318"/>
        <v>(14.14n) In the past 30 days, has the item been out of stock at any time?</v>
      </c>
      <c r="I2246" s="213" t="str">
        <f t="shared" si="319"/>
        <v>select_one yesno</v>
      </c>
      <c r="J2246" s="106" t="s">
        <v>4457</v>
      </c>
      <c r="K2246" s="116" t="s">
        <v>2443</v>
      </c>
      <c r="L2246" s="118" t="str">
        <f>IF(K2246="yes",("Sorry, question "&amp;LEFT(E2246, 8)&amp;" is required!"),"")</f>
        <v>Sorry, question (14.14n) is required!</v>
      </c>
      <c r="O2246" s="110" t="s">
        <v>1910</v>
      </c>
    </row>
    <row r="2247" spans="1:24" ht="14.25" customHeight="1">
      <c r="A2247" t="s">
        <v>14</v>
      </c>
      <c r="B2247" t="s">
        <v>1346</v>
      </c>
      <c r="E2247" s="118" t="s">
        <v>2079</v>
      </c>
      <c r="F2247" s="118" t="s">
        <v>3383</v>
      </c>
      <c r="H2247" s="206" t="str">
        <f t="shared" si="318"/>
        <v>(14.15n) In the past 30 days, how many days has the item been out of stock?</v>
      </c>
      <c r="I2247" s="213" t="str">
        <f t="shared" si="319"/>
        <v>integer</v>
      </c>
      <c r="J2247" s="106" t="s">
        <v>3379</v>
      </c>
      <c r="K2247" s="116" t="s">
        <v>2443</v>
      </c>
      <c r="L2247" s="118" t="str">
        <f>IF(K2247="yes",("Sorry, question "&amp;LEFT(E2247, 8)&amp;" is required!"),"")</f>
        <v>Sorry, question (14.15n) is required!</v>
      </c>
      <c r="M2247" s="113" t="s">
        <v>3598</v>
      </c>
      <c r="N2247" s="1" t="s">
        <v>4093</v>
      </c>
      <c r="O2247" s="110" t="s">
        <v>3654</v>
      </c>
    </row>
    <row r="2248" spans="1:24" ht="14.25" customHeight="1">
      <c r="A2248" t="s">
        <v>15</v>
      </c>
      <c r="H2248" s="206">
        <f t="shared" si="318"/>
        <v>0</v>
      </c>
      <c r="L2248" s="118" t="str">
        <f t="shared" si="317"/>
        <v/>
      </c>
      <c r="O2248" s="110" t="s">
        <v>1067</v>
      </c>
      <c r="X2248" t="s">
        <v>3033</v>
      </c>
    </row>
    <row r="2249" spans="1:24" ht="14.25" customHeight="1">
      <c r="A2249" t="s">
        <v>12</v>
      </c>
      <c r="B2249" t="s">
        <v>3330</v>
      </c>
      <c r="E2249" s="118" t="s">
        <v>1067</v>
      </c>
      <c r="H2249" s="206" t="str">
        <f t="shared" si="318"/>
        <v/>
      </c>
      <c r="J2249" s="106" t="s">
        <v>3526</v>
      </c>
      <c r="L2249" s="118" t="str">
        <f t="shared" si="317"/>
        <v/>
      </c>
      <c r="O2249" s="110" t="s">
        <v>1067</v>
      </c>
      <c r="X2249" t="s">
        <v>3033</v>
      </c>
    </row>
    <row r="2250" spans="1:24" ht="14.25" customHeight="1">
      <c r="A2250" t="s">
        <v>17</v>
      </c>
      <c r="B2250" t="s">
        <v>5237</v>
      </c>
      <c r="E2250" s="118" t="s">
        <v>4169</v>
      </c>
      <c r="H2250" s="206" t="str">
        <f t="shared" si="318"/>
        <v>&lt;font color='#000000'&gt;&lt;b&gt;Implant - Jadelle&lt;/b&gt;&lt;/f&gt;</v>
      </c>
      <c r="I2250" s="213" t="str">
        <f t="shared" si="319"/>
        <v>note</v>
      </c>
      <c r="J2250" s="106" t="s">
        <v>3528</v>
      </c>
      <c r="L2250" s="118" t="str">
        <f t="shared" si="317"/>
        <v/>
      </c>
    </row>
    <row r="2251" spans="1:24" ht="14.25" customHeight="1">
      <c r="A2251" t="s">
        <v>14</v>
      </c>
      <c r="B2251" t="s">
        <v>1347</v>
      </c>
      <c r="E2251" s="118" t="s">
        <v>2681</v>
      </c>
      <c r="F2251" s="118" t="s">
        <v>3313</v>
      </c>
      <c r="H2251" s="206" t="str">
        <f t="shared" si="318"/>
        <v xml:space="preserve">(14.13o) What quantity of Implant - Jadelle are available at this time? </v>
      </c>
      <c r="I2251" s="213" t="str">
        <f t="shared" si="319"/>
        <v>integer</v>
      </c>
      <c r="J2251" s="106" t="s">
        <v>3372</v>
      </c>
      <c r="K2251" s="116" t="s">
        <v>2443</v>
      </c>
      <c r="L2251" s="118" t="str">
        <f>IF(K2251="yes",("Sorry, question "&amp;LEFT(E2251, 8)&amp;" is required!"),"")</f>
        <v>Sorry, question (14.13o) is required!</v>
      </c>
      <c r="O2251" s="110" t="s">
        <v>1067</v>
      </c>
    </row>
    <row r="2252" spans="1:24" ht="14.25" customHeight="1">
      <c r="A2252" t="s">
        <v>15</v>
      </c>
      <c r="H2252" s="206">
        <f t="shared" si="318"/>
        <v>0</v>
      </c>
      <c r="L2252" s="118" t="str">
        <f t="shared" si="317"/>
        <v/>
      </c>
      <c r="O2252" s="110" t="s">
        <v>1067</v>
      </c>
      <c r="X2252" t="s">
        <v>3033</v>
      </c>
    </row>
    <row r="2253" spans="1:24" ht="14.25" customHeight="1">
      <c r="A2253" t="s">
        <v>12</v>
      </c>
      <c r="B2253" t="s">
        <v>3437</v>
      </c>
      <c r="H2253" s="206">
        <f t="shared" si="318"/>
        <v>0</v>
      </c>
      <c r="J2253" s="106" t="s">
        <v>13</v>
      </c>
      <c r="L2253" s="118" t="str">
        <f t="shared" si="317"/>
        <v/>
      </c>
      <c r="X2253" t="s">
        <v>3033</v>
      </c>
    </row>
    <row r="2254" spans="1:24" ht="14.25" customHeight="1">
      <c r="A2254" t="s">
        <v>23</v>
      </c>
      <c r="B2254" t="s">
        <v>1348</v>
      </c>
      <c r="E2254" s="118" t="s">
        <v>2080</v>
      </c>
      <c r="H2254" s="206" t="str">
        <f t="shared" si="318"/>
        <v>(14.14o) In the past 30 days, has the item been out of stock at any time?</v>
      </c>
      <c r="I2254" s="213" t="str">
        <f t="shared" si="319"/>
        <v>select_one yesno</v>
      </c>
      <c r="J2254" s="106" t="s">
        <v>4457</v>
      </c>
      <c r="K2254" s="116" t="s">
        <v>2443</v>
      </c>
      <c r="L2254" s="118" t="str">
        <f>IF(K2254="yes",("Sorry, question "&amp;LEFT(E2254, 8)&amp;" is required!"),"")</f>
        <v>Sorry, question (14.14o) is required!</v>
      </c>
      <c r="O2254" s="110" t="s">
        <v>1911</v>
      </c>
    </row>
    <row r="2255" spans="1:24" ht="14.25" customHeight="1">
      <c r="A2255" t="s">
        <v>14</v>
      </c>
      <c r="B2255" t="s">
        <v>1349</v>
      </c>
      <c r="E2255" s="118" t="s">
        <v>2081</v>
      </c>
      <c r="F2255" s="118" t="s">
        <v>3383</v>
      </c>
      <c r="H2255" s="206" t="str">
        <f t="shared" si="318"/>
        <v>(14.15o) In the past 30 days, how many days has the item been out of stock?</v>
      </c>
      <c r="I2255" s="213" t="str">
        <f t="shared" si="319"/>
        <v>integer</v>
      </c>
      <c r="J2255" s="106" t="s">
        <v>3379</v>
      </c>
      <c r="K2255" s="116" t="s">
        <v>2443</v>
      </c>
      <c r="L2255" s="118" t="str">
        <f>IF(K2255="yes",("Sorry, question "&amp;LEFT(E2255, 8)&amp;" is required!"),"")</f>
        <v>Sorry, question (14.15o) is required!</v>
      </c>
      <c r="M2255" s="113" t="s">
        <v>3598</v>
      </c>
      <c r="N2255" s="1" t="s">
        <v>4094</v>
      </c>
      <c r="O2255" s="110" t="s">
        <v>3655</v>
      </c>
    </row>
    <row r="2256" spans="1:24" ht="14.25" customHeight="1">
      <c r="A2256" t="s">
        <v>15</v>
      </c>
      <c r="H2256" s="206">
        <f t="shared" si="318"/>
        <v>0</v>
      </c>
      <c r="L2256" s="118" t="str">
        <f t="shared" si="317"/>
        <v/>
      </c>
      <c r="O2256" s="110" t="s">
        <v>1067</v>
      </c>
      <c r="X2256" t="s">
        <v>3033</v>
      </c>
    </row>
    <row r="2257" spans="1:24" ht="14.25" customHeight="1">
      <c r="A2257" t="s">
        <v>12</v>
      </c>
      <c r="B2257" t="s">
        <v>3331</v>
      </c>
      <c r="E2257" s="118" t="s">
        <v>1067</v>
      </c>
      <c r="H2257" s="206" t="str">
        <f t="shared" si="318"/>
        <v/>
      </c>
      <c r="J2257" s="106" t="s">
        <v>3526</v>
      </c>
      <c r="L2257" s="118" t="str">
        <f t="shared" si="317"/>
        <v/>
      </c>
      <c r="O2257" s="110" t="s">
        <v>1067</v>
      </c>
      <c r="X2257" t="s">
        <v>3033</v>
      </c>
    </row>
    <row r="2258" spans="1:24" ht="14.25" customHeight="1">
      <c r="A2258" t="s">
        <v>17</v>
      </c>
      <c r="B2258" t="s">
        <v>5238</v>
      </c>
      <c r="E2258" s="118" t="s">
        <v>4170</v>
      </c>
      <c r="H2258" s="206" t="str">
        <f t="shared" si="318"/>
        <v>&lt;font color='#000000'&gt;&lt;b&gt;Intrauterine Contraceptive Device (IUCD)&lt;/b&gt;&lt;/f&gt;</v>
      </c>
      <c r="I2258" s="213" t="str">
        <f t="shared" si="319"/>
        <v>note</v>
      </c>
      <c r="J2258" s="106" t="s">
        <v>3528</v>
      </c>
      <c r="L2258" s="118" t="str">
        <f t="shared" si="317"/>
        <v/>
      </c>
      <c r="O2258" s="110" t="s">
        <v>1067</v>
      </c>
    </row>
    <row r="2259" spans="1:24" ht="14.25" customHeight="1">
      <c r="A2259" t="s">
        <v>14</v>
      </c>
      <c r="B2259" t="s">
        <v>1350</v>
      </c>
      <c r="E2259" s="118" t="s">
        <v>2598</v>
      </c>
      <c r="F2259" s="118" t="s">
        <v>3313</v>
      </c>
      <c r="H2259" s="206" t="str">
        <f t="shared" si="318"/>
        <v xml:space="preserve">(14.13p) What quantity of Intrauterine Contraceptive Device (IUCD) are available at this time? </v>
      </c>
      <c r="I2259" s="213" t="str">
        <f t="shared" si="319"/>
        <v>integer</v>
      </c>
      <c r="J2259" s="106" t="s">
        <v>3372</v>
      </c>
      <c r="K2259" s="116" t="s">
        <v>2443</v>
      </c>
      <c r="L2259" s="118" t="str">
        <f>IF(K2259="yes",("Sorry, question "&amp;LEFT(E2259, 8)&amp;" is required!"),"")</f>
        <v>Sorry, question (14.13p) is required!</v>
      </c>
      <c r="O2259" s="110" t="s">
        <v>1067</v>
      </c>
    </row>
    <row r="2260" spans="1:24" ht="14.25" customHeight="1">
      <c r="A2260" t="s">
        <v>15</v>
      </c>
      <c r="H2260" s="206">
        <f t="shared" si="318"/>
        <v>0</v>
      </c>
      <c r="L2260" s="118" t="str">
        <f t="shared" si="317"/>
        <v/>
      </c>
      <c r="X2260" t="s">
        <v>3033</v>
      </c>
    </row>
    <row r="2261" spans="1:24" ht="14.25" customHeight="1">
      <c r="A2261" t="s">
        <v>12</v>
      </c>
      <c r="B2261" t="s">
        <v>3438</v>
      </c>
      <c r="H2261" s="206">
        <f t="shared" si="318"/>
        <v>0</v>
      </c>
      <c r="J2261" s="106" t="s">
        <v>13</v>
      </c>
      <c r="L2261" s="118" t="str">
        <f t="shared" si="317"/>
        <v/>
      </c>
      <c r="X2261" t="s">
        <v>3033</v>
      </c>
    </row>
    <row r="2262" spans="1:24" ht="14.25" customHeight="1">
      <c r="A2262" t="s">
        <v>23</v>
      </c>
      <c r="B2262" t="s">
        <v>1351</v>
      </c>
      <c r="E2262" s="118" t="s">
        <v>2082</v>
      </c>
      <c r="H2262" s="206" t="str">
        <f t="shared" si="318"/>
        <v>(14.14p) In the past 30 days, has the item been out of stock at any time?</v>
      </c>
      <c r="I2262" s="213" t="str">
        <f t="shared" si="319"/>
        <v>select_one yesno</v>
      </c>
      <c r="J2262" s="106" t="s">
        <v>4457</v>
      </c>
      <c r="K2262" s="116" t="s">
        <v>2443</v>
      </c>
      <c r="L2262" s="118" t="str">
        <f>IF(K2262="yes",("Sorry, question "&amp;LEFT(E2262, 8)&amp;" is required!"),"")</f>
        <v>Sorry, question (14.14p) is required!</v>
      </c>
      <c r="O2262" s="110" t="s">
        <v>1912</v>
      </c>
    </row>
    <row r="2263" spans="1:24" ht="14.25" customHeight="1">
      <c r="A2263" t="s">
        <v>14</v>
      </c>
      <c r="B2263" t="s">
        <v>1352</v>
      </c>
      <c r="E2263" s="118" t="s">
        <v>2083</v>
      </c>
      <c r="F2263" s="118" t="s">
        <v>3383</v>
      </c>
      <c r="H2263" s="206" t="str">
        <f t="shared" si="318"/>
        <v>(14.15p) In the past 30 days, how many days has the item been out of stock?</v>
      </c>
      <c r="I2263" s="213" t="str">
        <f t="shared" si="319"/>
        <v>integer</v>
      </c>
      <c r="J2263" s="106" t="s">
        <v>3379</v>
      </c>
      <c r="K2263" s="116" t="s">
        <v>2443</v>
      </c>
      <c r="L2263" s="118" t="str">
        <f>IF(K2263="yes",("Sorry, question "&amp;LEFT(E2263, 8)&amp;" is required!"),"")</f>
        <v>Sorry, question (14.15p) is required!</v>
      </c>
      <c r="M2263" s="113" t="s">
        <v>3598</v>
      </c>
      <c r="N2263" s="1" t="s">
        <v>4095</v>
      </c>
      <c r="O2263" s="110" t="s">
        <v>3656</v>
      </c>
    </row>
    <row r="2264" spans="1:24" ht="14.25" customHeight="1">
      <c r="A2264" t="s">
        <v>15</v>
      </c>
      <c r="H2264" s="206">
        <f t="shared" si="318"/>
        <v>0</v>
      </c>
      <c r="L2264" s="118" t="str">
        <f t="shared" ref="L2264:L2327" si="320">IF(A2264="integer",("Sorry, question "&amp;LEFT(E2264, 8)&amp;" is required!"),"")</f>
        <v/>
      </c>
      <c r="X2264" t="s">
        <v>3033</v>
      </c>
    </row>
    <row r="2265" spans="1:24" ht="14.25" customHeight="1">
      <c r="A2265" t="s">
        <v>15</v>
      </c>
      <c r="H2265" s="206">
        <f t="shared" si="318"/>
        <v>0</v>
      </c>
      <c r="L2265" s="118" t="str">
        <f t="shared" si="320"/>
        <v/>
      </c>
      <c r="X2265" t="s">
        <v>3032</v>
      </c>
    </row>
    <row r="2266" spans="1:24" ht="14.25" customHeight="1">
      <c r="A2266" t="s">
        <v>12</v>
      </c>
      <c r="B2266" t="s">
        <v>3332</v>
      </c>
      <c r="E2266" s="118" t="s">
        <v>756</v>
      </c>
      <c r="H2266" s="206" t="str">
        <f t="shared" si="318"/>
        <v>Malaria</v>
      </c>
      <c r="L2266" s="118" t="str">
        <f t="shared" si="320"/>
        <v/>
      </c>
      <c r="X2266" t="s">
        <v>3032</v>
      </c>
    </row>
    <row r="2267" spans="1:24" ht="14.25" customHeight="1">
      <c r="A2267" t="s">
        <v>12</v>
      </c>
      <c r="B2267" t="s">
        <v>3333</v>
      </c>
      <c r="H2267" s="206">
        <f t="shared" si="318"/>
        <v>0</v>
      </c>
      <c r="J2267" s="106" t="s">
        <v>3526</v>
      </c>
      <c r="L2267" s="118" t="str">
        <f t="shared" si="320"/>
        <v/>
      </c>
      <c r="X2267" t="s">
        <v>3033</v>
      </c>
    </row>
    <row r="2268" spans="1:24" ht="14.25" customHeight="1">
      <c r="A2268" t="s">
        <v>17</v>
      </c>
      <c r="B2268" t="s">
        <v>5239</v>
      </c>
      <c r="E2268" s="118" t="s">
        <v>3562</v>
      </c>
      <c r="H2268" s="206" t="str">
        <f t="shared" ref="H2268:H2331" si="321">E2268</f>
        <v xml:space="preserve">&lt;b&gt;&lt;font color='#610B0B'&gt;&lt;big&gt;MALARIA&lt;big&gt;&lt;/font&gt;&lt;b&gt;
</v>
      </c>
      <c r="I2268" s="213" t="str">
        <f t="shared" si="319"/>
        <v>note</v>
      </c>
      <c r="J2268" s="106" t="s">
        <v>3528</v>
      </c>
      <c r="L2268" s="118" t="str">
        <f t="shared" si="320"/>
        <v/>
      </c>
    </row>
    <row r="2269" spans="1:24" ht="14.25" customHeight="1">
      <c r="A2269" t="s">
        <v>17</v>
      </c>
      <c r="B2269" t="s">
        <v>5240</v>
      </c>
      <c r="E2269" s="118" t="s">
        <v>4171</v>
      </c>
      <c r="H2269" s="206" t="str">
        <f t="shared" si="321"/>
        <v>&lt;font color='#000000'&gt;&lt;b&gt;Coartem&lt;/b&gt;&lt;/f&gt;</v>
      </c>
      <c r="I2269" s="213" t="str">
        <f t="shared" si="319"/>
        <v>note</v>
      </c>
      <c r="J2269" s="106" t="s">
        <v>3529</v>
      </c>
      <c r="L2269" s="118" t="str">
        <f t="shared" si="320"/>
        <v/>
      </c>
      <c r="O2269" s="110" t="s">
        <v>1067</v>
      </c>
    </row>
    <row r="2270" spans="1:24" ht="14.25" customHeight="1">
      <c r="A2270" t="s">
        <v>14</v>
      </c>
      <c r="B2270" t="s">
        <v>1353</v>
      </c>
      <c r="E2270" s="118" t="s">
        <v>2599</v>
      </c>
      <c r="F2270" s="118" t="s">
        <v>3313</v>
      </c>
      <c r="H2270" s="206" t="str">
        <f t="shared" si="321"/>
        <v xml:space="preserve">(14.13q) What quantity of Coartem are available at this time? </v>
      </c>
      <c r="I2270" s="213" t="str">
        <f t="shared" si="319"/>
        <v>integer</v>
      </c>
      <c r="J2270" s="106" t="s">
        <v>3373</v>
      </c>
      <c r="K2270" s="116" t="s">
        <v>2443</v>
      </c>
      <c r="L2270" s="118" t="str">
        <f>IF(K2270="yes",("Sorry, question "&amp;LEFT(E2270, 8)&amp;" is required!"),"")</f>
        <v>Sorry, question (14.13q) is required!</v>
      </c>
      <c r="O2270" s="110" t="s">
        <v>1067</v>
      </c>
    </row>
    <row r="2271" spans="1:24" ht="14.25" customHeight="1">
      <c r="A2271" t="s">
        <v>15</v>
      </c>
      <c r="H2271" s="206">
        <f t="shared" si="321"/>
        <v>0</v>
      </c>
      <c r="L2271" s="118" t="str">
        <f t="shared" si="320"/>
        <v/>
      </c>
      <c r="O2271" s="110" t="s">
        <v>1067</v>
      </c>
      <c r="X2271" t="s">
        <v>3033</v>
      </c>
    </row>
    <row r="2272" spans="1:24" ht="14.25" customHeight="1">
      <c r="A2272" t="s">
        <v>12</v>
      </c>
      <c r="B2272" t="s">
        <v>3439</v>
      </c>
      <c r="H2272" s="206">
        <f t="shared" si="321"/>
        <v>0</v>
      </c>
      <c r="J2272" s="106" t="s">
        <v>13</v>
      </c>
      <c r="L2272" s="118" t="str">
        <f t="shared" si="320"/>
        <v/>
      </c>
      <c r="X2272" t="s">
        <v>3033</v>
      </c>
    </row>
    <row r="2273" spans="1:24" ht="14.25" customHeight="1">
      <c r="A2273" t="s">
        <v>23</v>
      </c>
      <c r="B2273" t="s">
        <v>1354</v>
      </c>
      <c r="E2273" s="118" t="s">
        <v>2084</v>
      </c>
      <c r="H2273" s="206" t="str">
        <f t="shared" si="321"/>
        <v>(14.14q) In the past 30 days, has the item been out of stock at any time?</v>
      </c>
      <c r="I2273" s="213" t="str">
        <f t="shared" si="319"/>
        <v>select_one yesno</v>
      </c>
      <c r="J2273" s="106" t="s">
        <v>4457</v>
      </c>
      <c r="K2273" s="116" t="s">
        <v>2443</v>
      </c>
      <c r="L2273" s="118" t="str">
        <f>IF(K2273="yes",("Sorry, question "&amp;LEFT(E2273, 8)&amp;" is required!"),"")</f>
        <v>Sorry, question (14.14q) is required!</v>
      </c>
      <c r="O2273" s="110" t="s">
        <v>1913</v>
      </c>
    </row>
    <row r="2274" spans="1:24" ht="14.25" customHeight="1">
      <c r="A2274" t="s">
        <v>14</v>
      </c>
      <c r="B2274" t="s">
        <v>1355</v>
      </c>
      <c r="E2274" s="118" t="s">
        <v>2085</v>
      </c>
      <c r="F2274" s="118" t="s">
        <v>3383</v>
      </c>
      <c r="H2274" s="206" t="str">
        <f t="shared" si="321"/>
        <v>(14.15q) In the past 30 days, how many days has the item been out of stock?</v>
      </c>
      <c r="I2274" s="213" t="str">
        <f t="shared" si="319"/>
        <v>integer</v>
      </c>
      <c r="J2274" s="106" t="s">
        <v>3379</v>
      </c>
      <c r="K2274" s="116" t="s">
        <v>2443</v>
      </c>
      <c r="L2274" s="118" t="str">
        <f>IF(K2274="yes",("Sorry, question "&amp;LEFT(E2274, 8)&amp;" is required!"),"")</f>
        <v>Sorry, question (14.15q) is required!</v>
      </c>
      <c r="M2274" s="113" t="s">
        <v>3598</v>
      </c>
      <c r="N2274" s="1" t="s">
        <v>4096</v>
      </c>
      <c r="O2274" s="110" t="s">
        <v>3657</v>
      </c>
    </row>
    <row r="2275" spans="1:24" ht="14.25" customHeight="1">
      <c r="A2275" t="s">
        <v>15</v>
      </c>
      <c r="H2275" s="206">
        <f t="shared" si="321"/>
        <v>0</v>
      </c>
      <c r="L2275" s="118" t="str">
        <f t="shared" si="320"/>
        <v/>
      </c>
      <c r="O2275" s="110" t="s">
        <v>1067</v>
      </c>
      <c r="X2275" t="s">
        <v>3033</v>
      </c>
    </row>
    <row r="2276" spans="1:24" ht="14.25" customHeight="1">
      <c r="A2276" t="s">
        <v>12</v>
      </c>
      <c r="B2276" t="s">
        <v>3334</v>
      </c>
      <c r="H2276" s="206">
        <f t="shared" si="321"/>
        <v>0</v>
      </c>
      <c r="J2276" s="106" t="s">
        <v>3526</v>
      </c>
      <c r="L2276" s="118" t="str">
        <f t="shared" si="320"/>
        <v/>
      </c>
      <c r="X2276" t="s">
        <v>3033</v>
      </c>
    </row>
    <row r="2277" spans="1:24" ht="14.25" customHeight="1">
      <c r="A2277" t="s">
        <v>17</v>
      </c>
      <c r="B2277" t="s">
        <v>5241</v>
      </c>
      <c r="E2277" s="118" t="s">
        <v>4172</v>
      </c>
      <c r="H2277" s="206" t="str">
        <f t="shared" si="321"/>
        <v>&lt;font color='#000000'&gt;&lt;b&gt;Fansidar&lt;/b&gt;&lt;/f&gt;</v>
      </c>
      <c r="I2277" s="213" t="str">
        <f t="shared" si="319"/>
        <v>note</v>
      </c>
      <c r="J2277" s="106" t="s">
        <v>3528</v>
      </c>
      <c r="L2277" s="118" t="str">
        <f t="shared" si="320"/>
        <v/>
      </c>
      <c r="O2277" s="110" t="s">
        <v>1067</v>
      </c>
    </row>
    <row r="2278" spans="1:24" ht="14.25" customHeight="1">
      <c r="A2278" t="s">
        <v>14</v>
      </c>
      <c r="B2278" t="s">
        <v>1356</v>
      </c>
      <c r="E2278" s="118" t="s">
        <v>2600</v>
      </c>
      <c r="F2278" s="118" t="s">
        <v>3313</v>
      </c>
      <c r="H2278" s="206" t="str">
        <f t="shared" si="321"/>
        <v xml:space="preserve">(14.13r) What quantity of Fansidar are available at this time? </v>
      </c>
      <c r="I2278" s="213" t="str">
        <f t="shared" si="319"/>
        <v>integer</v>
      </c>
      <c r="J2278" s="106" t="s">
        <v>3372</v>
      </c>
      <c r="K2278" s="116" t="s">
        <v>2443</v>
      </c>
      <c r="L2278" s="118" t="str">
        <f>IF(K2278="yes",("Sorry, question "&amp;LEFT(E2278, 8)&amp;" is required!"),"")</f>
        <v>Sorry, question (14.13r) is required!</v>
      </c>
      <c r="O2278" s="110" t="s">
        <v>1067</v>
      </c>
    </row>
    <row r="2279" spans="1:24" ht="14.25" customHeight="1">
      <c r="A2279" t="s">
        <v>15</v>
      </c>
      <c r="H2279" s="206">
        <f t="shared" si="321"/>
        <v>0</v>
      </c>
      <c r="L2279" s="118" t="str">
        <f t="shared" si="320"/>
        <v/>
      </c>
      <c r="O2279" s="110" t="s">
        <v>1067</v>
      </c>
      <c r="X2279" t="s">
        <v>3033</v>
      </c>
    </row>
    <row r="2280" spans="1:24" ht="14.25" customHeight="1">
      <c r="A2280" t="s">
        <v>12</v>
      </c>
      <c r="B2280" t="s">
        <v>3440</v>
      </c>
      <c r="H2280" s="206">
        <f t="shared" si="321"/>
        <v>0</v>
      </c>
      <c r="J2280" s="106" t="s">
        <v>13</v>
      </c>
      <c r="L2280" s="118" t="str">
        <f t="shared" si="320"/>
        <v/>
      </c>
      <c r="X2280" t="s">
        <v>3033</v>
      </c>
    </row>
    <row r="2281" spans="1:24" ht="14.25" customHeight="1">
      <c r="A2281" t="s">
        <v>23</v>
      </c>
      <c r="B2281" t="s">
        <v>1357</v>
      </c>
      <c r="E2281" s="118" t="s">
        <v>2086</v>
      </c>
      <c r="H2281" s="206" t="str">
        <f t="shared" si="321"/>
        <v>(14.14r) In the past 30 days, has the item been out of stock at any time?</v>
      </c>
      <c r="I2281" s="213" t="str">
        <f t="shared" si="319"/>
        <v>select_one yesno</v>
      </c>
      <c r="J2281" s="106" t="s">
        <v>4457</v>
      </c>
      <c r="K2281" s="116" t="s">
        <v>2443</v>
      </c>
      <c r="L2281" s="118" t="str">
        <f>IF(K2281="yes",("Sorry, question "&amp;LEFT(E2281, 8)&amp;" is required!"),"")</f>
        <v>Sorry, question (14.14r) is required!</v>
      </c>
      <c r="O2281" s="110" t="s">
        <v>1914</v>
      </c>
    </row>
    <row r="2282" spans="1:24" ht="14.25" customHeight="1">
      <c r="A2282" t="s">
        <v>14</v>
      </c>
      <c r="B2282" t="s">
        <v>1358</v>
      </c>
      <c r="E2282" s="118" t="s">
        <v>2087</v>
      </c>
      <c r="F2282" s="118" t="s">
        <v>3383</v>
      </c>
      <c r="H2282" s="206" t="str">
        <f t="shared" si="321"/>
        <v>(14.15r) In the past 30 days, how many days has the item been out of stock?</v>
      </c>
      <c r="I2282" s="213" t="str">
        <f t="shared" si="319"/>
        <v>integer</v>
      </c>
      <c r="J2282" s="106" t="s">
        <v>3379</v>
      </c>
      <c r="K2282" s="116" t="s">
        <v>2443</v>
      </c>
      <c r="L2282" s="118" t="str">
        <f>IF(K2282="yes",("Sorry, question "&amp;LEFT(E2282, 8)&amp;" is required!"),"")</f>
        <v>Sorry, question (14.15r) is required!</v>
      </c>
      <c r="M2282" s="113" t="s">
        <v>3598</v>
      </c>
      <c r="N2282" s="1" t="s">
        <v>4097</v>
      </c>
      <c r="O2282" s="110" t="s">
        <v>3658</v>
      </c>
    </row>
    <row r="2283" spans="1:24" ht="14.25" customHeight="1">
      <c r="A2283" t="s">
        <v>15</v>
      </c>
      <c r="H2283" s="206">
        <f t="shared" si="321"/>
        <v>0</v>
      </c>
      <c r="L2283" s="118" t="str">
        <f t="shared" si="320"/>
        <v/>
      </c>
      <c r="O2283" s="110" t="s">
        <v>1067</v>
      </c>
      <c r="X2283" t="s">
        <v>3033</v>
      </c>
    </row>
    <row r="2284" spans="1:24" ht="14.25" customHeight="1">
      <c r="A2284" t="s">
        <v>15</v>
      </c>
      <c r="H2284" s="206">
        <f t="shared" si="321"/>
        <v>0</v>
      </c>
      <c r="L2284" s="118" t="str">
        <f t="shared" si="320"/>
        <v/>
      </c>
      <c r="X2284" t="s">
        <v>3032</v>
      </c>
    </row>
    <row r="2285" spans="1:24" ht="14.25" customHeight="1">
      <c r="A2285" t="s">
        <v>12</v>
      </c>
      <c r="B2285" t="s">
        <v>3335</v>
      </c>
      <c r="E2285" s="118" t="s">
        <v>2801</v>
      </c>
      <c r="H2285" s="206" t="str">
        <f t="shared" si="321"/>
        <v>Emergency Obstetric Care</v>
      </c>
      <c r="L2285" s="118" t="str">
        <f t="shared" si="320"/>
        <v/>
      </c>
      <c r="X2285" t="s">
        <v>3032</v>
      </c>
    </row>
    <row r="2286" spans="1:24" ht="14.25" customHeight="1">
      <c r="A2286" t="s">
        <v>12</v>
      </c>
      <c r="B2286" t="s">
        <v>3336</v>
      </c>
      <c r="H2286" s="206">
        <f t="shared" si="321"/>
        <v>0</v>
      </c>
      <c r="J2286" s="106" t="s">
        <v>3526</v>
      </c>
      <c r="L2286" s="118" t="str">
        <f t="shared" si="320"/>
        <v/>
      </c>
      <c r="X2286" t="s">
        <v>3033</v>
      </c>
    </row>
    <row r="2287" spans="1:24" ht="14.25" customHeight="1">
      <c r="A2287" t="s">
        <v>17</v>
      </c>
      <c r="B2287" t="s">
        <v>5242</v>
      </c>
      <c r="E2287" s="118" t="s">
        <v>3561</v>
      </c>
      <c r="H2287" s="206" t="str">
        <f t="shared" si="321"/>
        <v xml:space="preserve">&lt;b&gt;&lt;font color='#610B0B'&gt;&lt;big&gt;EMERGENCY OBSTETRIC CARE&lt;/big&gt;&lt;/font&gt;&lt;b&gt;
</v>
      </c>
      <c r="I2287" s="213" t="str">
        <f t="shared" si="319"/>
        <v>note</v>
      </c>
      <c r="J2287" s="106" t="s">
        <v>3528</v>
      </c>
      <c r="L2287" s="118" t="str">
        <f t="shared" si="320"/>
        <v/>
      </c>
    </row>
    <row r="2288" spans="1:24" ht="14.25" customHeight="1">
      <c r="A2288" t="s">
        <v>17</v>
      </c>
      <c r="B2288" t="s">
        <v>5243</v>
      </c>
      <c r="E2288" s="118" t="s">
        <v>4173</v>
      </c>
      <c r="H2288" s="206" t="str">
        <f t="shared" si="321"/>
        <v>&lt;font color='#000000'&gt;&lt;b&gt;Magnesium Sulfate&lt;/b&gt;&lt;/f&gt;</v>
      </c>
      <c r="I2288" s="213" t="str">
        <f t="shared" si="319"/>
        <v>note</v>
      </c>
      <c r="J2288" s="106" t="s">
        <v>3529</v>
      </c>
      <c r="L2288" s="118" t="str">
        <f t="shared" si="320"/>
        <v/>
      </c>
      <c r="O2288" s="110" t="s">
        <v>1067</v>
      </c>
    </row>
    <row r="2289" spans="1:24" ht="14.25" customHeight="1">
      <c r="A2289" t="s">
        <v>14</v>
      </c>
      <c r="B2289" t="s">
        <v>1386</v>
      </c>
      <c r="E2289" s="118" t="s">
        <v>3441</v>
      </c>
      <c r="F2289" s="118" t="s">
        <v>3313</v>
      </c>
      <c r="H2289" s="206" t="str">
        <f t="shared" si="321"/>
        <v xml:space="preserve">(14.13aa) What quantity of Magnesium Sulfate are available at this time? </v>
      </c>
      <c r="I2289" s="213" t="str">
        <f t="shared" si="319"/>
        <v>integer</v>
      </c>
      <c r="J2289" s="106" t="s">
        <v>3373</v>
      </c>
      <c r="K2289" s="116" t="s">
        <v>2443</v>
      </c>
      <c r="L2289" s="118" t="str">
        <f>IF(K2289="yes",("Sorry, question "&amp;LEFT(E2289, 8)&amp;" is required!"),"")</f>
        <v>Sorry, question (14.13aa is required!</v>
      </c>
      <c r="O2289" s="110" t="s">
        <v>1067</v>
      </c>
    </row>
    <row r="2290" spans="1:24" ht="14.25" customHeight="1">
      <c r="A2290" t="s">
        <v>15</v>
      </c>
      <c r="H2290" s="206">
        <f t="shared" si="321"/>
        <v>0</v>
      </c>
      <c r="L2290" s="118" t="str">
        <f t="shared" si="320"/>
        <v/>
      </c>
      <c r="O2290" s="110" t="s">
        <v>1067</v>
      </c>
      <c r="X2290" t="s">
        <v>3033</v>
      </c>
    </row>
    <row r="2291" spans="1:24" ht="14.25" customHeight="1">
      <c r="A2291" t="s">
        <v>12</v>
      </c>
      <c r="B2291" t="s">
        <v>3442</v>
      </c>
      <c r="H2291" s="206">
        <f t="shared" si="321"/>
        <v>0</v>
      </c>
      <c r="J2291" s="106" t="s">
        <v>13</v>
      </c>
      <c r="L2291" s="118" t="str">
        <f t="shared" si="320"/>
        <v/>
      </c>
      <c r="X2291" t="s">
        <v>3033</v>
      </c>
    </row>
    <row r="2292" spans="1:24" ht="14.25" customHeight="1">
      <c r="A2292" t="s">
        <v>23</v>
      </c>
      <c r="B2292" t="s">
        <v>1387</v>
      </c>
      <c r="E2292" s="118" t="s">
        <v>2028</v>
      </c>
      <c r="H2292" s="206" t="str">
        <f t="shared" si="321"/>
        <v>(14.14aa) In the past 30 days, has the item been out of stock at any time?</v>
      </c>
      <c r="I2292" s="213" t="str">
        <f t="shared" si="319"/>
        <v>select_one yesno</v>
      </c>
      <c r="J2292" s="106" t="s">
        <v>4457</v>
      </c>
      <c r="K2292" s="116" t="s">
        <v>2443</v>
      </c>
      <c r="L2292" s="118" t="str">
        <f>IF(K2292="yes",("Sorry, question "&amp;LEFT(E2292, 8)&amp;" is required!"),"")</f>
        <v>Sorry, question (14.14aa is required!</v>
      </c>
      <c r="O2292" s="110" t="s">
        <v>1922</v>
      </c>
    </row>
    <row r="2293" spans="1:24" ht="15">
      <c r="A2293" t="s">
        <v>14</v>
      </c>
      <c r="B2293" t="s">
        <v>1388</v>
      </c>
      <c r="E2293" s="118" t="s">
        <v>2029</v>
      </c>
      <c r="F2293" s="118" t="s">
        <v>3383</v>
      </c>
      <c r="H2293" s="206" t="str">
        <f t="shared" si="321"/>
        <v>(14.15aa) In the past 30 days, how many days has the item been out of stock?</v>
      </c>
      <c r="I2293" s="213" t="str">
        <f t="shared" si="319"/>
        <v>integer</v>
      </c>
      <c r="J2293" s="106" t="s">
        <v>3379</v>
      </c>
      <c r="K2293" s="116" t="s">
        <v>2443</v>
      </c>
      <c r="L2293" s="118" t="str">
        <f t="shared" si="320"/>
        <v>Sorry, question (14.15aa is required!</v>
      </c>
      <c r="M2293" s="113" t="s">
        <v>3598</v>
      </c>
      <c r="N2293" s="1" t="s">
        <v>4098</v>
      </c>
      <c r="O2293" s="110" t="s">
        <v>3659</v>
      </c>
    </row>
    <row r="2294" spans="1:24" ht="14.25" customHeight="1">
      <c r="A2294" t="s">
        <v>15</v>
      </c>
      <c r="H2294" s="206">
        <f t="shared" si="321"/>
        <v>0</v>
      </c>
      <c r="L2294" s="118" t="str">
        <f t="shared" si="320"/>
        <v/>
      </c>
      <c r="O2294" s="110" t="s">
        <v>1067</v>
      </c>
      <c r="X2294" t="s">
        <v>3033</v>
      </c>
    </row>
    <row r="2295" spans="1:24" ht="14.25" customHeight="1">
      <c r="A2295" t="s">
        <v>12</v>
      </c>
      <c r="B2295" t="s">
        <v>3337</v>
      </c>
      <c r="H2295" s="206">
        <f t="shared" si="321"/>
        <v>0</v>
      </c>
      <c r="J2295" s="106" t="s">
        <v>3526</v>
      </c>
      <c r="L2295" s="118" t="str">
        <f t="shared" si="320"/>
        <v/>
      </c>
      <c r="X2295" t="s">
        <v>3033</v>
      </c>
    </row>
    <row r="2296" spans="1:24" ht="14.25" customHeight="1">
      <c r="A2296" t="s">
        <v>17</v>
      </c>
      <c r="B2296" t="s">
        <v>5244</v>
      </c>
      <c r="E2296" s="118" t="s">
        <v>4174</v>
      </c>
      <c r="H2296" s="206" t="str">
        <f t="shared" si="321"/>
        <v>&lt;font color='#000000'&gt;&lt;b&gt;Diazepam Injection&lt;/b&gt;&lt;/f&gt;</v>
      </c>
      <c r="I2296" s="213" t="str">
        <f t="shared" si="319"/>
        <v>note</v>
      </c>
      <c r="J2296" s="106" t="s">
        <v>3528</v>
      </c>
      <c r="L2296" s="118" t="str">
        <f t="shared" si="320"/>
        <v/>
      </c>
      <c r="O2296" s="110" t="s">
        <v>1067</v>
      </c>
    </row>
    <row r="2297" spans="1:24" ht="14.25" customHeight="1">
      <c r="A2297" t="s">
        <v>14</v>
      </c>
      <c r="B2297" t="s">
        <v>1389</v>
      </c>
      <c r="E2297" s="118" t="s">
        <v>2405</v>
      </c>
      <c r="F2297" s="118" t="s">
        <v>3313</v>
      </c>
      <c r="H2297" s="206" t="str">
        <f t="shared" si="321"/>
        <v xml:space="preserve">(14.13ab) What quantity of Diazepam Injection are available at this time? </v>
      </c>
      <c r="I2297" s="213" t="str">
        <f t="shared" si="319"/>
        <v>integer</v>
      </c>
      <c r="J2297" s="106" t="s">
        <v>3372</v>
      </c>
      <c r="K2297" s="116" t="s">
        <v>2443</v>
      </c>
      <c r="L2297" s="118" t="str">
        <f t="shared" si="320"/>
        <v>Sorry, question (14.13ab is required!</v>
      </c>
      <c r="O2297" s="110" t="s">
        <v>1067</v>
      </c>
    </row>
    <row r="2298" spans="1:24" ht="14.25" customHeight="1">
      <c r="A2298" t="s">
        <v>15</v>
      </c>
      <c r="H2298" s="206">
        <f t="shared" si="321"/>
        <v>0</v>
      </c>
      <c r="L2298" s="118" t="str">
        <f t="shared" si="320"/>
        <v/>
      </c>
      <c r="O2298" s="110" t="s">
        <v>1067</v>
      </c>
      <c r="X2298" t="s">
        <v>3033</v>
      </c>
    </row>
    <row r="2299" spans="1:24" ht="14.25" customHeight="1">
      <c r="A2299" t="s">
        <v>12</v>
      </c>
      <c r="B2299" t="s">
        <v>3443</v>
      </c>
      <c r="H2299" s="206">
        <f t="shared" si="321"/>
        <v>0</v>
      </c>
      <c r="J2299" s="106" t="s">
        <v>13</v>
      </c>
      <c r="L2299" s="118" t="str">
        <f t="shared" si="320"/>
        <v/>
      </c>
      <c r="X2299" t="s">
        <v>3033</v>
      </c>
    </row>
    <row r="2300" spans="1:24" ht="14.25" customHeight="1">
      <c r="A2300" t="s">
        <v>23</v>
      </c>
      <c r="B2300" t="s">
        <v>1390</v>
      </c>
      <c r="E2300" s="118" t="s">
        <v>2030</v>
      </c>
      <c r="H2300" s="206" t="str">
        <f t="shared" si="321"/>
        <v>(14.14ab) In the past 30 days, has the item been out of stock at any time?</v>
      </c>
      <c r="I2300" s="213" t="str">
        <f t="shared" si="319"/>
        <v>select_one yesno</v>
      </c>
      <c r="J2300" s="106" t="s">
        <v>4457</v>
      </c>
      <c r="K2300" s="116" t="s">
        <v>2443</v>
      </c>
      <c r="L2300" s="118" t="str">
        <f>IF(K2300="yes",("Sorry, question "&amp;LEFT(E2300, 8)&amp;" is required!"),"")</f>
        <v>Sorry, question (14.14ab is required!</v>
      </c>
      <c r="O2300" s="110" t="s">
        <v>1923</v>
      </c>
    </row>
    <row r="2301" spans="1:24" ht="14.25" customHeight="1">
      <c r="A2301" t="s">
        <v>14</v>
      </c>
      <c r="B2301" t="s">
        <v>1391</v>
      </c>
      <c r="E2301" s="118" t="s">
        <v>2031</v>
      </c>
      <c r="F2301" s="118" t="s">
        <v>3383</v>
      </c>
      <c r="H2301" s="206" t="str">
        <f t="shared" si="321"/>
        <v>(14.15ab) In the past 30 days, how many days has the item been out of stock?</v>
      </c>
      <c r="I2301" s="213" t="str">
        <f t="shared" si="319"/>
        <v>integer</v>
      </c>
      <c r="J2301" s="106" t="s">
        <v>3379</v>
      </c>
      <c r="K2301" s="116" t="s">
        <v>2443</v>
      </c>
      <c r="L2301" s="118" t="str">
        <f t="shared" si="320"/>
        <v>Sorry, question (14.15ab is required!</v>
      </c>
      <c r="M2301" s="113" t="s">
        <v>3598</v>
      </c>
      <c r="N2301" s="1" t="s">
        <v>4099</v>
      </c>
      <c r="O2301" s="110" t="s">
        <v>3660</v>
      </c>
    </row>
    <row r="2302" spans="1:24" ht="14.25" customHeight="1">
      <c r="A2302" t="s">
        <v>15</v>
      </c>
      <c r="H2302" s="206">
        <f t="shared" si="321"/>
        <v>0</v>
      </c>
      <c r="L2302" s="118" t="str">
        <f t="shared" si="320"/>
        <v/>
      </c>
      <c r="O2302" s="110" t="s">
        <v>1067</v>
      </c>
      <c r="X2302" t="s">
        <v>3033</v>
      </c>
    </row>
    <row r="2303" spans="1:24" ht="14.25" customHeight="1">
      <c r="A2303" t="s">
        <v>12</v>
      </c>
      <c r="B2303" t="s">
        <v>3338</v>
      </c>
      <c r="H2303" s="206">
        <f t="shared" si="321"/>
        <v>0</v>
      </c>
      <c r="J2303" s="106" t="s">
        <v>3526</v>
      </c>
      <c r="L2303" s="118" t="str">
        <f t="shared" si="320"/>
        <v/>
      </c>
      <c r="X2303" t="s">
        <v>3033</v>
      </c>
    </row>
    <row r="2304" spans="1:24" ht="14.25" customHeight="1">
      <c r="A2304" t="s">
        <v>17</v>
      </c>
      <c r="B2304" t="s">
        <v>5245</v>
      </c>
      <c r="E2304" s="118" t="s">
        <v>4175</v>
      </c>
      <c r="H2304" s="206" t="str">
        <f t="shared" si="321"/>
        <v>&lt;font color='#000000'&gt;&lt;b&gt;Misoprostol&lt;/b&gt;&lt;/f&gt;</v>
      </c>
      <c r="I2304" s="213" t="str">
        <f t="shared" si="319"/>
        <v>note</v>
      </c>
      <c r="J2304" s="106" t="s">
        <v>3528</v>
      </c>
      <c r="O2304" s="110" t="s">
        <v>1067</v>
      </c>
    </row>
    <row r="2305" spans="1:24" ht="15">
      <c r="A2305" t="s">
        <v>14</v>
      </c>
      <c r="B2305" t="s">
        <v>1392</v>
      </c>
      <c r="E2305" s="118" t="s">
        <v>3068</v>
      </c>
      <c r="F2305" s="118" t="s">
        <v>3313</v>
      </c>
      <c r="H2305" s="206" t="str">
        <f t="shared" si="321"/>
        <v xml:space="preserve">(14.13ac) What quantity of Misoprostol are available at this time? </v>
      </c>
      <c r="I2305" s="213" t="str">
        <f t="shared" ref="I2305:I2368" si="322">A2305</f>
        <v>integer</v>
      </c>
      <c r="J2305" s="106" t="s">
        <v>3372</v>
      </c>
      <c r="K2305" s="116" t="s">
        <v>2443</v>
      </c>
      <c r="L2305" s="118" t="str">
        <f t="shared" si="320"/>
        <v>Sorry, question (14.13ac is required!</v>
      </c>
      <c r="O2305" s="110" t="s">
        <v>1067</v>
      </c>
    </row>
    <row r="2306" spans="1:24" ht="14.25" customHeight="1">
      <c r="A2306" t="s">
        <v>15</v>
      </c>
      <c r="H2306" s="206">
        <f t="shared" si="321"/>
        <v>0</v>
      </c>
      <c r="L2306" s="118" t="str">
        <f t="shared" si="320"/>
        <v/>
      </c>
      <c r="O2306" s="110" t="s">
        <v>1067</v>
      </c>
      <c r="X2306" t="s">
        <v>3033</v>
      </c>
    </row>
    <row r="2307" spans="1:24" ht="14.25" customHeight="1">
      <c r="A2307" t="s">
        <v>12</v>
      </c>
      <c r="B2307" t="s">
        <v>3444</v>
      </c>
      <c r="H2307" s="206">
        <f t="shared" si="321"/>
        <v>0</v>
      </c>
      <c r="J2307" s="106" t="s">
        <v>13</v>
      </c>
      <c r="L2307" s="118" t="str">
        <f t="shared" si="320"/>
        <v/>
      </c>
      <c r="X2307" t="s">
        <v>3033</v>
      </c>
    </row>
    <row r="2308" spans="1:24" ht="14.25" customHeight="1">
      <c r="A2308" t="s">
        <v>23</v>
      </c>
      <c r="B2308" t="s">
        <v>1393</v>
      </c>
      <c r="E2308" s="118" t="s">
        <v>2032</v>
      </c>
      <c r="H2308" s="206" t="str">
        <f t="shared" si="321"/>
        <v>(14.14ac) In the past 30 days, has the item been out of stock at any time?</v>
      </c>
      <c r="I2308" s="213" t="str">
        <f t="shared" si="322"/>
        <v>select_one yesno</v>
      </c>
      <c r="J2308" s="106" t="s">
        <v>4457</v>
      </c>
      <c r="K2308" s="116" t="s">
        <v>2443</v>
      </c>
      <c r="L2308" s="118" t="str">
        <f>IF(K2308="yes",("Sorry, question "&amp;LEFT(E2308, 9)&amp;" is required!"),"")</f>
        <v>Sorry, question (14.14ac) is required!</v>
      </c>
      <c r="O2308" s="110" t="s">
        <v>1924</v>
      </c>
    </row>
    <row r="2309" spans="1:24" ht="14.25" customHeight="1">
      <c r="A2309" t="s">
        <v>14</v>
      </c>
      <c r="B2309" t="s">
        <v>1394</v>
      </c>
      <c r="E2309" s="118" t="s">
        <v>2033</v>
      </c>
      <c r="F2309" s="118" t="s">
        <v>3383</v>
      </c>
      <c r="H2309" s="206" t="str">
        <f t="shared" si="321"/>
        <v>(14.15ac) In the past 30 days, how many days has the item been out of stock?</v>
      </c>
      <c r="I2309" s="213" t="str">
        <f t="shared" si="322"/>
        <v>integer</v>
      </c>
      <c r="J2309" s="106" t="s">
        <v>3379</v>
      </c>
      <c r="K2309" s="116" t="s">
        <v>2443</v>
      </c>
      <c r="L2309" s="118" t="str">
        <f>IF(K2309="yes",("Sorry, question "&amp;LEFT(E2309, 9)&amp;" is required!"),"")</f>
        <v>Sorry, question (14.15ac) is required!</v>
      </c>
      <c r="M2309" s="113" t="s">
        <v>3598</v>
      </c>
      <c r="N2309" s="1" t="s">
        <v>4100</v>
      </c>
      <c r="O2309" s="110" t="s">
        <v>3661</v>
      </c>
    </row>
    <row r="2310" spans="1:24" ht="14.25" customHeight="1">
      <c r="A2310" t="s">
        <v>15</v>
      </c>
      <c r="H2310" s="206">
        <f t="shared" si="321"/>
        <v>0</v>
      </c>
      <c r="L2310" s="118" t="str">
        <f t="shared" si="320"/>
        <v/>
      </c>
      <c r="O2310" s="110" t="s">
        <v>1067</v>
      </c>
      <c r="X2310" t="s">
        <v>3033</v>
      </c>
    </row>
    <row r="2311" spans="1:24" ht="14.25" customHeight="1">
      <c r="A2311" t="s">
        <v>12</v>
      </c>
      <c r="B2311" t="s">
        <v>3339</v>
      </c>
      <c r="H2311" s="206">
        <f t="shared" si="321"/>
        <v>0</v>
      </c>
      <c r="J2311" s="106" t="s">
        <v>3526</v>
      </c>
      <c r="L2311" s="118" t="str">
        <f t="shared" si="320"/>
        <v/>
      </c>
      <c r="X2311" t="s">
        <v>3033</v>
      </c>
    </row>
    <row r="2312" spans="1:24" ht="14.25" customHeight="1">
      <c r="A2312" t="s">
        <v>17</v>
      </c>
      <c r="B2312" t="s">
        <v>5246</v>
      </c>
      <c r="E2312" s="118" t="s">
        <v>4176</v>
      </c>
      <c r="H2312" s="206" t="str">
        <f t="shared" si="321"/>
        <v>&lt;font color='#000000'&gt;&lt;b&gt;Oxytocin&lt;/b&gt;&lt;/f&gt;</v>
      </c>
      <c r="I2312" s="213" t="str">
        <f t="shared" si="322"/>
        <v>note</v>
      </c>
      <c r="J2312" s="106" t="s">
        <v>3528</v>
      </c>
      <c r="L2312" s="118" t="str">
        <f t="shared" si="320"/>
        <v/>
      </c>
      <c r="O2312" s="110" t="s">
        <v>1067</v>
      </c>
    </row>
    <row r="2313" spans="1:24" ht="14.25" customHeight="1">
      <c r="A2313" t="s">
        <v>14</v>
      </c>
      <c r="B2313" t="s">
        <v>1395</v>
      </c>
      <c r="E2313" s="118" t="s">
        <v>2406</v>
      </c>
      <c r="F2313" s="118" t="s">
        <v>3313</v>
      </c>
      <c r="H2313" s="206" t="str">
        <f t="shared" si="321"/>
        <v xml:space="preserve">(14.13ad) What quantity of Oxytocin are available at this time? </v>
      </c>
      <c r="I2313" s="213" t="str">
        <f t="shared" si="322"/>
        <v>integer</v>
      </c>
      <c r="J2313" s="106" t="s">
        <v>3372</v>
      </c>
      <c r="K2313" s="116" t="s">
        <v>2443</v>
      </c>
      <c r="L2313" s="118" t="str">
        <f>IF(K2313="yes",("Sorry, question "&amp;LEFT(E2313, 9)&amp;" is required!"),"")</f>
        <v>Sorry, question (14.13ad) is required!</v>
      </c>
      <c r="O2313" s="110" t="s">
        <v>1067</v>
      </c>
    </row>
    <row r="2314" spans="1:24" ht="14.25" customHeight="1">
      <c r="A2314" t="s">
        <v>15</v>
      </c>
      <c r="H2314" s="206">
        <f t="shared" si="321"/>
        <v>0</v>
      </c>
      <c r="L2314" s="118" t="str">
        <f t="shared" si="320"/>
        <v/>
      </c>
      <c r="O2314" s="110" t="s">
        <v>1067</v>
      </c>
      <c r="X2314" t="s">
        <v>3033</v>
      </c>
    </row>
    <row r="2315" spans="1:24" ht="14.25" customHeight="1">
      <c r="A2315" t="s">
        <v>12</v>
      </c>
      <c r="B2315" t="s">
        <v>3445</v>
      </c>
      <c r="H2315" s="206">
        <f t="shared" si="321"/>
        <v>0</v>
      </c>
      <c r="J2315" s="106" t="s">
        <v>13</v>
      </c>
      <c r="L2315" s="118" t="str">
        <f t="shared" si="320"/>
        <v/>
      </c>
      <c r="X2315" t="s">
        <v>3033</v>
      </c>
    </row>
    <row r="2316" spans="1:24" ht="14.25" customHeight="1">
      <c r="A2316" t="s">
        <v>23</v>
      </c>
      <c r="B2316" t="s">
        <v>1396</v>
      </c>
      <c r="E2316" s="118" t="s">
        <v>2034</v>
      </c>
      <c r="H2316" s="206" t="str">
        <f t="shared" si="321"/>
        <v>(14.14ad) In the past 30 days, has the item been out of stock at any time?</v>
      </c>
      <c r="I2316" s="213" t="str">
        <f t="shared" si="322"/>
        <v>select_one yesno</v>
      </c>
      <c r="J2316" s="106" t="s">
        <v>4457</v>
      </c>
      <c r="K2316" s="116" t="s">
        <v>2443</v>
      </c>
      <c r="L2316" s="118" t="str">
        <f>IF(K2316="yes",("Sorry, question "&amp;LEFT(E2316, 9)&amp;" is required!"),"")</f>
        <v>Sorry, question (14.14ad) is required!</v>
      </c>
      <c r="O2316" s="110" t="s">
        <v>1925</v>
      </c>
    </row>
    <row r="2317" spans="1:24" ht="14.25" customHeight="1">
      <c r="A2317" t="s">
        <v>14</v>
      </c>
      <c r="B2317" t="s">
        <v>1397</v>
      </c>
      <c r="E2317" s="118" t="s">
        <v>2035</v>
      </c>
      <c r="F2317" s="118" t="s">
        <v>3383</v>
      </c>
      <c r="H2317" s="206" t="str">
        <f t="shared" si="321"/>
        <v>(14.15ad) In the past 30 days, how many days has the item been out of stock?</v>
      </c>
      <c r="I2317" s="213" t="str">
        <f t="shared" si="322"/>
        <v>integer</v>
      </c>
      <c r="J2317" s="106" t="s">
        <v>3379</v>
      </c>
      <c r="K2317" s="116" t="s">
        <v>2443</v>
      </c>
      <c r="L2317" s="118" t="str">
        <f>IF(K2317="yes",("Sorry, question "&amp;LEFT(E2317, 9)&amp;" is required!"),"")</f>
        <v>Sorry, question (14.15ad) is required!</v>
      </c>
      <c r="M2317" s="113" t="s">
        <v>3598</v>
      </c>
      <c r="N2317" s="1" t="s">
        <v>4101</v>
      </c>
      <c r="O2317" s="110" t="s">
        <v>3662</v>
      </c>
    </row>
    <row r="2318" spans="1:24" ht="14.25" customHeight="1">
      <c r="A2318" t="s">
        <v>17</v>
      </c>
      <c r="B2318" t="s">
        <v>3070</v>
      </c>
      <c r="E2318" s="118" t="s">
        <v>3069</v>
      </c>
      <c r="H2318" s="206" t="str">
        <f t="shared" si="321"/>
        <v>CONSULT WITH THE LEPROSY AND TB OFFICER AND VISIT THE PLACE WHERE TB SERVICES ARE DELIVERED.</v>
      </c>
      <c r="I2318" s="213" t="str">
        <f t="shared" si="322"/>
        <v>note</v>
      </c>
      <c r="L2318" s="118" t="str">
        <f t="shared" si="320"/>
        <v/>
      </c>
    </row>
    <row r="2319" spans="1:24" ht="14.25" customHeight="1">
      <c r="A2319" t="s">
        <v>15</v>
      </c>
      <c r="H2319" s="206">
        <f t="shared" si="321"/>
        <v>0</v>
      </c>
      <c r="L2319" s="118" t="str">
        <f t="shared" si="320"/>
        <v/>
      </c>
      <c r="O2319" s="110" t="s">
        <v>1067</v>
      </c>
      <c r="X2319" t="s">
        <v>3033</v>
      </c>
    </row>
    <row r="2320" spans="1:24" ht="14.25" customHeight="1">
      <c r="A2320" t="s">
        <v>15</v>
      </c>
      <c r="H2320" s="206">
        <f t="shared" si="321"/>
        <v>0</v>
      </c>
      <c r="L2320" s="118" t="str">
        <f t="shared" si="320"/>
        <v/>
      </c>
      <c r="X2320" t="s">
        <v>3032</v>
      </c>
    </row>
    <row r="2321" spans="1:24" ht="14.25" customHeight="1">
      <c r="A2321" t="s">
        <v>12</v>
      </c>
      <c r="B2321" t="s">
        <v>3340</v>
      </c>
      <c r="E2321" s="118" t="s">
        <v>758</v>
      </c>
      <c r="H2321" s="206" t="str">
        <f t="shared" si="321"/>
        <v>Tuberculosis</v>
      </c>
      <c r="L2321" s="118" t="str">
        <f t="shared" si="320"/>
        <v/>
      </c>
      <c r="X2321" t="s">
        <v>3032</v>
      </c>
    </row>
    <row r="2322" spans="1:24" ht="14.25" customHeight="1">
      <c r="A2322" t="s">
        <v>12</v>
      </c>
      <c r="B2322" t="s">
        <v>3347</v>
      </c>
      <c r="H2322" s="206">
        <f t="shared" si="321"/>
        <v>0</v>
      </c>
      <c r="J2322" s="106" t="s">
        <v>3526</v>
      </c>
      <c r="L2322" s="118" t="str">
        <f t="shared" si="320"/>
        <v/>
      </c>
      <c r="X2322" t="s">
        <v>3033</v>
      </c>
    </row>
    <row r="2323" spans="1:24" ht="14.25" customHeight="1">
      <c r="A2323" t="s">
        <v>17</v>
      </c>
      <c r="B2323" t="s">
        <v>2802</v>
      </c>
      <c r="E2323" s="118" t="s">
        <v>3559</v>
      </c>
      <c r="H2323" s="206" t="str">
        <f t="shared" si="321"/>
        <v xml:space="preserve">&lt;b&gt;&lt;font color='#610B0B'&gt;&lt;big&gt;TUBERCULOSIS&lt;/big&gt;&lt;/font&gt;&lt;b&gt;
</v>
      </c>
      <c r="I2323" s="213" t="str">
        <f t="shared" si="322"/>
        <v>note</v>
      </c>
      <c r="J2323" s="106" t="s">
        <v>3528</v>
      </c>
      <c r="L2323" s="118" t="str">
        <f t="shared" si="320"/>
        <v/>
      </c>
    </row>
    <row r="2324" spans="1:24" ht="14.25" customHeight="1">
      <c r="A2324" t="s">
        <v>17</v>
      </c>
      <c r="B2324" t="s">
        <v>1359</v>
      </c>
      <c r="E2324" s="118" t="s">
        <v>4177</v>
      </c>
      <c r="H2324" s="206" t="str">
        <f t="shared" si="321"/>
        <v>&lt;font color='#000000'&gt;&lt;b&gt;Rifampin&lt;/b&gt;&lt;/f&gt;</v>
      </c>
      <c r="I2324" s="213" t="str">
        <f t="shared" si="322"/>
        <v>note</v>
      </c>
      <c r="J2324" s="106" t="s">
        <v>3529</v>
      </c>
      <c r="L2324" s="118" t="str">
        <f t="shared" si="320"/>
        <v/>
      </c>
      <c r="O2324" s="110" t="s">
        <v>1067</v>
      </c>
    </row>
    <row r="2325" spans="1:24" ht="14.25" customHeight="1">
      <c r="A2325" t="s">
        <v>14</v>
      </c>
      <c r="B2325" t="s">
        <v>1360</v>
      </c>
      <c r="E2325" s="118" t="s">
        <v>2022</v>
      </c>
      <c r="F2325" s="118" t="s">
        <v>3313</v>
      </c>
      <c r="H2325" s="206" t="str">
        <f t="shared" si="321"/>
        <v xml:space="preserve">(14.13t) What quantity of Rifampin are available at this time? </v>
      </c>
      <c r="I2325" s="213" t="str">
        <f t="shared" si="322"/>
        <v>integer</v>
      </c>
      <c r="J2325" s="106" t="s">
        <v>3373</v>
      </c>
      <c r="K2325" s="116" t="s">
        <v>2443</v>
      </c>
      <c r="L2325" s="118" t="str">
        <f>IF(K2325="yes",("Sorry, question "&amp;LEFT(E2325, 9)&amp;" is required!"),"")</f>
        <v>Sorry, question (14.13t)  is required!</v>
      </c>
      <c r="O2325" s="110" t="s">
        <v>1067</v>
      </c>
    </row>
    <row r="2326" spans="1:24" ht="14.25" customHeight="1">
      <c r="A2326" t="s">
        <v>15</v>
      </c>
      <c r="H2326" s="206">
        <f t="shared" si="321"/>
        <v>0</v>
      </c>
      <c r="L2326" s="118" t="str">
        <f t="shared" si="320"/>
        <v/>
      </c>
      <c r="O2326" s="110" t="s">
        <v>1067</v>
      </c>
      <c r="X2326" t="s">
        <v>3033</v>
      </c>
    </row>
    <row r="2327" spans="1:24" ht="14.25" customHeight="1">
      <c r="A2327" t="s">
        <v>12</v>
      </c>
      <c r="B2327" t="s">
        <v>3446</v>
      </c>
      <c r="H2327" s="206">
        <f t="shared" si="321"/>
        <v>0</v>
      </c>
      <c r="J2327" s="106" t="s">
        <v>13</v>
      </c>
      <c r="L2327" s="118" t="str">
        <f t="shared" si="320"/>
        <v/>
      </c>
      <c r="X2327" t="s">
        <v>3033</v>
      </c>
    </row>
    <row r="2328" spans="1:24" ht="14.25" customHeight="1">
      <c r="A2328" t="s">
        <v>23</v>
      </c>
      <c r="B2328" t="s">
        <v>1361</v>
      </c>
      <c r="E2328" s="118" t="s">
        <v>2088</v>
      </c>
      <c r="H2328" s="206" t="str">
        <f t="shared" si="321"/>
        <v>(14.14t) In the past 30 days, has the item been out of stock at any time?</v>
      </c>
      <c r="I2328" s="213" t="str">
        <f t="shared" si="322"/>
        <v>select_one yesno</v>
      </c>
      <c r="J2328" s="106" t="s">
        <v>4457</v>
      </c>
      <c r="K2328" s="116" t="s">
        <v>2443</v>
      </c>
      <c r="L2328" s="118" t="str">
        <f>IF(K2328="yes",("Sorry, question "&amp;LEFT(E2328, 9)&amp;" is required!"),"")</f>
        <v>Sorry, question (14.14t)  is required!</v>
      </c>
      <c r="O2328" s="110" t="s">
        <v>1915</v>
      </c>
    </row>
    <row r="2329" spans="1:24" ht="14.25" customHeight="1">
      <c r="A2329" t="s">
        <v>14</v>
      </c>
      <c r="B2329" t="s">
        <v>1362</v>
      </c>
      <c r="E2329" s="118" t="s">
        <v>2089</v>
      </c>
      <c r="F2329" s="118" t="s">
        <v>3383</v>
      </c>
      <c r="H2329" s="206" t="str">
        <f t="shared" si="321"/>
        <v>(14.15t) In the past 30 days, how many days has the item been out of stock?</v>
      </c>
      <c r="I2329" s="213" t="str">
        <f t="shared" si="322"/>
        <v>integer</v>
      </c>
      <c r="J2329" s="106" t="s">
        <v>3379</v>
      </c>
      <c r="K2329" s="116" t="s">
        <v>2443</v>
      </c>
      <c r="L2329" s="118" t="str">
        <f>IF(K2329="yes",("Sorry, question "&amp;LEFT(E2329, 9)&amp;" is required!"),"")</f>
        <v>Sorry, question (14.15t)  is required!</v>
      </c>
      <c r="M2329" s="113" t="s">
        <v>3598</v>
      </c>
      <c r="N2329" s="1" t="s">
        <v>4102</v>
      </c>
      <c r="O2329" s="110" t="s">
        <v>3663</v>
      </c>
    </row>
    <row r="2330" spans="1:24" ht="14.25" customHeight="1">
      <c r="A2330" t="s">
        <v>15</v>
      </c>
      <c r="H2330" s="206">
        <f t="shared" si="321"/>
        <v>0</v>
      </c>
      <c r="L2330" s="118" t="str">
        <f t="shared" ref="L2330:L2340" si="323">IF(A2330="integer",("Sorry, question "&amp;LEFT(E2330, 8)&amp;" is required!"),"")</f>
        <v/>
      </c>
      <c r="O2330" s="110" t="s">
        <v>1067</v>
      </c>
      <c r="X2330" t="s">
        <v>3033</v>
      </c>
    </row>
    <row r="2331" spans="1:24" ht="14.25" customHeight="1">
      <c r="A2331" t="s">
        <v>12</v>
      </c>
      <c r="B2331" t="s">
        <v>3346</v>
      </c>
      <c r="H2331" s="206">
        <f t="shared" si="321"/>
        <v>0</v>
      </c>
      <c r="J2331" s="106" t="s">
        <v>3526</v>
      </c>
      <c r="L2331" s="118" t="str">
        <f t="shared" si="323"/>
        <v/>
      </c>
      <c r="X2331" t="s">
        <v>3033</v>
      </c>
    </row>
    <row r="2332" spans="1:24" ht="14.25" customHeight="1">
      <c r="A2332" t="s">
        <v>17</v>
      </c>
      <c r="B2332" t="s">
        <v>1363</v>
      </c>
      <c r="E2332" s="118" t="s">
        <v>4178</v>
      </c>
      <c r="H2332" s="206" t="str">
        <f t="shared" ref="H2332:H2395" si="324">E2332</f>
        <v>&lt;font color='#000000'&gt;&lt;b&gt;Streptomycin&lt;/b&gt;&lt;/f&gt;</v>
      </c>
      <c r="I2332" s="213" t="str">
        <f t="shared" si="322"/>
        <v>note</v>
      </c>
      <c r="J2332" s="106" t="s">
        <v>3528</v>
      </c>
      <c r="L2332" s="118" t="str">
        <f t="shared" si="323"/>
        <v/>
      </c>
      <c r="O2332" s="110" t="s">
        <v>1067</v>
      </c>
    </row>
    <row r="2333" spans="1:24" ht="14.25" customHeight="1">
      <c r="A2333" t="s">
        <v>14</v>
      </c>
      <c r="B2333" t="s">
        <v>3116</v>
      </c>
      <c r="E2333" s="118" t="s">
        <v>2023</v>
      </c>
      <c r="F2333" s="118" t="s">
        <v>3313</v>
      </c>
      <c r="H2333" s="206" t="str">
        <f t="shared" si="324"/>
        <v xml:space="preserve">(14.13u) What quantity of Streptomycin are available at this time? </v>
      </c>
      <c r="I2333" s="213" t="str">
        <f t="shared" si="322"/>
        <v>integer</v>
      </c>
      <c r="J2333" s="106" t="s">
        <v>3372</v>
      </c>
      <c r="K2333" s="116" t="s">
        <v>2443</v>
      </c>
      <c r="L2333" s="118" t="str">
        <f>IF(K2333="yes",("Sorry, question "&amp;LEFT(E2333, 9)&amp;" is required!"),"")</f>
        <v>Sorry, question (14.13u)  is required!</v>
      </c>
      <c r="O2333" s="110" t="s">
        <v>1067</v>
      </c>
    </row>
    <row r="2334" spans="1:24" ht="14.25" customHeight="1">
      <c r="A2334" t="s">
        <v>15</v>
      </c>
      <c r="H2334" s="206">
        <f t="shared" si="324"/>
        <v>0</v>
      </c>
      <c r="L2334" s="118" t="str">
        <f t="shared" si="323"/>
        <v/>
      </c>
      <c r="O2334" s="110" t="s">
        <v>1067</v>
      </c>
      <c r="X2334" t="s">
        <v>3033</v>
      </c>
    </row>
    <row r="2335" spans="1:24" ht="14.25" customHeight="1">
      <c r="A2335" t="s">
        <v>12</v>
      </c>
      <c r="B2335" t="s">
        <v>3447</v>
      </c>
      <c r="H2335" s="206">
        <f t="shared" si="324"/>
        <v>0</v>
      </c>
      <c r="J2335" s="106" t="s">
        <v>13</v>
      </c>
      <c r="L2335" s="118" t="str">
        <f t="shared" si="323"/>
        <v/>
      </c>
      <c r="X2335" t="s">
        <v>3033</v>
      </c>
    </row>
    <row r="2336" spans="1:24" ht="14.25" customHeight="1">
      <c r="A2336" t="s">
        <v>23</v>
      </c>
      <c r="B2336" t="s">
        <v>1364</v>
      </c>
      <c r="E2336" s="118" t="s">
        <v>2090</v>
      </c>
      <c r="H2336" s="206" t="str">
        <f t="shared" si="324"/>
        <v>(14.14u) In the past 30 days, has the item been out of stock at any time?</v>
      </c>
      <c r="I2336" s="213" t="str">
        <f t="shared" si="322"/>
        <v>select_one yesno</v>
      </c>
      <c r="J2336" s="106" t="s">
        <v>4457</v>
      </c>
      <c r="K2336" s="116" t="s">
        <v>2443</v>
      </c>
      <c r="L2336" s="118" t="str">
        <f>IF(K2336="yes",("Sorry, question "&amp;LEFT(E2336, 9)&amp;" is required!"),"")</f>
        <v>Sorry, question (14.14u)  is required!</v>
      </c>
      <c r="O2336" s="110" t="s">
        <v>1916</v>
      </c>
    </row>
    <row r="2337" spans="1:24" ht="14.25" customHeight="1">
      <c r="A2337" t="s">
        <v>14</v>
      </c>
      <c r="B2337" t="s">
        <v>1365</v>
      </c>
      <c r="E2337" s="118" t="s">
        <v>2091</v>
      </c>
      <c r="H2337" s="206" t="str">
        <f t="shared" si="324"/>
        <v>(14.15u) In the past 30 days, how many days has the item been out of stock?</v>
      </c>
      <c r="I2337" s="213" t="str">
        <f t="shared" si="322"/>
        <v>integer</v>
      </c>
      <c r="J2337" s="106" t="s">
        <v>3379</v>
      </c>
      <c r="K2337" s="116" t="s">
        <v>2443</v>
      </c>
      <c r="L2337" s="118" t="str">
        <f>IF(K2337="yes",("Sorry, question "&amp;LEFT(E2337, 9)&amp;" is required!"),"")</f>
        <v>Sorry, question (14.15u)  is required!</v>
      </c>
      <c r="M2337" s="113" t="s">
        <v>3598</v>
      </c>
      <c r="N2337" s="1" t="s">
        <v>4103</v>
      </c>
      <c r="O2337" s="110" t="s">
        <v>3664</v>
      </c>
    </row>
    <row r="2338" spans="1:24" ht="14.25" customHeight="1">
      <c r="A2338" t="s">
        <v>15</v>
      </c>
      <c r="H2338" s="206">
        <f t="shared" si="324"/>
        <v>0</v>
      </c>
      <c r="L2338" s="118" t="str">
        <f t="shared" si="323"/>
        <v/>
      </c>
      <c r="O2338" s="110" t="s">
        <v>1067</v>
      </c>
      <c r="X2338" t="s">
        <v>3033</v>
      </c>
    </row>
    <row r="2339" spans="1:24" ht="14.25" customHeight="1">
      <c r="A2339" t="s">
        <v>12</v>
      </c>
      <c r="B2339" t="s">
        <v>3345</v>
      </c>
      <c r="H2339" s="206">
        <f t="shared" si="324"/>
        <v>0</v>
      </c>
      <c r="J2339" s="106" t="s">
        <v>3526</v>
      </c>
      <c r="L2339" s="118" t="str">
        <f t="shared" si="323"/>
        <v/>
      </c>
      <c r="X2339" t="s">
        <v>3033</v>
      </c>
    </row>
    <row r="2340" spans="1:24" ht="14.25" customHeight="1">
      <c r="A2340" t="s">
        <v>17</v>
      </c>
      <c r="B2340" t="s">
        <v>1366</v>
      </c>
      <c r="E2340" s="118" t="s">
        <v>4179</v>
      </c>
      <c r="H2340" s="206" t="str">
        <f t="shared" si="324"/>
        <v>&lt;font color='#000000'&gt;&lt;b&gt; Isoniazid (INH)&lt;/b&gt;&lt;/f&gt;</v>
      </c>
      <c r="I2340" s="213" t="str">
        <f t="shared" si="322"/>
        <v>note</v>
      </c>
      <c r="J2340" s="106" t="s">
        <v>3528</v>
      </c>
      <c r="L2340" s="118" t="str">
        <f t="shared" si="323"/>
        <v/>
      </c>
      <c r="O2340" s="110" t="s">
        <v>1067</v>
      </c>
    </row>
    <row r="2341" spans="1:24" ht="14.25" customHeight="1">
      <c r="A2341" t="s">
        <v>14</v>
      </c>
      <c r="B2341" t="s">
        <v>1367</v>
      </c>
      <c r="E2341" s="118" t="s">
        <v>3448</v>
      </c>
      <c r="F2341" s="118" t="s">
        <v>3313</v>
      </c>
      <c r="H2341" s="206" t="str">
        <f t="shared" si="324"/>
        <v xml:space="preserve">(14.13v) What quantity of Isoniazid (INH) are available at this time? </v>
      </c>
      <c r="I2341" s="213" t="str">
        <f t="shared" si="322"/>
        <v>integer</v>
      </c>
      <c r="J2341" s="106" t="s">
        <v>3372</v>
      </c>
      <c r="K2341" s="116" t="s">
        <v>2443</v>
      </c>
      <c r="L2341" s="118" t="str">
        <f>IF(K2341="yes",("Sorry, question "&amp;LEFT(E2341, 9)&amp;" is required!"),"")</f>
        <v>Sorry, question (14.13v)  is required!</v>
      </c>
      <c r="O2341" s="110" t="s">
        <v>1067</v>
      </c>
    </row>
    <row r="2342" spans="1:24" ht="15">
      <c r="A2342" t="s">
        <v>15</v>
      </c>
      <c r="H2342" s="206">
        <f t="shared" si="324"/>
        <v>0</v>
      </c>
    </row>
    <row r="2343" spans="1:24" ht="14.25" customHeight="1">
      <c r="A2343" t="s">
        <v>12</v>
      </c>
      <c r="B2343" t="s">
        <v>3449</v>
      </c>
      <c r="H2343" s="206">
        <f t="shared" si="324"/>
        <v>0</v>
      </c>
      <c r="J2343" s="106" t="s">
        <v>13</v>
      </c>
      <c r="X2343" t="s">
        <v>3033</v>
      </c>
    </row>
    <row r="2344" spans="1:24" ht="14.25" customHeight="1">
      <c r="A2344" t="s">
        <v>23</v>
      </c>
      <c r="B2344" t="s">
        <v>1368</v>
      </c>
      <c r="E2344" s="118" t="s">
        <v>2092</v>
      </c>
      <c r="H2344" s="206" t="str">
        <f t="shared" si="324"/>
        <v>(14.14v) In the past 30 days, has the item been out of stock at any time?</v>
      </c>
      <c r="I2344" s="213" t="str">
        <f t="shared" si="322"/>
        <v>select_one yesno</v>
      </c>
      <c r="J2344" s="106" t="s">
        <v>4457</v>
      </c>
      <c r="K2344" s="116" t="s">
        <v>2443</v>
      </c>
      <c r="L2344" s="118" t="str">
        <f>IF(K2344="yes",("Sorry, question "&amp;LEFT(E2344, 9)&amp;" is required!"),"")</f>
        <v>Sorry, question (14.14v)  is required!</v>
      </c>
      <c r="O2344" s="110" t="s">
        <v>1917</v>
      </c>
    </row>
    <row r="2345" spans="1:24" ht="14.25" customHeight="1">
      <c r="A2345" t="s">
        <v>14</v>
      </c>
      <c r="B2345" t="s">
        <v>1369</v>
      </c>
      <c r="E2345" s="118" t="s">
        <v>2093</v>
      </c>
      <c r="F2345" s="118" t="s">
        <v>3383</v>
      </c>
      <c r="H2345" s="206" t="str">
        <f t="shared" si="324"/>
        <v>(14.15v) In the past 30 days, how many days has the item been out of stock?</v>
      </c>
      <c r="I2345" s="213" t="str">
        <f t="shared" si="322"/>
        <v>integer</v>
      </c>
      <c r="J2345" s="106" t="s">
        <v>3379</v>
      </c>
      <c r="K2345" s="116" t="s">
        <v>2443</v>
      </c>
      <c r="L2345" s="118" t="str">
        <f>IF(K2345="yes",("Sorry, question "&amp;LEFT(E2345, 9)&amp;" is required!"),"")</f>
        <v>Sorry, question (14.15v)  is required!</v>
      </c>
      <c r="M2345" s="113" t="s">
        <v>3598</v>
      </c>
      <c r="N2345" s="1" t="s">
        <v>4104</v>
      </c>
      <c r="O2345" s="110" t="s">
        <v>3665</v>
      </c>
    </row>
    <row r="2346" spans="1:24" ht="14.25" customHeight="1">
      <c r="A2346" t="s">
        <v>15</v>
      </c>
      <c r="H2346" s="206">
        <f t="shared" si="324"/>
        <v>0</v>
      </c>
    </row>
    <row r="2347" spans="1:24" ht="14.25" customHeight="1">
      <c r="A2347" t="s">
        <v>12</v>
      </c>
      <c r="B2347" t="s">
        <v>3341</v>
      </c>
      <c r="H2347" s="206">
        <f t="shared" si="324"/>
        <v>0</v>
      </c>
      <c r="J2347" s="106" t="s">
        <v>3526</v>
      </c>
      <c r="X2347" t="s">
        <v>3033</v>
      </c>
    </row>
    <row r="2348" spans="1:24" ht="14.25" customHeight="1">
      <c r="A2348" t="s">
        <v>17</v>
      </c>
      <c r="B2348" t="s">
        <v>1370</v>
      </c>
      <c r="E2348" s="118" t="s">
        <v>4180</v>
      </c>
      <c r="H2348" s="206" t="str">
        <f t="shared" si="324"/>
        <v>&lt;font color='#000000'&gt;&lt;b&gt;Pyrazinamide&lt;/b&gt;&lt;/f&gt;</v>
      </c>
      <c r="I2348" s="213" t="str">
        <f t="shared" si="322"/>
        <v>note</v>
      </c>
      <c r="J2348" s="106" t="s">
        <v>3528</v>
      </c>
      <c r="O2348" s="110" t="s">
        <v>1067</v>
      </c>
    </row>
    <row r="2349" spans="1:24" ht="14.25" customHeight="1">
      <c r="A2349" t="s">
        <v>14</v>
      </c>
      <c r="B2349" t="s">
        <v>1371</v>
      </c>
      <c r="E2349" s="118" t="s">
        <v>2024</v>
      </c>
      <c r="F2349" s="118" t="s">
        <v>3313</v>
      </c>
      <c r="H2349" s="206" t="str">
        <f t="shared" si="324"/>
        <v xml:space="preserve">(14.13w) What quantity of Pyrazinamide are available at this time? </v>
      </c>
      <c r="I2349" s="213" t="str">
        <f t="shared" si="322"/>
        <v>integer</v>
      </c>
      <c r="J2349" s="106" t="s">
        <v>3372</v>
      </c>
      <c r="K2349" s="116" t="s">
        <v>2443</v>
      </c>
      <c r="L2349" s="118" t="str">
        <f>IF(K2349="yes",("Sorry, question "&amp;LEFT(E2349, 9)&amp;" is required!"),"")</f>
        <v>Sorry, question (14.13w)  is required!</v>
      </c>
      <c r="O2349" s="110" t="s">
        <v>1067</v>
      </c>
    </row>
    <row r="2350" spans="1:24" ht="15">
      <c r="A2350" t="s">
        <v>15</v>
      </c>
      <c r="H2350" s="206">
        <f t="shared" si="324"/>
        <v>0</v>
      </c>
    </row>
    <row r="2351" spans="1:24" ht="14.25" customHeight="1">
      <c r="A2351" t="s">
        <v>12</v>
      </c>
      <c r="B2351" t="s">
        <v>3453</v>
      </c>
      <c r="H2351" s="206">
        <f t="shared" si="324"/>
        <v>0</v>
      </c>
      <c r="J2351" s="106" t="s">
        <v>13</v>
      </c>
      <c r="X2351" t="s">
        <v>3033</v>
      </c>
    </row>
    <row r="2352" spans="1:24" ht="14.25" customHeight="1">
      <c r="A2352" t="s">
        <v>23</v>
      </c>
      <c r="B2352" t="s">
        <v>1372</v>
      </c>
      <c r="E2352" s="118" t="s">
        <v>2094</v>
      </c>
      <c r="H2352" s="206" t="str">
        <f t="shared" si="324"/>
        <v>(14.14w) In the past 30 days, has the item been out of stock at any time?</v>
      </c>
      <c r="I2352" s="213" t="str">
        <f t="shared" si="322"/>
        <v>select_one yesno</v>
      </c>
      <c r="J2352" s="106" t="s">
        <v>4457</v>
      </c>
      <c r="K2352" s="116" t="s">
        <v>2443</v>
      </c>
      <c r="L2352" s="118" t="str">
        <f>IF(K2352="yes",("Sorry, question "&amp;LEFT(E2352, 9)&amp;" is required!"),"")</f>
        <v>Sorry, question (14.14w)  is required!</v>
      </c>
      <c r="O2352" s="110" t="s">
        <v>1918</v>
      </c>
    </row>
    <row r="2353" spans="1:24" ht="14.25" customHeight="1">
      <c r="A2353" t="s">
        <v>14</v>
      </c>
      <c r="B2353" t="s">
        <v>1373</v>
      </c>
      <c r="E2353" s="118" t="s">
        <v>2095</v>
      </c>
      <c r="F2353" s="118" t="s">
        <v>3383</v>
      </c>
      <c r="H2353" s="206" t="str">
        <f t="shared" si="324"/>
        <v>(14.15w) In the past 30 days, how many days has the item been out of stock?</v>
      </c>
      <c r="I2353" s="213" t="str">
        <f t="shared" si="322"/>
        <v>integer</v>
      </c>
      <c r="J2353" s="106" t="s">
        <v>3379</v>
      </c>
      <c r="K2353" s="116" t="s">
        <v>2443</v>
      </c>
      <c r="L2353" s="118" t="str">
        <f t="shared" ref="L2353" si="325">"Sorry, question "&amp;LEFT(E2353, 8)&amp;" is required!"</f>
        <v>Sorry, question (14.15w) is required!</v>
      </c>
      <c r="M2353" s="113" t="s">
        <v>3598</v>
      </c>
      <c r="N2353" s="1" t="s">
        <v>4105</v>
      </c>
      <c r="O2353" s="110" t="s">
        <v>3666</v>
      </c>
    </row>
    <row r="2354" spans="1:24" ht="14.25" customHeight="1">
      <c r="A2354" t="s">
        <v>15</v>
      </c>
      <c r="H2354" s="206">
        <f t="shared" si="324"/>
        <v>0</v>
      </c>
    </row>
    <row r="2355" spans="1:24" ht="14.25" customHeight="1">
      <c r="A2355" t="s">
        <v>12</v>
      </c>
      <c r="B2355" t="s">
        <v>3344</v>
      </c>
      <c r="H2355" s="206">
        <f t="shared" si="324"/>
        <v>0</v>
      </c>
      <c r="J2355" s="106" t="s">
        <v>3526</v>
      </c>
      <c r="X2355" t="s">
        <v>3033</v>
      </c>
    </row>
    <row r="2356" spans="1:24" ht="14.25" customHeight="1">
      <c r="A2356" t="s">
        <v>17</v>
      </c>
      <c r="B2356" t="s">
        <v>1374</v>
      </c>
      <c r="E2356" s="118" t="s">
        <v>4181</v>
      </c>
      <c r="H2356" s="206" t="str">
        <f t="shared" si="324"/>
        <v>&lt;font color='#000000'&gt;&lt;b&gt;Ethambutal&lt;/b&gt;&lt;/f&gt;</v>
      </c>
      <c r="I2356" s="213" t="str">
        <f t="shared" si="322"/>
        <v>note</v>
      </c>
      <c r="J2356" s="106" t="s">
        <v>3528</v>
      </c>
      <c r="O2356" s="110" t="s">
        <v>1067</v>
      </c>
    </row>
    <row r="2357" spans="1:24" ht="14.25" customHeight="1">
      <c r="A2357" t="s">
        <v>14</v>
      </c>
      <c r="B2357" t="s">
        <v>1375</v>
      </c>
      <c r="E2357" s="118" t="s">
        <v>2025</v>
      </c>
      <c r="F2357" s="118" t="s">
        <v>3313</v>
      </c>
      <c r="H2357" s="206" t="str">
        <f t="shared" si="324"/>
        <v xml:space="preserve">(14.13x) What quantity of Ethambutal are available at this time? </v>
      </c>
      <c r="I2357" s="213" t="str">
        <f t="shared" si="322"/>
        <v>integer</v>
      </c>
      <c r="J2357" s="106" t="s">
        <v>3372</v>
      </c>
      <c r="K2357" s="116" t="s">
        <v>2443</v>
      </c>
      <c r="L2357" s="118" t="str">
        <f t="shared" ref="L2357" si="326">"Sorry, question "&amp;LEFT(E2357, 8)&amp;" is required!"</f>
        <v>Sorry, question (14.13x) is required!</v>
      </c>
      <c r="O2357" s="110" t="s">
        <v>1067</v>
      </c>
    </row>
    <row r="2358" spans="1:24" ht="14.25" customHeight="1">
      <c r="A2358" t="s">
        <v>15</v>
      </c>
      <c r="H2358" s="206">
        <f t="shared" si="324"/>
        <v>0</v>
      </c>
      <c r="O2358" s="110" t="s">
        <v>1067</v>
      </c>
      <c r="X2358" t="s">
        <v>3033</v>
      </c>
    </row>
    <row r="2359" spans="1:24" ht="14.25" customHeight="1">
      <c r="A2359" t="s">
        <v>12</v>
      </c>
      <c r="B2359" t="s">
        <v>3450</v>
      </c>
      <c r="H2359" s="206">
        <f t="shared" si="324"/>
        <v>0</v>
      </c>
      <c r="J2359" s="106" t="s">
        <v>13</v>
      </c>
      <c r="X2359" t="s">
        <v>3033</v>
      </c>
    </row>
    <row r="2360" spans="1:24" ht="14.25" customHeight="1">
      <c r="A2360" t="s">
        <v>23</v>
      </c>
      <c r="B2360" t="s">
        <v>1376</v>
      </c>
      <c r="E2360" s="118" t="s">
        <v>2096</v>
      </c>
      <c r="H2360" s="206" t="str">
        <f t="shared" si="324"/>
        <v>(14.14x) In the past 30 days, has the item been out of stock at any time?</v>
      </c>
      <c r="I2360" s="213" t="str">
        <f t="shared" si="322"/>
        <v>select_one yesno</v>
      </c>
      <c r="J2360" s="106" t="s">
        <v>4457</v>
      </c>
      <c r="K2360" s="116" t="s">
        <v>2443</v>
      </c>
      <c r="L2360" s="118" t="str">
        <f t="shared" ref="L2360:L2361" si="327">"Sorry, question "&amp;LEFT(E2360, 8)&amp;" is required!"</f>
        <v>Sorry, question (14.14x) is required!</v>
      </c>
      <c r="O2360" s="110" t="s">
        <v>1919</v>
      </c>
    </row>
    <row r="2361" spans="1:24" ht="14.25" customHeight="1">
      <c r="A2361" t="s">
        <v>14</v>
      </c>
      <c r="B2361" t="s">
        <v>1377</v>
      </c>
      <c r="E2361" s="118" t="s">
        <v>2097</v>
      </c>
      <c r="F2361" s="118" t="s">
        <v>3383</v>
      </c>
      <c r="H2361" s="206" t="str">
        <f t="shared" si="324"/>
        <v>(14.15x) In the past 30 days, how many days has the item been out of stock?</v>
      </c>
      <c r="I2361" s="213" t="str">
        <f t="shared" si="322"/>
        <v>integer</v>
      </c>
      <c r="J2361" s="106" t="s">
        <v>3379</v>
      </c>
      <c r="K2361" s="116" t="s">
        <v>2443</v>
      </c>
      <c r="L2361" s="118" t="str">
        <f t="shared" si="327"/>
        <v>Sorry, question (14.15x) is required!</v>
      </c>
      <c r="M2361" s="113" t="s">
        <v>3598</v>
      </c>
      <c r="N2361" s="1" t="s">
        <v>4106</v>
      </c>
      <c r="O2361" s="110" t="s">
        <v>3667</v>
      </c>
    </row>
    <row r="2362" spans="1:24" ht="14.25" customHeight="1">
      <c r="A2362" t="s">
        <v>15</v>
      </c>
      <c r="H2362" s="206">
        <f t="shared" si="324"/>
        <v>0</v>
      </c>
      <c r="O2362" s="110" t="s">
        <v>1067</v>
      </c>
      <c r="X2362" t="s">
        <v>3033</v>
      </c>
    </row>
    <row r="2363" spans="1:24" ht="14.25" customHeight="1">
      <c r="A2363" t="s">
        <v>12</v>
      </c>
      <c r="B2363" t="s">
        <v>3343</v>
      </c>
      <c r="H2363" s="206">
        <f t="shared" si="324"/>
        <v>0</v>
      </c>
      <c r="J2363" s="106" t="s">
        <v>3526</v>
      </c>
      <c r="X2363" t="s">
        <v>3033</v>
      </c>
    </row>
    <row r="2364" spans="1:24" ht="14.25" customHeight="1">
      <c r="A2364" t="s">
        <v>17</v>
      </c>
      <c r="B2364" t="s">
        <v>1378</v>
      </c>
      <c r="E2364" s="118" t="s">
        <v>4182</v>
      </c>
      <c r="H2364" s="206" t="str">
        <f t="shared" si="324"/>
        <v>&lt;font color='#000000'&gt;&lt;b&gt;Combitabs (Multidrug tabs)&lt;/b&gt;&lt;/f&gt;</v>
      </c>
      <c r="I2364" s="213" t="str">
        <f t="shared" si="322"/>
        <v>note</v>
      </c>
      <c r="J2364" s="106" t="s">
        <v>3528</v>
      </c>
      <c r="O2364" s="110" t="s">
        <v>1067</v>
      </c>
    </row>
    <row r="2365" spans="1:24" ht="14.25" customHeight="1">
      <c r="A2365" t="s">
        <v>14</v>
      </c>
      <c r="B2365" t="s">
        <v>1379</v>
      </c>
      <c r="E2365" s="118" t="s">
        <v>2026</v>
      </c>
      <c r="F2365" s="118" t="s">
        <v>3313</v>
      </c>
      <c r="H2365" s="206" t="str">
        <f t="shared" si="324"/>
        <v xml:space="preserve">(14.13y) What quantity of Combitabs (Multidrug tabs) are available at this time? </v>
      </c>
      <c r="I2365" s="213" t="str">
        <f t="shared" si="322"/>
        <v>integer</v>
      </c>
      <c r="J2365" s="106" t="s">
        <v>3372</v>
      </c>
      <c r="K2365" s="116" t="s">
        <v>2443</v>
      </c>
      <c r="L2365" s="118" t="str">
        <f>"Sorry, question "&amp;LEFT(E2365, 8)&amp;" is required!"</f>
        <v>Sorry, question (14.13y) is required!</v>
      </c>
      <c r="O2365" s="110" t="s">
        <v>1067</v>
      </c>
    </row>
    <row r="2366" spans="1:24" ht="14.25" customHeight="1">
      <c r="A2366" t="s">
        <v>15</v>
      </c>
      <c r="H2366" s="206">
        <f t="shared" si="324"/>
        <v>0</v>
      </c>
      <c r="O2366" s="110" t="s">
        <v>1067</v>
      </c>
      <c r="X2366" t="s">
        <v>3033</v>
      </c>
    </row>
    <row r="2367" spans="1:24" ht="14.25" customHeight="1">
      <c r="A2367" t="s">
        <v>12</v>
      </c>
      <c r="B2367" t="s">
        <v>3451</v>
      </c>
      <c r="H2367" s="206">
        <f t="shared" si="324"/>
        <v>0</v>
      </c>
      <c r="J2367" s="106" t="s">
        <v>13</v>
      </c>
      <c r="X2367" t="s">
        <v>3033</v>
      </c>
    </row>
    <row r="2368" spans="1:24" ht="14.25" customHeight="1">
      <c r="A2368" t="s">
        <v>23</v>
      </c>
      <c r="B2368" t="s">
        <v>1380</v>
      </c>
      <c r="E2368" s="118" t="s">
        <v>2098</v>
      </c>
      <c r="H2368" s="206" t="str">
        <f t="shared" si="324"/>
        <v>(14.14y) In the past 30 days, has the item been out of stock at any time?</v>
      </c>
      <c r="I2368" s="213" t="str">
        <f t="shared" si="322"/>
        <v>select_one yesno</v>
      </c>
      <c r="J2368" s="106" t="s">
        <v>4457</v>
      </c>
      <c r="K2368" s="116" t="s">
        <v>2443</v>
      </c>
      <c r="L2368" s="118" t="str">
        <f t="shared" ref="L2368:L2369" si="328">"Sorry, question "&amp;LEFT(E2368, 8)&amp;" is required!"</f>
        <v>Sorry, question (14.14y) is required!</v>
      </c>
      <c r="O2368" s="110" t="s">
        <v>1920</v>
      </c>
    </row>
    <row r="2369" spans="1:24" ht="14.25" customHeight="1">
      <c r="A2369" t="s">
        <v>14</v>
      </c>
      <c r="B2369" t="s">
        <v>1381</v>
      </c>
      <c r="E2369" s="118" t="s">
        <v>2099</v>
      </c>
      <c r="F2369" s="118" t="s">
        <v>3383</v>
      </c>
      <c r="H2369" s="206" t="str">
        <f t="shared" si="324"/>
        <v>(14.15y) In the past 30 days, how many days has the item been out of stock?</v>
      </c>
      <c r="I2369" s="213" t="str">
        <f t="shared" ref="I2369:I2432" si="329">A2369</f>
        <v>integer</v>
      </c>
      <c r="J2369" s="106" t="s">
        <v>3379</v>
      </c>
      <c r="K2369" s="116" t="s">
        <v>2443</v>
      </c>
      <c r="L2369" s="118" t="str">
        <f t="shared" si="328"/>
        <v>Sorry, question (14.15y) is required!</v>
      </c>
      <c r="M2369" s="113" t="s">
        <v>3598</v>
      </c>
      <c r="N2369" s="1" t="s">
        <v>4107</v>
      </c>
      <c r="O2369" s="110" t="s">
        <v>3668</v>
      </c>
    </row>
    <row r="2370" spans="1:24" ht="14.25" customHeight="1">
      <c r="A2370" t="s">
        <v>15</v>
      </c>
      <c r="H2370" s="206">
        <f t="shared" si="324"/>
        <v>0</v>
      </c>
      <c r="O2370" s="110" t="s">
        <v>1067</v>
      </c>
      <c r="X2370" t="s">
        <v>3033</v>
      </c>
    </row>
    <row r="2371" spans="1:24" ht="14.25" customHeight="1">
      <c r="A2371" t="s">
        <v>12</v>
      </c>
      <c r="B2371" t="s">
        <v>3342</v>
      </c>
      <c r="H2371" s="206">
        <f t="shared" si="324"/>
        <v>0</v>
      </c>
      <c r="J2371" s="106" t="s">
        <v>3526</v>
      </c>
      <c r="X2371" t="s">
        <v>3033</v>
      </c>
    </row>
    <row r="2372" spans="1:24" ht="14.25" customHeight="1">
      <c r="A2372" t="s">
        <v>17</v>
      </c>
      <c r="B2372" t="s">
        <v>1382</v>
      </c>
      <c r="E2372" s="118" t="s">
        <v>4183</v>
      </c>
      <c r="H2372" s="206" t="str">
        <f t="shared" si="324"/>
        <v>&lt;font color='#000000'&gt;&lt;b&gt;Diagnostic kits&lt;/b&gt;&lt;/f&gt;</v>
      </c>
      <c r="I2372" s="213" t="str">
        <f t="shared" si="329"/>
        <v>note</v>
      </c>
      <c r="J2372" s="106" t="s">
        <v>3528</v>
      </c>
      <c r="O2372" s="110" t="s">
        <v>1067</v>
      </c>
    </row>
    <row r="2373" spans="1:24" ht="14.25" customHeight="1">
      <c r="A2373" t="s">
        <v>14</v>
      </c>
      <c r="B2373" t="s">
        <v>1383</v>
      </c>
      <c r="E2373" s="118" t="s">
        <v>2027</v>
      </c>
      <c r="F2373" s="118" t="s">
        <v>3313</v>
      </c>
      <c r="H2373" s="206" t="str">
        <f t="shared" si="324"/>
        <v xml:space="preserve">(14.13z) What quantity of Diagnostic kits are available at this time? </v>
      </c>
      <c r="I2373" s="213" t="str">
        <f t="shared" si="329"/>
        <v>integer</v>
      </c>
      <c r="J2373" s="106" t="s">
        <v>3372</v>
      </c>
      <c r="K2373" s="116" t="s">
        <v>2443</v>
      </c>
      <c r="L2373" s="118" t="str">
        <f>"Sorry, question "&amp;LEFT(E2373, 8)&amp;" is required!"</f>
        <v>Sorry, question (14.13z) is required!</v>
      </c>
      <c r="O2373" s="110" t="s">
        <v>1067</v>
      </c>
    </row>
    <row r="2374" spans="1:24" ht="14.25" customHeight="1">
      <c r="A2374" t="s">
        <v>15</v>
      </c>
      <c r="H2374" s="206">
        <f t="shared" si="324"/>
        <v>0</v>
      </c>
      <c r="O2374" s="110" t="s">
        <v>1067</v>
      </c>
      <c r="X2374" t="s">
        <v>3033</v>
      </c>
    </row>
    <row r="2375" spans="1:24" ht="14.25" customHeight="1">
      <c r="A2375" t="s">
        <v>12</v>
      </c>
      <c r="B2375" t="s">
        <v>3452</v>
      </c>
      <c r="H2375" s="206">
        <f t="shared" si="324"/>
        <v>0</v>
      </c>
      <c r="J2375" s="106" t="s">
        <v>13</v>
      </c>
      <c r="X2375" t="s">
        <v>3033</v>
      </c>
    </row>
    <row r="2376" spans="1:24" ht="14.25" customHeight="1">
      <c r="A2376" t="s">
        <v>23</v>
      </c>
      <c r="B2376" t="s">
        <v>1384</v>
      </c>
      <c r="E2376" s="118" t="s">
        <v>2100</v>
      </c>
      <c r="H2376" s="206" t="str">
        <f t="shared" si="324"/>
        <v>(14.14z) In the past 30 days, has the item been out of stock at any time?</v>
      </c>
      <c r="I2376" s="213" t="str">
        <f t="shared" si="329"/>
        <v>select_one yesno</v>
      </c>
      <c r="J2376" s="106" t="s">
        <v>4457</v>
      </c>
      <c r="K2376" s="116" t="s">
        <v>2443</v>
      </c>
      <c r="L2376" s="118" t="str">
        <f>"Sorry, question "&amp;LEFT(E2376, 8)&amp;" is required!"</f>
        <v>Sorry, question (14.14z) is required!</v>
      </c>
      <c r="O2376" s="110" t="s">
        <v>1921</v>
      </c>
    </row>
    <row r="2377" spans="1:24" ht="14.25" customHeight="1">
      <c r="A2377" t="s">
        <v>14</v>
      </c>
      <c r="B2377" t="s">
        <v>1385</v>
      </c>
      <c r="E2377" s="118" t="s">
        <v>2101</v>
      </c>
      <c r="F2377" s="118" t="s">
        <v>3383</v>
      </c>
      <c r="H2377" s="206" t="str">
        <f t="shared" si="324"/>
        <v>(14.15z) In the past 30 days, how many days has the item been out of stock?</v>
      </c>
      <c r="I2377" s="213" t="str">
        <f t="shared" si="329"/>
        <v>integer</v>
      </c>
      <c r="J2377" s="106" t="s">
        <v>3379</v>
      </c>
      <c r="K2377" s="116" t="s">
        <v>2443</v>
      </c>
      <c r="L2377" s="118" t="str">
        <f>"Sorry, question "&amp;LEFT(E2377, 8)&amp;" is required!"</f>
        <v>Sorry, question (14.15z) is required!</v>
      </c>
      <c r="M2377" s="113" t="s">
        <v>3598</v>
      </c>
      <c r="N2377" s="1" t="s">
        <v>4108</v>
      </c>
      <c r="O2377" s="110" t="s">
        <v>3669</v>
      </c>
    </row>
    <row r="2378" spans="1:24" ht="14.25" customHeight="1">
      <c r="A2378" t="s">
        <v>15</v>
      </c>
      <c r="H2378" s="206">
        <f t="shared" si="324"/>
        <v>0</v>
      </c>
      <c r="O2378" s="110" t="s">
        <v>1067</v>
      </c>
      <c r="X2378" t="s">
        <v>3033</v>
      </c>
    </row>
    <row r="2379" spans="1:24" ht="14.25" customHeight="1">
      <c r="A2379" t="s">
        <v>15</v>
      </c>
      <c r="H2379" s="206">
        <f t="shared" si="324"/>
        <v>0</v>
      </c>
      <c r="X2379" t="s">
        <v>3032</v>
      </c>
    </row>
    <row r="2380" spans="1:24" ht="14.25" customHeight="1">
      <c r="A2380" t="s">
        <v>12</v>
      </c>
      <c r="B2380" t="s">
        <v>3348</v>
      </c>
      <c r="E2380" s="118" t="s">
        <v>2803</v>
      </c>
      <c r="H2380" s="206" t="str">
        <f t="shared" si="324"/>
        <v>Vaccines</v>
      </c>
      <c r="X2380" t="s">
        <v>3032</v>
      </c>
    </row>
    <row r="2381" spans="1:24" ht="14.25" customHeight="1">
      <c r="A2381" t="s">
        <v>12</v>
      </c>
      <c r="B2381" t="s">
        <v>3349</v>
      </c>
      <c r="H2381" s="206">
        <f t="shared" si="324"/>
        <v>0</v>
      </c>
      <c r="J2381" s="106" t="s">
        <v>3526</v>
      </c>
      <c r="X2381" t="s">
        <v>3033</v>
      </c>
    </row>
    <row r="2382" spans="1:24" ht="14.25" customHeight="1">
      <c r="A2382" t="s">
        <v>17</v>
      </c>
      <c r="B2382" t="s">
        <v>3003</v>
      </c>
      <c r="E2382" s="118" t="s">
        <v>3560</v>
      </c>
      <c r="H2382" s="206" t="str">
        <f t="shared" si="324"/>
        <v xml:space="preserve">&lt;b&gt;&lt;font color='#610B0B'&gt;&lt;big&gt;VACCINES&lt;/big&gt;&lt;/font&gt;&lt;b&gt;
</v>
      </c>
      <c r="I2382" s="213" t="str">
        <f t="shared" si="329"/>
        <v>note</v>
      </c>
      <c r="J2382" s="106" t="s">
        <v>3528</v>
      </c>
    </row>
    <row r="2383" spans="1:24" ht="14.25" customHeight="1">
      <c r="A2383" t="s">
        <v>17</v>
      </c>
      <c r="B2383" t="s">
        <v>1398</v>
      </c>
      <c r="E2383" s="118" t="s">
        <v>4184</v>
      </c>
      <c r="H2383" s="206" t="str">
        <f t="shared" si="324"/>
        <v>&lt;font color='#000000'&gt;&lt;b&gt;Bacille Calmette-Guérin (BCG)&lt;/b&gt;&lt;/f&gt;</v>
      </c>
      <c r="I2383" s="213" t="str">
        <f t="shared" si="329"/>
        <v>note</v>
      </c>
      <c r="J2383" s="106" t="s">
        <v>3529</v>
      </c>
      <c r="O2383" s="110" t="s">
        <v>1067</v>
      </c>
    </row>
    <row r="2384" spans="1:24" ht="14.25" customHeight="1">
      <c r="A2384" t="s">
        <v>14</v>
      </c>
      <c r="B2384" t="s">
        <v>1399</v>
      </c>
      <c r="E2384" s="118" t="s">
        <v>2407</v>
      </c>
      <c r="F2384" s="118" t="s">
        <v>3313</v>
      </c>
      <c r="H2384" s="206" t="str">
        <f t="shared" si="324"/>
        <v xml:space="preserve">(14.13ae) What quantity of Bacille Calmette-Guérin (BCG) are available at this time? </v>
      </c>
      <c r="I2384" s="213" t="str">
        <f t="shared" si="329"/>
        <v>integer</v>
      </c>
      <c r="J2384" s="106" t="s">
        <v>3373</v>
      </c>
      <c r="K2384" s="116" t="s">
        <v>2443</v>
      </c>
      <c r="L2384" s="118" t="str">
        <f t="shared" ref="L2384" si="330">"Sorry, question "&amp;LEFT(E2384, 12)&amp;" is required!"</f>
        <v>Sorry, question (14.13ae) Wh is required!</v>
      </c>
      <c r="O2384" s="110" t="s">
        <v>1067</v>
      </c>
    </row>
    <row r="2385" spans="1:24" ht="14.25" customHeight="1">
      <c r="A2385" t="s">
        <v>15</v>
      </c>
      <c r="H2385" s="206">
        <f t="shared" si="324"/>
        <v>0</v>
      </c>
      <c r="O2385" s="110" t="s">
        <v>1067</v>
      </c>
      <c r="X2385" t="s">
        <v>3033</v>
      </c>
    </row>
    <row r="2386" spans="1:24" ht="14.25" customHeight="1">
      <c r="A2386" t="s">
        <v>12</v>
      </c>
      <c r="B2386" t="s">
        <v>3454</v>
      </c>
      <c r="H2386" s="206">
        <f t="shared" si="324"/>
        <v>0</v>
      </c>
      <c r="J2386" s="106" t="s">
        <v>13</v>
      </c>
      <c r="X2386" t="s">
        <v>3033</v>
      </c>
    </row>
    <row r="2387" spans="1:24" ht="14.25" customHeight="1">
      <c r="A2387" t="s">
        <v>23</v>
      </c>
      <c r="B2387" t="s">
        <v>1400</v>
      </c>
      <c r="E2387" s="118" t="s">
        <v>2036</v>
      </c>
      <c r="H2387" s="206" t="str">
        <f t="shared" si="324"/>
        <v>(14.14ae) In the past 30 days, has the item been out of stock at any time?</v>
      </c>
      <c r="I2387" s="213" t="str">
        <f t="shared" si="329"/>
        <v>select_one yesno</v>
      </c>
      <c r="J2387" s="106" t="s">
        <v>4457</v>
      </c>
      <c r="K2387" s="116" t="s">
        <v>2443</v>
      </c>
      <c r="L2387" s="118" t="str">
        <f t="shared" ref="L2387:L2388" si="331">"Sorry, question "&amp;LEFT(E2387, 12)&amp;" is required!"</f>
        <v>Sorry, question (14.14ae) In is required!</v>
      </c>
      <c r="O2387" s="110" t="s">
        <v>1926</v>
      </c>
    </row>
    <row r="2388" spans="1:24" ht="14.25" customHeight="1">
      <c r="A2388" t="s">
        <v>14</v>
      </c>
      <c r="B2388" t="s">
        <v>1401</v>
      </c>
      <c r="E2388" s="118" t="s">
        <v>2037</v>
      </c>
      <c r="F2388" s="118" t="s">
        <v>3383</v>
      </c>
      <c r="H2388" s="206" t="str">
        <f t="shared" si="324"/>
        <v>(14.15ae) In the past 30 days, how many days has the item been out of stock?</v>
      </c>
      <c r="I2388" s="213" t="str">
        <f t="shared" si="329"/>
        <v>integer</v>
      </c>
      <c r="J2388" s="106" t="s">
        <v>3379</v>
      </c>
      <c r="K2388" s="116" t="s">
        <v>2443</v>
      </c>
      <c r="L2388" s="118" t="str">
        <f t="shared" si="331"/>
        <v>Sorry, question (14.15ae) In is required!</v>
      </c>
      <c r="M2388" s="113" t="s">
        <v>3598</v>
      </c>
      <c r="N2388" s="1" t="s">
        <v>4109</v>
      </c>
      <c r="O2388" s="110" t="s">
        <v>3670</v>
      </c>
    </row>
    <row r="2389" spans="1:24" ht="14.25" customHeight="1">
      <c r="A2389" t="s">
        <v>15</v>
      </c>
      <c r="H2389" s="206">
        <f t="shared" si="324"/>
        <v>0</v>
      </c>
      <c r="O2389" s="110" t="s">
        <v>1067</v>
      </c>
      <c r="X2389" t="s">
        <v>3033</v>
      </c>
    </row>
    <row r="2390" spans="1:24" ht="14.25" customHeight="1">
      <c r="A2390" t="s">
        <v>12</v>
      </c>
      <c r="B2390" t="s">
        <v>3350</v>
      </c>
      <c r="H2390" s="206">
        <f t="shared" si="324"/>
        <v>0</v>
      </c>
      <c r="J2390" s="106" t="s">
        <v>3526</v>
      </c>
      <c r="X2390" t="s">
        <v>3033</v>
      </c>
    </row>
    <row r="2391" spans="1:24" ht="14.25" customHeight="1">
      <c r="A2391" t="s">
        <v>17</v>
      </c>
      <c r="B2391" t="s">
        <v>1402</v>
      </c>
      <c r="E2391" s="118" t="s">
        <v>4185</v>
      </c>
      <c r="H2391" s="206" t="str">
        <f t="shared" si="324"/>
        <v>&lt;font color='#000000'&gt;&lt;b&gt;Oral Polio Vaccine (OPV)&lt;/b&gt;&lt;/f&gt;</v>
      </c>
      <c r="I2391" s="213" t="str">
        <f t="shared" si="329"/>
        <v>note</v>
      </c>
      <c r="J2391" s="106" t="s">
        <v>3528</v>
      </c>
      <c r="O2391" s="110" t="s">
        <v>1067</v>
      </c>
    </row>
    <row r="2392" spans="1:24" ht="14.25" customHeight="1">
      <c r="A2392" t="s">
        <v>14</v>
      </c>
      <c r="B2392" t="s">
        <v>1403</v>
      </c>
      <c r="E2392" s="118" t="s">
        <v>2408</v>
      </c>
      <c r="F2392" s="118" t="s">
        <v>3313</v>
      </c>
      <c r="H2392" s="206" t="str">
        <f t="shared" si="324"/>
        <v xml:space="preserve">(14.13af) What quantity of Oral Polio Vaccine (OPV) are available at this time? </v>
      </c>
      <c r="I2392" s="213" t="str">
        <f t="shared" si="329"/>
        <v>integer</v>
      </c>
      <c r="J2392" s="106" t="s">
        <v>3372</v>
      </c>
      <c r="K2392" s="116" t="s">
        <v>2443</v>
      </c>
      <c r="L2392" s="118" t="str">
        <f t="shared" ref="L2392" si="332">"Sorry, question "&amp;LEFT(E2392, 12)&amp;" is required!"</f>
        <v>Sorry, question (14.13af) Wh is required!</v>
      </c>
      <c r="O2392" s="110" t="s">
        <v>1067</v>
      </c>
    </row>
    <row r="2393" spans="1:24" ht="14.25" customHeight="1">
      <c r="A2393" t="s">
        <v>15</v>
      </c>
      <c r="H2393" s="206">
        <f t="shared" si="324"/>
        <v>0</v>
      </c>
      <c r="O2393" s="110" t="s">
        <v>1067</v>
      </c>
      <c r="X2393" t="s">
        <v>3033</v>
      </c>
    </row>
    <row r="2394" spans="1:24" ht="14.25" customHeight="1">
      <c r="A2394" t="s">
        <v>12</v>
      </c>
      <c r="B2394" t="s">
        <v>3455</v>
      </c>
      <c r="H2394" s="206">
        <f t="shared" si="324"/>
        <v>0</v>
      </c>
      <c r="J2394" s="106" t="s">
        <v>13</v>
      </c>
      <c r="X2394" t="s">
        <v>3033</v>
      </c>
    </row>
    <row r="2395" spans="1:24" ht="14.25" customHeight="1">
      <c r="A2395" t="s">
        <v>23</v>
      </c>
      <c r="B2395" t="s">
        <v>1404</v>
      </c>
      <c r="E2395" s="118" t="s">
        <v>2038</v>
      </c>
      <c r="H2395" s="206" t="str">
        <f t="shared" si="324"/>
        <v>(14.14af) In the past 30 days, has the item been out of stock at any time?</v>
      </c>
      <c r="I2395" s="213" t="str">
        <f t="shared" si="329"/>
        <v>select_one yesno</v>
      </c>
      <c r="J2395" s="106" t="s">
        <v>4457</v>
      </c>
      <c r="K2395" s="116" t="s">
        <v>2443</v>
      </c>
      <c r="L2395" s="118" t="str">
        <f t="shared" ref="L2395:L2396" si="333">"Sorry, question "&amp;LEFT(E2395, 12)&amp;" is required!"</f>
        <v>Sorry, question (14.14af) In is required!</v>
      </c>
      <c r="O2395" s="110" t="s">
        <v>1927</v>
      </c>
    </row>
    <row r="2396" spans="1:24" ht="14.25" customHeight="1">
      <c r="A2396" t="s">
        <v>14</v>
      </c>
      <c r="B2396" t="s">
        <v>1405</v>
      </c>
      <c r="E2396" s="118" t="s">
        <v>2039</v>
      </c>
      <c r="F2396" s="118" t="s">
        <v>3383</v>
      </c>
      <c r="H2396" s="206" t="str">
        <f t="shared" ref="H2396:H2459" si="334">E2396</f>
        <v>(14.15af) In the past 30 days, how many days has the item been out of stock?</v>
      </c>
      <c r="I2396" s="213" t="str">
        <f t="shared" si="329"/>
        <v>integer</v>
      </c>
      <c r="J2396" s="106" t="s">
        <v>3379</v>
      </c>
      <c r="K2396" s="116" t="s">
        <v>2443</v>
      </c>
      <c r="L2396" s="118" t="str">
        <f t="shared" si="333"/>
        <v>Sorry, question (14.15af) In is required!</v>
      </c>
      <c r="M2396" s="113" t="s">
        <v>3598</v>
      </c>
      <c r="N2396" s="1" t="s">
        <v>4110</v>
      </c>
      <c r="O2396" s="110" t="s">
        <v>3671</v>
      </c>
    </row>
    <row r="2397" spans="1:24" ht="14.25" customHeight="1">
      <c r="A2397" t="s">
        <v>15</v>
      </c>
      <c r="H2397" s="206">
        <f t="shared" si="334"/>
        <v>0</v>
      </c>
      <c r="O2397" s="110" t="s">
        <v>1067</v>
      </c>
      <c r="X2397" t="s">
        <v>3033</v>
      </c>
    </row>
    <row r="2398" spans="1:24" ht="14.25" customHeight="1">
      <c r="A2398" t="s">
        <v>12</v>
      </c>
      <c r="B2398" t="s">
        <v>3351</v>
      </c>
      <c r="H2398" s="206">
        <f t="shared" si="334"/>
        <v>0</v>
      </c>
      <c r="J2398" s="106" t="s">
        <v>3526</v>
      </c>
      <c r="X2398" t="s">
        <v>3033</v>
      </c>
    </row>
    <row r="2399" spans="1:24" ht="14.25" customHeight="1">
      <c r="A2399" t="s">
        <v>17</v>
      </c>
      <c r="B2399" t="s">
        <v>1406</v>
      </c>
      <c r="E2399" s="118" t="s">
        <v>4186</v>
      </c>
      <c r="H2399" s="206" t="str">
        <f t="shared" si="334"/>
        <v>&lt;font color='#000000'&gt;&lt;b&gt;Tetanus Toxoid (TT)&lt;/b&gt;&lt;/f&gt;</v>
      </c>
      <c r="I2399" s="213" t="str">
        <f t="shared" si="329"/>
        <v>note</v>
      </c>
      <c r="J2399" s="106" t="s">
        <v>3528</v>
      </c>
      <c r="O2399" s="110" t="s">
        <v>1067</v>
      </c>
    </row>
    <row r="2400" spans="1:24" ht="14.25" customHeight="1">
      <c r="A2400" t="s">
        <v>14</v>
      </c>
      <c r="B2400" t="s">
        <v>1407</v>
      </c>
      <c r="E2400" s="118" t="s">
        <v>2409</v>
      </c>
      <c r="F2400" s="118" t="s">
        <v>3313</v>
      </c>
      <c r="H2400" s="206" t="str">
        <f t="shared" si="334"/>
        <v xml:space="preserve">(14.13ag) What quantity of Tetanus Toxoid (TT) are available at this time? </v>
      </c>
      <c r="I2400" s="213" t="str">
        <f t="shared" si="329"/>
        <v>integer</v>
      </c>
      <c r="J2400" s="106" t="s">
        <v>3372</v>
      </c>
      <c r="K2400" s="116" t="s">
        <v>2443</v>
      </c>
      <c r="L2400" s="118" t="str">
        <f t="shared" ref="L2400" si="335">"Sorry, question "&amp;LEFT(E2400, 12)&amp;" is required!"</f>
        <v>Sorry, question (14.13ag) Wh is required!</v>
      </c>
      <c r="O2400" s="110" t="s">
        <v>1067</v>
      </c>
    </row>
    <row r="2401" spans="1:24" ht="14.25" customHeight="1">
      <c r="A2401" t="s">
        <v>15</v>
      </c>
      <c r="H2401" s="206">
        <f t="shared" si="334"/>
        <v>0</v>
      </c>
      <c r="O2401" s="110" t="s">
        <v>1067</v>
      </c>
      <c r="X2401" t="s">
        <v>3033</v>
      </c>
    </row>
    <row r="2402" spans="1:24" ht="14.25" customHeight="1">
      <c r="A2402" t="s">
        <v>12</v>
      </c>
      <c r="B2402" t="s">
        <v>3456</v>
      </c>
      <c r="H2402" s="206">
        <f t="shared" si="334"/>
        <v>0</v>
      </c>
      <c r="J2402" s="106" t="s">
        <v>13</v>
      </c>
      <c r="X2402" t="s">
        <v>3033</v>
      </c>
    </row>
    <row r="2403" spans="1:24" ht="14.25" customHeight="1">
      <c r="A2403" t="s">
        <v>23</v>
      </c>
      <c r="B2403" t="s">
        <v>1408</v>
      </c>
      <c r="E2403" s="118" t="s">
        <v>2040</v>
      </c>
      <c r="H2403" s="206" t="str">
        <f t="shared" si="334"/>
        <v>(14.14ag) In the past 30 days, has the item been out of stock at any time?</v>
      </c>
      <c r="I2403" s="213" t="str">
        <f t="shared" si="329"/>
        <v>select_one yesno</v>
      </c>
      <c r="J2403" s="106" t="s">
        <v>4457</v>
      </c>
      <c r="K2403" s="116" t="s">
        <v>2443</v>
      </c>
      <c r="L2403" s="118" t="str">
        <f>IF(K2403="yes",("Sorry, question "&amp;LEFT(E2403, 9)&amp;" is required!"),"")</f>
        <v>Sorry, question (14.14ag) is required!</v>
      </c>
      <c r="O2403" s="110" t="s">
        <v>1928</v>
      </c>
    </row>
    <row r="2404" spans="1:24" ht="14.25" customHeight="1">
      <c r="A2404" t="s">
        <v>14</v>
      </c>
      <c r="B2404" t="s">
        <v>1409</v>
      </c>
      <c r="E2404" s="118" t="s">
        <v>2041</v>
      </c>
      <c r="F2404" s="118" t="s">
        <v>3383</v>
      </c>
      <c r="H2404" s="206" t="str">
        <f t="shared" si="334"/>
        <v>(14.15ag) In the past 30 days, how many days has the item been out of stock?</v>
      </c>
      <c r="I2404" s="213" t="str">
        <f t="shared" si="329"/>
        <v>integer</v>
      </c>
      <c r="J2404" s="106" t="s">
        <v>3379</v>
      </c>
      <c r="K2404" s="116" t="s">
        <v>2443</v>
      </c>
      <c r="L2404" s="118" t="str">
        <f t="shared" ref="L2404" si="336">"Sorry, question "&amp;LEFT(E2404, 12)&amp;" is required!"</f>
        <v>Sorry, question (14.15ag) In is required!</v>
      </c>
      <c r="M2404" s="113" t="s">
        <v>3598</v>
      </c>
      <c r="N2404" s="1" t="s">
        <v>4111</v>
      </c>
      <c r="O2404" s="110" t="s">
        <v>3672</v>
      </c>
    </row>
    <row r="2405" spans="1:24" ht="14.25" customHeight="1">
      <c r="A2405" t="s">
        <v>15</v>
      </c>
      <c r="H2405" s="206">
        <f t="shared" si="334"/>
        <v>0</v>
      </c>
      <c r="O2405" s="110" t="s">
        <v>1067</v>
      </c>
      <c r="X2405" t="s">
        <v>3033</v>
      </c>
    </row>
    <row r="2406" spans="1:24" ht="14.25" customHeight="1">
      <c r="A2406" t="s">
        <v>12</v>
      </c>
      <c r="B2406" t="s">
        <v>3352</v>
      </c>
      <c r="H2406" s="206">
        <f t="shared" si="334"/>
        <v>0</v>
      </c>
      <c r="J2406" s="106" t="s">
        <v>3526</v>
      </c>
      <c r="X2406" t="s">
        <v>3033</v>
      </c>
    </row>
    <row r="2407" spans="1:24" ht="14.25" customHeight="1">
      <c r="A2407" t="s">
        <v>17</v>
      </c>
      <c r="B2407" t="s">
        <v>1410</v>
      </c>
      <c r="E2407" s="118" t="s">
        <v>4187</v>
      </c>
      <c r="H2407" s="206" t="str">
        <f t="shared" si="334"/>
        <v>&lt;font color='#000000'&gt;&lt;b&gt;Measles vaccine&lt;/b&gt;&lt;/f&gt;</v>
      </c>
      <c r="I2407" s="213" t="str">
        <f t="shared" si="329"/>
        <v>note</v>
      </c>
      <c r="J2407" s="106" t="s">
        <v>3528</v>
      </c>
      <c r="O2407" s="110" t="s">
        <v>1067</v>
      </c>
    </row>
    <row r="2408" spans="1:24" ht="14.25" customHeight="1">
      <c r="A2408" t="s">
        <v>14</v>
      </c>
      <c r="B2408" t="s">
        <v>1411</v>
      </c>
      <c r="E2408" s="118" t="s">
        <v>2410</v>
      </c>
      <c r="F2408" s="118" t="s">
        <v>3313</v>
      </c>
      <c r="H2408" s="206" t="str">
        <f t="shared" si="334"/>
        <v xml:space="preserve">(14.13ah) What quantity of Measles vaccine are available at this time? </v>
      </c>
      <c r="I2408" s="213" t="str">
        <f t="shared" si="329"/>
        <v>integer</v>
      </c>
      <c r="J2408" s="106" t="s">
        <v>3372</v>
      </c>
      <c r="K2408" s="116" t="s">
        <v>2443</v>
      </c>
      <c r="L2408" s="118" t="str">
        <f t="shared" ref="L2408" si="337">"Sorry, question "&amp;LEFT(E2408, 12)&amp;" is required!"</f>
        <v>Sorry, question (14.13ah) Wh is required!</v>
      </c>
      <c r="O2408" s="110" t="s">
        <v>1067</v>
      </c>
    </row>
    <row r="2409" spans="1:24" ht="14.25" customHeight="1">
      <c r="A2409" t="s">
        <v>15</v>
      </c>
      <c r="H2409" s="206">
        <f t="shared" si="334"/>
        <v>0</v>
      </c>
      <c r="O2409" s="110" t="s">
        <v>1067</v>
      </c>
      <c r="X2409" t="s">
        <v>3033</v>
      </c>
    </row>
    <row r="2410" spans="1:24" ht="14.25" customHeight="1">
      <c r="A2410" t="s">
        <v>12</v>
      </c>
      <c r="B2410" t="s">
        <v>3457</v>
      </c>
      <c r="H2410" s="206">
        <f t="shared" si="334"/>
        <v>0</v>
      </c>
      <c r="J2410" s="106" t="s">
        <v>13</v>
      </c>
      <c r="X2410" t="s">
        <v>3033</v>
      </c>
    </row>
    <row r="2411" spans="1:24" ht="14.25" customHeight="1">
      <c r="A2411" t="s">
        <v>23</v>
      </c>
      <c r="B2411" t="s">
        <v>1412</v>
      </c>
      <c r="E2411" s="118" t="s">
        <v>2042</v>
      </c>
      <c r="H2411" s="206" t="str">
        <f t="shared" si="334"/>
        <v>(14.14ah) In the past 30 days, has the item been out of stock at any time?</v>
      </c>
      <c r="I2411" s="213" t="str">
        <f t="shared" si="329"/>
        <v>select_one yesno</v>
      </c>
      <c r="J2411" s="106" t="s">
        <v>4457</v>
      </c>
      <c r="K2411" s="116" t="s">
        <v>2443</v>
      </c>
      <c r="L2411" s="118" t="str">
        <f t="shared" ref="L2411:L2412" si="338">"Sorry, question "&amp;LEFT(E2411, 12)&amp;" is required!"</f>
        <v>Sorry, question (14.14ah) In is required!</v>
      </c>
      <c r="O2411" s="110" t="s">
        <v>1929</v>
      </c>
    </row>
    <row r="2412" spans="1:24" ht="14.25" customHeight="1">
      <c r="A2412" t="s">
        <v>14</v>
      </c>
      <c r="B2412" t="s">
        <v>1413</v>
      </c>
      <c r="E2412" s="118" t="s">
        <v>2043</v>
      </c>
      <c r="F2412" s="118" t="s">
        <v>3383</v>
      </c>
      <c r="H2412" s="206" t="str">
        <f t="shared" si="334"/>
        <v>(14.15ah) In the past 30 days, how many days has the item been out of stock?</v>
      </c>
      <c r="I2412" s="213" t="str">
        <f t="shared" si="329"/>
        <v>integer</v>
      </c>
      <c r="J2412" s="106" t="s">
        <v>3379</v>
      </c>
      <c r="K2412" s="116" t="s">
        <v>2443</v>
      </c>
      <c r="L2412" s="118" t="str">
        <f t="shared" si="338"/>
        <v>Sorry, question (14.15ah) In is required!</v>
      </c>
      <c r="M2412" s="113" t="s">
        <v>3598</v>
      </c>
      <c r="N2412" s="1" t="s">
        <v>4112</v>
      </c>
      <c r="O2412" s="110" t="s">
        <v>3673</v>
      </c>
    </row>
    <row r="2413" spans="1:24" ht="14.25" customHeight="1">
      <c r="A2413" t="s">
        <v>15</v>
      </c>
      <c r="H2413" s="206">
        <f t="shared" si="334"/>
        <v>0</v>
      </c>
      <c r="O2413" s="110" t="s">
        <v>1067</v>
      </c>
      <c r="X2413" t="s">
        <v>3033</v>
      </c>
    </row>
    <row r="2414" spans="1:24" ht="14.25" customHeight="1">
      <c r="A2414" t="s">
        <v>12</v>
      </c>
      <c r="B2414" t="s">
        <v>3353</v>
      </c>
      <c r="H2414" s="206">
        <f t="shared" si="334"/>
        <v>0</v>
      </c>
      <c r="J2414" s="106" t="s">
        <v>3526</v>
      </c>
      <c r="X2414" t="s">
        <v>3033</v>
      </c>
    </row>
    <row r="2415" spans="1:24" ht="14.25" customHeight="1">
      <c r="A2415" t="s">
        <v>17</v>
      </c>
      <c r="B2415" t="s">
        <v>1414</v>
      </c>
      <c r="E2415" s="118" t="s">
        <v>4188</v>
      </c>
      <c r="H2415" s="206" t="str">
        <f t="shared" si="334"/>
        <v>&lt;font color='#000000'&gt;&lt;b&gt;Pentavalent (DPT, Hepatitis B, Hemophilus influenzae B)&lt;/b&gt;&lt;/f&gt;</v>
      </c>
      <c r="I2415" s="213" t="str">
        <f t="shared" si="329"/>
        <v>note</v>
      </c>
      <c r="J2415" s="106" t="s">
        <v>3528</v>
      </c>
      <c r="O2415" s="110" t="s">
        <v>1067</v>
      </c>
    </row>
    <row r="2416" spans="1:24" ht="14.25" customHeight="1">
      <c r="A2416" t="s">
        <v>14</v>
      </c>
      <c r="B2416" t="s">
        <v>1415</v>
      </c>
      <c r="E2416" s="118" t="s">
        <v>2411</v>
      </c>
      <c r="F2416" s="118" t="s">
        <v>3313</v>
      </c>
      <c r="H2416" s="206" t="str">
        <f t="shared" si="334"/>
        <v xml:space="preserve">(14.13ai) What quantity of Pentavalent (DPT, Hepatitis B, Hemophilus influenzae B) are available at this time? </v>
      </c>
      <c r="I2416" s="213" t="str">
        <f t="shared" si="329"/>
        <v>integer</v>
      </c>
      <c r="J2416" s="106" t="s">
        <v>3372</v>
      </c>
      <c r="K2416" s="116" t="s">
        <v>2443</v>
      </c>
      <c r="L2416" s="118" t="str">
        <f t="shared" ref="L2416" si="339">"Sorry, question "&amp;LEFT(E2416, 12)&amp;" is required!"</f>
        <v>Sorry, question (14.13ai) Wh is required!</v>
      </c>
      <c r="O2416" s="110" t="s">
        <v>1067</v>
      </c>
    </row>
    <row r="2417" spans="1:24" ht="14.25" customHeight="1">
      <c r="A2417" t="s">
        <v>15</v>
      </c>
      <c r="H2417" s="206">
        <f t="shared" si="334"/>
        <v>0</v>
      </c>
      <c r="O2417" s="110" t="s">
        <v>1067</v>
      </c>
      <c r="X2417" t="s">
        <v>3033</v>
      </c>
    </row>
    <row r="2418" spans="1:24" ht="14.25" customHeight="1">
      <c r="A2418" t="s">
        <v>12</v>
      </c>
      <c r="B2418" t="s">
        <v>3458</v>
      </c>
      <c r="H2418" s="206">
        <f t="shared" si="334"/>
        <v>0</v>
      </c>
      <c r="J2418" s="106" t="s">
        <v>13</v>
      </c>
      <c r="X2418" t="s">
        <v>3033</v>
      </c>
    </row>
    <row r="2419" spans="1:24" ht="14.25" customHeight="1">
      <c r="A2419" t="s">
        <v>23</v>
      </c>
      <c r="B2419" t="s">
        <v>1416</v>
      </c>
      <c r="E2419" s="118" t="s">
        <v>2044</v>
      </c>
      <c r="H2419" s="206" t="str">
        <f t="shared" si="334"/>
        <v>(14.14ai) In the past 30 days, has the item been out of stock at any time?</v>
      </c>
      <c r="I2419" s="213" t="str">
        <f t="shared" si="329"/>
        <v>select_one yesno</v>
      </c>
      <c r="J2419" s="106" t="s">
        <v>4457</v>
      </c>
      <c r="K2419" s="116" t="s">
        <v>2443</v>
      </c>
      <c r="L2419" s="118" t="str">
        <f t="shared" ref="L2419:L2420" si="340">"Sorry, question "&amp;LEFT(E2419, 12)&amp;" is required!"</f>
        <v>Sorry, question (14.14ai) In is required!</v>
      </c>
      <c r="O2419" s="110" t="s">
        <v>1930</v>
      </c>
    </row>
    <row r="2420" spans="1:24" ht="14.25" customHeight="1">
      <c r="A2420" t="s">
        <v>14</v>
      </c>
      <c r="B2420" t="s">
        <v>1417</v>
      </c>
      <c r="E2420" s="118" t="s">
        <v>2045</v>
      </c>
      <c r="F2420" s="118" t="s">
        <v>3383</v>
      </c>
      <c r="H2420" s="206" t="str">
        <f t="shared" si="334"/>
        <v>(14.15ai) In the past 30 days, how many days has the item been out of stock?</v>
      </c>
      <c r="I2420" s="213" t="str">
        <f t="shared" si="329"/>
        <v>integer</v>
      </c>
      <c r="J2420" s="106" t="s">
        <v>3379</v>
      </c>
      <c r="K2420" s="116" t="s">
        <v>2443</v>
      </c>
      <c r="L2420" s="118" t="str">
        <f t="shared" si="340"/>
        <v>Sorry, question (14.15ai) In is required!</v>
      </c>
      <c r="M2420" s="113" t="s">
        <v>3598</v>
      </c>
      <c r="N2420" s="1" t="s">
        <v>4113</v>
      </c>
      <c r="O2420" s="110" t="s">
        <v>3674</v>
      </c>
    </row>
    <row r="2421" spans="1:24" ht="14.25" customHeight="1">
      <c r="A2421" t="s">
        <v>15</v>
      </c>
      <c r="H2421" s="206">
        <f t="shared" si="334"/>
        <v>0</v>
      </c>
      <c r="O2421" s="110" t="s">
        <v>1067</v>
      </c>
      <c r="X2421" t="s">
        <v>3033</v>
      </c>
    </row>
    <row r="2422" spans="1:24" ht="14.25" customHeight="1">
      <c r="A2422" t="s">
        <v>12</v>
      </c>
      <c r="B2422" t="s">
        <v>3354</v>
      </c>
      <c r="H2422" s="206">
        <f t="shared" si="334"/>
        <v>0</v>
      </c>
      <c r="J2422" s="106" t="s">
        <v>3526</v>
      </c>
      <c r="X2422" t="s">
        <v>3033</v>
      </c>
    </row>
    <row r="2423" spans="1:24" ht="14.25" customHeight="1">
      <c r="A2423" t="s">
        <v>17</v>
      </c>
      <c r="B2423" t="s">
        <v>1418</v>
      </c>
      <c r="E2423" s="118" t="s">
        <v>4189</v>
      </c>
      <c r="H2423" s="206" t="str">
        <f t="shared" si="334"/>
        <v>&lt;font color='#000000'&gt;&lt;b&gt;Rotavirus Vaccine&lt;/b&gt;&lt;/f&gt;</v>
      </c>
      <c r="I2423" s="213" t="str">
        <f t="shared" si="329"/>
        <v>note</v>
      </c>
      <c r="J2423" s="106" t="s">
        <v>3528</v>
      </c>
      <c r="O2423" s="110" t="s">
        <v>1067</v>
      </c>
    </row>
    <row r="2424" spans="1:24" ht="14.25" customHeight="1">
      <c r="A2424" t="s">
        <v>14</v>
      </c>
      <c r="B2424" t="s">
        <v>1419</v>
      </c>
      <c r="E2424" s="118" t="s">
        <v>2431</v>
      </c>
      <c r="F2424" s="118" t="s">
        <v>3313</v>
      </c>
      <c r="H2424" s="206" t="str">
        <f t="shared" si="334"/>
        <v xml:space="preserve">(14.13aj) What quantity of Rotavirus Vaccine are available at this time? </v>
      </c>
      <c r="I2424" s="213" t="str">
        <f t="shared" si="329"/>
        <v>integer</v>
      </c>
      <c r="J2424" s="106" t="s">
        <v>3372</v>
      </c>
      <c r="K2424" s="116" t="s">
        <v>2443</v>
      </c>
      <c r="L2424" s="118" t="str">
        <f t="shared" ref="L2424" si="341">"Sorry, question "&amp;LEFT(E2424, 12)&amp;" is required!"</f>
        <v>Sorry, question (14.13aj) Wh is required!</v>
      </c>
      <c r="O2424" s="110" t="s">
        <v>1067</v>
      </c>
    </row>
    <row r="2425" spans="1:24" ht="14.25" customHeight="1">
      <c r="A2425" t="s">
        <v>15</v>
      </c>
      <c r="H2425" s="206">
        <f t="shared" si="334"/>
        <v>0</v>
      </c>
      <c r="O2425" s="110" t="s">
        <v>1067</v>
      </c>
      <c r="X2425" t="s">
        <v>3033</v>
      </c>
    </row>
    <row r="2426" spans="1:24" ht="14.25" customHeight="1">
      <c r="A2426" t="s">
        <v>12</v>
      </c>
      <c r="B2426" t="s">
        <v>3459</v>
      </c>
      <c r="H2426" s="206">
        <f t="shared" si="334"/>
        <v>0</v>
      </c>
      <c r="J2426" s="106" t="s">
        <v>13</v>
      </c>
      <c r="X2426" t="s">
        <v>3033</v>
      </c>
    </row>
    <row r="2427" spans="1:24" ht="14.25" customHeight="1">
      <c r="A2427" t="s">
        <v>23</v>
      </c>
      <c r="B2427" t="s">
        <v>1420</v>
      </c>
      <c r="E2427" s="118" t="s">
        <v>2046</v>
      </c>
      <c r="H2427" s="206" t="str">
        <f t="shared" si="334"/>
        <v>(14.14aj) In the past 30 days, has the item been out of stock at any time?</v>
      </c>
      <c r="I2427" s="213" t="str">
        <f t="shared" si="329"/>
        <v>select_one yesno</v>
      </c>
      <c r="J2427" s="106" t="s">
        <v>4457</v>
      </c>
      <c r="K2427" s="116" t="s">
        <v>2443</v>
      </c>
      <c r="L2427" s="118" t="str">
        <f t="shared" ref="L2427:L2428" si="342">"Sorry, question "&amp;LEFT(E2427, 12)&amp;" is required!"</f>
        <v>Sorry, question (14.14aj) In is required!</v>
      </c>
      <c r="O2427" s="110" t="s">
        <v>1931</v>
      </c>
    </row>
    <row r="2428" spans="1:24" ht="14.25" customHeight="1">
      <c r="A2428" t="s">
        <v>14</v>
      </c>
      <c r="B2428" t="s">
        <v>1421</v>
      </c>
      <c r="E2428" s="118" t="s">
        <v>2047</v>
      </c>
      <c r="F2428" s="118" t="s">
        <v>3383</v>
      </c>
      <c r="H2428" s="206" t="str">
        <f t="shared" si="334"/>
        <v>(14.15aj) In the past 30 days, how many days has the item been out of stock?</v>
      </c>
      <c r="I2428" s="213" t="str">
        <f t="shared" si="329"/>
        <v>integer</v>
      </c>
      <c r="J2428" s="106" t="s">
        <v>3379</v>
      </c>
      <c r="K2428" s="116" t="s">
        <v>2443</v>
      </c>
      <c r="L2428" s="118" t="str">
        <f t="shared" si="342"/>
        <v>Sorry, question (14.15aj) In is required!</v>
      </c>
      <c r="M2428" s="113" t="s">
        <v>3598</v>
      </c>
      <c r="N2428" s="1" t="s">
        <v>4114</v>
      </c>
      <c r="O2428" s="110" t="s">
        <v>3675</v>
      </c>
    </row>
    <row r="2429" spans="1:24" ht="14.25" customHeight="1">
      <c r="A2429" t="s">
        <v>15</v>
      </c>
      <c r="H2429" s="206">
        <f t="shared" si="334"/>
        <v>0</v>
      </c>
      <c r="O2429" s="110" t="s">
        <v>1067</v>
      </c>
      <c r="X2429" t="s">
        <v>3033</v>
      </c>
    </row>
    <row r="2430" spans="1:24" ht="14.25" customHeight="1">
      <c r="A2430" t="s">
        <v>12</v>
      </c>
      <c r="B2430" t="s">
        <v>3355</v>
      </c>
      <c r="H2430" s="206">
        <f t="shared" si="334"/>
        <v>0</v>
      </c>
      <c r="J2430" s="106" t="s">
        <v>3526</v>
      </c>
      <c r="X2430" t="s">
        <v>3033</v>
      </c>
    </row>
    <row r="2431" spans="1:24" ht="14.25" customHeight="1">
      <c r="A2431" t="s">
        <v>17</v>
      </c>
      <c r="B2431" t="s">
        <v>1422</v>
      </c>
      <c r="E2431" s="118" t="s">
        <v>4190</v>
      </c>
      <c r="H2431" s="206" t="str">
        <f t="shared" si="334"/>
        <v>&lt;font color='#000000'&gt;&lt;b&gt;Pneumococcal Vaccine&lt;/b&gt;&lt;/f&gt;</v>
      </c>
      <c r="I2431" s="213" t="str">
        <f t="shared" si="329"/>
        <v>note</v>
      </c>
      <c r="J2431" s="106" t="s">
        <v>3528</v>
      </c>
      <c r="O2431" s="110" t="s">
        <v>1067</v>
      </c>
    </row>
    <row r="2432" spans="1:24" ht="14.25" customHeight="1">
      <c r="A2432" t="s">
        <v>14</v>
      </c>
      <c r="B2432" t="s">
        <v>1423</v>
      </c>
      <c r="E2432" s="118" t="s">
        <v>2430</v>
      </c>
      <c r="F2432" s="118" t="s">
        <v>3313</v>
      </c>
      <c r="H2432" s="206" t="str">
        <f t="shared" si="334"/>
        <v xml:space="preserve">(14.13ak) What quantity of Pneumococcal Vaccine are available at this time? </v>
      </c>
      <c r="I2432" s="213" t="str">
        <f t="shared" si="329"/>
        <v>integer</v>
      </c>
      <c r="J2432" s="106" t="s">
        <v>3372</v>
      </c>
      <c r="K2432" s="116" t="s">
        <v>2443</v>
      </c>
      <c r="L2432" s="118" t="str">
        <f t="shared" ref="L2432" si="343">"Sorry, question "&amp;LEFT(E2432, 12)&amp;" is required!"</f>
        <v>Sorry, question (14.13ak) Wh is required!</v>
      </c>
      <c r="O2432" s="110" t="s">
        <v>1067</v>
      </c>
    </row>
    <row r="2433" spans="1:24" ht="14.25" customHeight="1">
      <c r="A2433" t="s">
        <v>15</v>
      </c>
      <c r="H2433" s="206">
        <f t="shared" si="334"/>
        <v>0</v>
      </c>
      <c r="O2433" s="110" t="s">
        <v>1067</v>
      </c>
      <c r="X2433" t="s">
        <v>3033</v>
      </c>
    </row>
    <row r="2434" spans="1:24" ht="14.25" customHeight="1">
      <c r="A2434" t="s">
        <v>12</v>
      </c>
      <c r="B2434" t="s">
        <v>3460</v>
      </c>
      <c r="H2434" s="206">
        <f t="shared" si="334"/>
        <v>0</v>
      </c>
      <c r="J2434" s="106" t="s">
        <v>13</v>
      </c>
      <c r="X2434" t="s">
        <v>3033</v>
      </c>
    </row>
    <row r="2435" spans="1:24" ht="14.25" customHeight="1">
      <c r="A2435" t="s">
        <v>23</v>
      </c>
      <c r="B2435" t="s">
        <v>1424</v>
      </c>
      <c r="E2435" s="118" t="s">
        <v>2048</v>
      </c>
      <c r="H2435" s="206" t="str">
        <f t="shared" si="334"/>
        <v>(14.14ak) In the past 30 days, has the item been out of stock at any time?</v>
      </c>
      <c r="I2435" s="213" t="str">
        <f t="shared" ref="I2435:I2495" si="344">A2435</f>
        <v>select_one yesno</v>
      </c>
      <c r="J2435" s="106" t="s">
        <v>4457</v>
      </c>
      <c r="K2435" s="116" t="s">
        <v>2443</v>
      </c>
      <c r="L2435" s="118" t="str">
        <f t="shared" ref="L2435:L2436" si="345">"Sorry, question "&amp;LEFT(E2435, 12)&amp;" is required!"</f>
        <v>Sorry, question (14.14ak) In is required!</v>
      </c>
      <c r="O2435" s="110" t="s">
        <v>1932</v>
      </c>
    </row>
    <row r="2436" spans="1:24" ht="14.25" customHeight="1">
      <c r="A2436" t="s">
        <v>14</v>
      </c>
      <c r="B2436" t="s">
        <v>1425</v>
      </c>
      <c r="E2436" s="118" t="s">
        <v>2049</v>
      </c>
      <c r="F2436" s="118" t="s">
        <v>3383</v>
      </c>
      <c r="H2436" s="206" t="str">
        <f t="shared" si="334"/>
        <v>(14.15ak) In the past 30 days, how many days has the item been out of stock?</v>
      </c>
      <c r="I2436" s="213" t="str">
        <f t="shared" si="344"/>
        <v>integer</v>
      </c>
      <c r="J2436" s="106" t="s">
        <v>3379</v>
      </c>
      <c r="K2436" s="116" t="s">
        <v>2443</v>
      </c>
      <c r="L2436" s="118" t="str">
        <f t="shared" si="345"/>
        <v>Sorry, question (14.15ak) In is required!</v>
      </c>
      <c r="M2436" s="113" t="s">
        <v>3598</v>
      </c>
      <c r="N2436" s="1" t="s">
        <v>4115</v>
      </c>
      <c r="O2436" s="110" t="s">
        <v>3676</v>
      </c>
    </row>
    <row r="2437" spans="1:24" ht="14.25" customHeight="1">
      <c r="A2437" t="s">
        <v>15</v>
      </c>
      <c r="H2437" s="206">
        <f t="shared" si="334"/>
        <v>0</v>
      </c>
      <c r="O2437" s="110" t="s">
        <v>1067</v>
      </c>
      <c r="X2437" t="s">
        <v>3033</v>
      </c>
    </row>
    <row r="2438" spans="1:24" ht="14.25" customHeight="1">
      <c r="A2438" t="s">
        <v>12</v>
      </c>
      <c r="B2438" t="s">
        <v>3356</v>
      </c>
      <c r="H2438" s="206">
        <f t="shared" si="334"/>
        <v>0</v>
      </c>
      <c r="J2438" s="106" t="s">
        <v>3526</v>
      </c>
      <c r="X2438" t="s">
        <v>3033</v>
      </c>
    </row>
    <row r="2439" spans="1:24" ht="14.25" customHeight="1">
      <c r="A2439" t="s">
        <v>17</v>
      </c>
      <c r="B2439" t="s">
        <v>3357</v>
      </c>
      <c r="E2439" s="118" t="s">
        <v>4191</v>
      </c>
      <c r="H2439" s="206" t="str">
        <f t="shared" si="334"/>
        <v>&lt;font color='#000000'&gt;&lt;b&gt;Hepatitis BHepatitis B&lt;/b&gt;&lt;/f&gt;</v>
      </c>
      <c r="I2439" s="213" t="str">
        <f t="shared" si="344"/>
        <v>note</v>
      </c>
      <c r="J2439" s="106" t="s">
        <v>3528</v>
      </c>
    </row>
    <row r="2440" spans="1:24" ht="14.25" customHeight="1">
      <c r="A2440" t="s">
        <v>14</v>
      </c>
      <c r="B2440" t="s">
        <v>3075</v>
      </c>
      <c r="E2440" s="118" t="s">
        <v>3077</v>
      </c>
      <c r="F2440" s="118" t="s">
        <v>3313</v>
      </c>
      <c r="H2440" s="206" t="str">
        <f t="shared" si="334"/>
        <v xml:space="preserve">(14.13ak_1n) What quantity of Hepatitis B are available at this time? </v>
      </c>
      <c r="I2440" s="213" t="str">
        <f t="shared" si="344"/>
        <v>integer</v>
      </c>
      <c r="J2440" s="106" t="s">
        <v>3372</v>
      </c>
      <c r="K2440" s="116" t="s">
        <v>2443</v>
      </c>
      <c r="L2440" s="118" t="str">
        <f t="shared" ref="L2440" si="346">"Sorry, question "&amp;LEFT(E2440, 12)&amp;" is required!"</f>
        <v>Sorry, question (14.13ak_1n) is required!</v>
      </c>
    </row>
    <row r="2441" spans="1:24" ht="14.25" customHeight="1">
      <c r="A2441" t="s">
        <v>15</v>
      </c>
      <c r="H2441" s="206">
        <f t="shared" si="334"/>
        <v>0</v>
      </c>
      <c r="X2441" t="s">
        <v>3033</v>
      </c>
    </row>
    <row r="2442" spans="1:24" ht="14.25" customHeight="1">
      <c r="A2442" t="s">
        <v>12</v>
      </c>
      <c r="B2442" t="s">
        <v>3461</v>
      </c>
      <c r="H2442" s="206">
        <f t="shared" si="334"/>
        <v>0</v>
      </c>
      <c r="J2442" s="106" t="s">
        <v>13</v>
      </c>
      <c r="X2442" t="s">
        <v>3033</v>
      </c>
    </row>
    <row r="2443" spans="1:24" ht="14.25" customHeight="1">
      <c r="A2443" t="s">
        <v>23</v>
      </c>
      <c r="B2443" t="s">
        <v>3072</v>
      </c>
      <c r="E2443" s="118" t="s">
        <v>3079</v>
      </c>
      <c r="H2443" s="206" t="str">
        <f t="shared" si="334"/>
        <v>(14.14ak_1n) In the past 30 days, has the item been out of stock at any time?</v>
      </c>
      <c r="I2443" s="213" t="str">
        <f t="shared" si="344"/>
        <v>select_one yesno</v>
      </c>
      <c r="J2443" s="106" t="s">
        <v>4457</v>
      </c>
      <c r="K2443" s="116" t="s">
        <v>2443</v>
      </c>
      <c r="L2443" s="118" t="str">
        <f t="shared" ref="L2443:L2444" si="347">"Sorry, question "&amp;LEFT(E2443, 12)&amp;" is required!"</f>
        <v>Sorry, question (14.14ak_1n) is required!</v>
      </c>
      <c r="O2443" s="110" t="s">
        <v>3083</v>
      </c>
    </row>
    <row r="2444" spans="1:24" ht="14.25" customHeight="1">
      <c r="A2444" t="s">
        <v>14</v>
      </c>
      <c r="B2444" t="s">
        <v>3071</v>
      </c>
      <c r="E2444" s="132" t="s">
        <v>3080</v>
      </c>
      <c r="F2444" s="118" t="s">
        <v>3383</v>
      </c>
      <c r="H2444" s="206" t="str">
        <f t="shared" si="334"/>
        <v>(14.15ak_1n) In the past 30 days, how many days has the item been out of stock?</v>
      </c>
      <c r="I2444" s="213" t="str">
        <f t="shared" si="344"/>
        <v>integer</v>
      </c>
      <c r="J2444" s="106" t="s">
        <v>3379</v>
      </c>
      <c r="K2444" s="116" t="s">
        <v>2443</v>
      </c>
      <c r="L2444" s="118" t="str">
        <f t="shared" si="347"/>
        <v>Sorry, question (14.15ak_1n) is required!</v>
      </c>
      <c r="M2444" s="113" t="s">
        <v>3598</v>
      </c>
      <c r="N2444" s="1" t="s">
        <v>4116</v>
      </c>
      <c r="O2444" s="110" t="s">
        <v>3677</v>
      </c>
    </row>
    <row r="2445" spans="1:24" ht="14.25" customHeight="1">
      <c r="A2445" t="s">
        <v>15</v>
      </c>
      <c r="H2445" s="206">
        <f t="shared" si="334"/>
        <v>0</v>
      </c>
      <c r="X2445" t="s">
        <v>3033</v>
      </c>
    </row>
    <row r="2446" spans="1:24" ht="14.25" customHeight="1">
      <c r="A2446" t="s">
        <v>12</v>
      </c>
      <c r="B2446" t="s">
        <v>3358</v>
      </c>
      <c r="H2446" s="206">
        <f t="shared" si="334"/>
        <v>0</v>
      </c>
      <c r="J2446" s="106" t="s">
        <v>3526</v>
      </c>
      <c r="X2446" t="s">
        <v>3033</v>
      </c>
    </row>
    <row r="2447" spans="1:24" ht="14.25" customHeight="1">
      <c r="A2447" t="s">
        <v>17</v>
      </c>
      <c r="B2447" t="s">
        <v>3359</v>
      </c>
      <c r="E2447" s="118" t="s">
        <v>4192</v>
      </c>
      <c r="H2447" s="206" t="str">
        <f t="shared" si="334"/>
        <v>&lt;font color='#000000'&gt;&lt;b&gt;Yellow fever&lt;/b&gt;&lt;/f&gt;</v>
      </c>
      <c r="I2447" s="213" t="str">
        <f t="shared" si="344"/>
        <v>note</v>
      </c>
      <c r="J2447" s="106" t="s">
        <v>3528</v>
      </c>
    </row>
    <row r="2448" spans="1:24" ht="14.25" customHeight="1">
      <c r="A2448" t="s">
        <v>14</v>
      </c>
      <c r="B2448" t="s">
        <v>3076</v>
      </c>
      <c r="E2448" s="118" t="s">
        <v>3078</v>
      </c>
      <c r="F2448" s="118" t="s">
        <v>3313</v>
      </c>
      <c r="H2448" s="206" t="str">
        <f t="shared" si="334"/>
        <v xml:space="preserve">(14.13ak_2n) What quantity of Yellow fever are available at this time? </v>
      </c>
      <c r="I2448" s="213" t="str">
        <f t="shared" si="344"/>
        <v>integer</v>
      </c>
      <c r="J2448" s="106" t="s">
        <v>3372</v>
      </c>
      <c r="K2448" s="116" t="s">
        <v>2443</v>
      </c>
      <c r="L2448" s="118" t="str">
        <f>"Sorry, question "&amp;LEFT(E2448, 12)&amp;" is required!"</f>
        <v>Sorry, question (14.13ak_2n) is required!</v>
      </c>
    </row>
    <row r="2449" spans="1:24" ht="14.25" customHeight="1">
      <c r="A2449" t="s">
        <v>15</v>
      </c>
      <c r="H2449" s="206">
        <f t="shared" si="334"/>
        <v>0</v>
      </c>
      <c r="X2449" t="s">
        <v>3033</v>
      </c>
    </row>
    <row r="2450" spans="1:24" ht="14.25" customHeight="1">
      <c r="A2450" t="s">
        <v>12</v>
      </c>
      <c r="B2450" t="s">
        <v>3462</v>
      </c>
      <c r="H2450" s="206">
        <f t="shared" si="334"/>
        <v>0</v>
      </c>
      <c r="J2450" s="106" t="s">
        <v>13</v>
      </c>
      <c r="X2450" t="s">
        <v>3033</v>
      </c>
    </row>
    <row r="2451" spans="1:24" ht="14.25" customHeight="1">
      <c r="A2451" t="s">
        <v>23</v>
      </c>
      <c r="B2451" t="s">
        <v>3074</v>
      </c>
      <c r="E2451" s="118" t="s">
        <v>3081</v>
      </c>
      <c r="H2451" s="206" t="str">
        <f t="shared" si="334"/>
        <v>(14.14ak_2n) In the past 30 days, has the item been out of stock at any time?</v>
      </c>
      <c r="I2451" s="213" t="str">
        <f t="shared" si="344"/>
        <v>select_one yesno</v>
      </c>
      <c r="J2451" s="106" t="s">
        <v>4457</v>
      </c>
      <c r="K2451" s="116" t="s">
        <v>2443</v>
      </c>
      <c r="L2451" s="118" t="str">
        <f t="shared" ref="L2451:L2452" si="348">"Sorry, question "&amp;LEFT(E2451, 12)&amp;" is required!"</f>
        <v>Sorry, question (14.14ak_2n) is required!</v>
      </c>
      <c r="O2451" s="110" t="s">
        <v>3084</v>
      </c>
    </row>
    <row r="2452" spans="1:24" ht="14.25" customHeight="1">
      <c r="A2452" t="s">
        <v>14</v>
      </c>
      <c r="B2452" t="s">
        <v>3073</v>
      </c>
      <c r="E2452" s="118" t="s">
        <v>3082</v>
      </c>
      <c r="F2452" s="118" t="s">
        <v>3383</v>
      </c>
      <c r="H2452" s="206" t="str">
        <f t="shared" si="334"/>
        <v>(14.15ak_2n) In the past 30 days, how many days has the item been out of stock?</v>
      </c>
      <c r="I2452" s="213" t="str">
        <f t="shared" si="344"/>
        <v>integer</v>
      </c>
      <c r="J2452" s="106" t="s">
        <v>3379</v>
      </c>
      <c r="K2452" s="116" t="s">
        <v>2443</v>
      </c>
      <c r="L2452" s="118" t="str">
        <f t="shared" si="348"/>
        <v>Sorry, question (14.15ak_2n) is required!</v>
      </c>
      <c r="M2452" s="113" t="s">
        <v>3598</v>
      </c>
      <c r="N2452" s="1" t="s">
        <v>4117</v>
      </c>
      <c r="O2452" s="110" t="s">
        <v>3678</v>
      </c>
    </row>
    <row r="2453" spans="1:24" ht="14.25" customHeight="1">
      <c r="A2453" t="s">
        <v>15</v>
      </c>
      <c r="H2453" s="206">
        <f t="shared" si="334"/>
        <v>0</v>
      </c>
      <c r="X2453" t="s">
        <v>3033</v>
      </c>
    </row>
    <row r="2454" spans="1:24" ht="14.25" customHeight="1">
      <c r="A2454" t="s">
        <v>12</v>
      </c>
      <c r="B2454" t="s">
        <v>3361</v>
      </c>
      <c r="H2454" s="206">
        <f t="shared" si="334"/>
        <v>0</v>
      </c>
      <c r="J2454" s="106" t="s">
        <v>3526</v>
      </c>
      <c r="X2454" t="s">
        <v>3033</v>
      </c>
    </row>
    <row r="2455" spans="1:24" ht="14.25" customHeight="1">
      <c r="A2455" t="s">
        <v>17</v>
      </c>
      <c r="B2455" t="s">
        <v>3360</v>
      </c>
      <c r="E2455" s="118" t="s">
        <v>4193</v>
      </c>
      <c r="H2455" s="206" t="str">
        <f t="shared" si="334"/>
        <v>&lt;font color='#000000'&gt;&lt;b&gt;Injectable polio vaccine (IPV)&lt;/b&gt;&lt;/f&gt;</v>
      </c>
      <c r="I2455" s="213" t="str">
        <f t="shared" si="344"/>
        <v>note</v>
      </c>
      <c r="J2455" s="106" t="s">
        <v>3528</v>
      </c>
    </row>
    <row r="2456" spans="1:24" ht="14.25" customHeight="1">
      <c r="A2456" t="s">
        <v>14</v>
      </c>
      <c r="B2456" t="s">
        <v>3086</v>
      </c>
      <c r="E2456" s="118" t="s">
        <v>3584</v>
      </c>
      <c r="F2456" s="118" t="s">
        <v>3313</v>
      </c>
      <c r="H2456" s="206" t="str">
        <f t="shared" si="334"/>
        <v xml:space="preserve">(14.13ak_3n) What quantity of Injectable polio vaccine (IPV) are available at this time? </v>
      </c>
      <c r="I2456" s="213" t="str">
        <f t="shared" si="344"/>
        <v>integer</v>
      </c>
      <c r="J2456" s="106" t="s">
        <v>3372</v>
      </c>
      <c r="K2456" s="116" t="s">
        <v>2443</v>
      </c>
      <c r="L2456" s="118" t="str">
        <f>"Sorry, question "&amp;LEFT(E2456, 12)&amp;" is required!"</f>
        <v>Sorry, question (14.13ak_3n) is required!</v>
      </c>
    </row>
    <row r="2457" spans="1:24" ht="14.25" customHeight="1">
      <c r="A2457" t="s">
        <v>15</v>
      </c>
      <c r="H2457" s="206">
        <f t="shared" si="334"/>
        <v>0</v>
      </c>
      <c r="X2457" t="s">
        <v>3033</v>
      </c>
    </row>
    <row r="2458" spans="1:24" ht="14.25" customHeight="1">
      <c r="A2458" t="s">
        <v>12</v>
      </c>
      <c r="B2458" t="s">
        <v>3463</v>
      </c>
      <c r="H2458" s="206">
        <f t="shared" si="334"/>
        <v>0</v>
      </c>
      <c r="J2458" s="106" t="s">
        <v>13</v>
      </c>
      <c r="X2458" t="s">
        <v>3033</v>
      </c>
    </row>
    <row r="2459" spans="1:24" ht="14.25" customHeight="1">
      <c r="A2459" t="s">
        <v>23</v>
      </c>
      <c r="B2459" t="s">
        <v>3087</v>
      </c>
      <c r="E2459" s="118" t="s">
        <v>3585</v>
      </c>
      <c r="H2459" s="206" t="str">
        <f t="shared" si="334"/>
        <v>(14.14ak_3n) In the past 30 days, has the item been out of stock at any time?</v>
      </c>
      <c r="I2459" s="213" t="str">
        <f t="shared" si="344"/>
        <v>select_one yesno</v>
      </c>
      <c r="J2459" s="106" t="s">
        <v>4457</v>
      </c>
      <c r="K2459" s="116" t="s">
        <v>2443</v>
      </c>
      <c r="L2459" s="118" t="str">
        <f>"Sorry, question "&amp;LEFT(E2459, 12)&amp;" is required!"</f>
        <v>Sorry, question (14.14ak_3n) is required!</v>
      </c>
      <c r="O2459" s="110" t="s">
        <v>3085</v>
      </c>
    </row>
    <row r="2460" spans="1:24" ht="14.25" customHeight="1">
      <c r="A2460" t="s">
        <v>14</v>
      </c>
      <c r="B2460" t="s">
        <v>3088</v>
      </c>
      <c r="E2460" s="118" t="s">
        <v>3586</v>
      </c>
      <c r="F2460" s="118" t="s">
        <v>3383</v>
      </c>
      <c r="H2460" s="206" t="str">
        <f t="shared" ref="H2460:H2523" si="349">E2460</f>
        <v>(14.15ak_3n) In the past 30 days, how many days has the item been out of stock?</v>
      </c>
      <c r="I2460" s="213" t="str">
        <f t="shared" si="344"/>
        <v>integer</v>
      </c>
      <c r="J2460" s="106" t="s">
        <v>3379</v>
      </c>
      <c r="K2460" s="116" t="s">
        <v>2443</v>
      </c>
      <c r="L2460" s="118" t="str">
        <f>"Sorry, question "&amp;LEFT(E2460, 12)&amp;" is required!"</f>
        <v>Sorry, question (14.15ak_3n) is required!</v>
      </c>
      <c r="M2460" s="113" t="s">
        <v>3598</v>
      </c>
      <c r="N2460" s="1" t="s">
        <v>4118</v>
      </c>
      <c r="O2460" s="110" t="s">
        <v>3679</v>
      </c>
    </row>
    <row r="2461" spans="1:24" ht="14.25" customHeight="1">
      <c r="A2461" t="s">
        <v>15</v>
      </c>
      <c r="H2461" s="206">
        <f t="shared" si="349"/>
        <v>0</v>
      </c>
      <c r="X2461" t="s">
        <v>3033</v>
      </c>
    </row>
    <row r="2462" spans="1:24" ht="14.25" customHeight="1">
      <c r="A2462" t="s">
        <v>15</v>
      </c>
      <c r="H2462" s="206">
        <f t="shared" si="349"/>
        <v>0</v>
      </c>
      <c r="X2462" t="s">
        <v>3032</v>
      </c>
    </row>
    <row r="2463" spans="1:24" ht="14.25" customHeight="1">
      <c r="A2463" t="s">
        <v>12</v>
      </c>
      <c r="B2463" t="s">
        <v>3465</v>
      </c>
      <c r="E2463" s="118" t="s">
        <v>2804</v>
      </c>
      <c r="H2463" s="206" t="str">
        <f t="shared" si="349"/>
        <v>Diagnostic kits</v>
      </c>
      <c r="X2463" t="s">
        <v>3032</v>
      </c>
    </row>
    <row r="2464" spans="1:24" ht="14.25" customHeight="1">
      <c r="A2464" t="s">
        <v>12</v>
      </c>
      <c r="B2464" t="s">
        <v>3466</v>
      </c>
      <c r="H2464" s="206">
        <f t="shared" si="349"/>
        <v>0</v>
      </c>
      <c r="J2464" s="106" t="s">
        <v>3526</v>
      </c>
      <c r="X2464" t="s">
        <v>3033</v>
      </c>
    </row>
    <row r="2465" spans="1:24" ht="14.25" customHeight="1">
      <c r="A2465" t="s">
        <v>17</v>
      </c>
      <c r="B2465" t="s">
        <v>3467</v>
      </c>
      <c r="E2465" s="118" t="s">
        <v>3558</v>
      </c>
      <c r="H2465" s="206" t="str">
        <f t="shared" si="349"/>
        <v xml:space="preserve">&lt;b&gt;&lt;font color='#610B0B'&gt;&lt;big&gt;DIAGNOSTIC KITS&lt;/big&gt;&lt;/font&gt;&lt;b&gt;
</v>
      </c>
      <c r="I2465" s="213" t="str">
        <f t="shared" si="344"/>
        <v>note</v>
      </c>
      <c r="J2465" s="106" t="s">
        <v>3528</v>
      </c>
    </row>
    <row r="2466" spans="1:24" ht="14.25" customHeight="1">
      <c r="A2466" t="s">
        <v>17</v>
      </c>
      <c r="B2466" t="s">
        <v>1426</v>
      </c>
      <c r="E2466" s="118" t="s">
        <v>4194</v>
      </c>
      <c r="H2466" s="206" t="str">
        <f t="shared" si="349"/>
        <v>&lt;font color='#000000'&gt;&lt;b&gt;Malaria rapid diagnostic kit&lt;/b&gt;&lt;/f&gt;</v>
      </c>
      <c r="I2466" s="213" t="str">
        <f t="shared" si="344"/>
        <v>note</v>
      </c>
      <c r="J2466" s="106" t="s">
        <v>3529</v>
      </c>
      <c r="O2466" s="110" t="s">
        <v>1067</v>
      </c>
    </row>
    <row r="2467" spans="1:24" ht="14.25" customHeight="1">
      <c r="A2467" t="s">
        <v>14</v>
      </c>
      <c r="B2467" t="s">
        <v>1427</v>
      </c>
      <c r="E2467" s="118" t="s">
        <v>2429</v>
      </c>
      <c r="F2467" s="118" t="s">
        <v>3313</v>
      </c>
      <c r="H2467" s="206" t="str">
        <f t="shared" si="349"/>
        <v xml:space="preserve">(14.13al) What quantity of Malaria rapid diagnostic kit are available at this time? </v>
      </c>
      <c r="I2467" s="213" t="str">
        <f t="shared" si="344"/>
        <v>integer</v>
      </c>
      <c r="J2467" s="106" t="s">
        <v>3373</v>
      </c>
      <c r="K2467" s="116" t="s">
        <v>2443</v>
      </c>
      <c r="L2467" s="118" t="str">
        <f t="shared" ref="L2467" si="350">"Sorry, question "&amp;LEFT(E2467, 10)&amp;" is required!"</f>
        <v>Sorry, question (14.13al)  is required!</v>
      </c>
    </row>
    <row r="2468" spans="1:24" ht="14.25" customHeight="1">
      <c r="A2468" t="s">
        <v>15</v>
      </c>
      <c r="H2468" s="206">
        <f t="shared" si="349"/>
        <v>0</v>
      </c>
      <c r="O2468" s="110" t="s">
        <v>1067</v>
      </c>
      <c r="X2468" t="s">
        <v>3033</v>
      </c>
    </row>
    <row r="2469" spans="1:24" ht="14.25" customHeight="1">
      <c r="A2469" t="s">
        <v>12</v>
      </c>
      <c r="B2469" t="s">
        <v>3468</v>
      </c>
      <c r="H2469" s="206">
        <f t="shared" si="349"/>
        <v>0</v>
      </c>
      <c r="J2469" s="106" t="s">
        <v>13</v>
      </c>
      <c r="X2469" t="s">
        <v>3033</v>
      </c>
    </row>
    <row r="2470" spans="1:24" ht="14.25" customHeight="1">
      <c r="A2470" t="s">
        <v>23</v>
      </c>
      <c r="B2470" t="s">
        <v>1428</v>
      </c>
      <c r="E2470" s="118" t="s">
        <v>2050</v>
      </c>
      <c r="H2470" s="206" t="str">
        <f t="shared" si="349"/>
        <v>(14.14al) In the past 30 days, has the item been out of stock at any time?</v>
      </c>
      <c r="I2470" s="213" t="str">
        <f t="shared" si="344"/>
        <v>select_one yesno</v>
      </c>
      <c r="J2470" s="106" t="s">
        <v>4457</v>
      </c>
      <c r="K2470" s="116" t="s">
        <v>2443</v>
      </c>
      <c r="L2470" s="118" t="str">
        <f t="shared" ref="L2470" si="351">"Sorry, question "&amp;LEFT(E2470, 10)&amp;" is required!"</f>
        <v>Sorry, question (14.14al)  is required!</v>
      </c>
      <c r="O2470" s="110" t="s">
        <v>1933</v>
      </c>
    </row>
    <row r="2471" spans="1:24" ht="14.25" customHeight="1">
      <c r="A2471" t="s">
        <v>14</v>
      </c>
      <c r="B2471" t="s">
        <v>1429</v>
      </c>
      <c r="E2471" s="132" t="s">
        <v>2051</v>
      </c>
      <c r="F2471" s="118" t="s">
        <v>3383</v>
      </c>
      <c r="H2471" s="206" t="str">
        <f t="shared" si="349"/>
        <v>(14.15al) In the past 30 days, how many days has the item been out of stock?</v>
      </c>
      <c r="I2471" s="213" t="str">
        <f t="shared" si="344"/>
        <v>integer</v>
      </c>
      <c r="J2471" s="106" t="s">
        <v>3379</v>
      </c>
      <c r="K2471" s="116" t="s">
        <v>2443</v>
      </c>
      <c r="L2471" s="118" t="str">
        <f t="shared" ref="L2471" si="352">"Sorry, question "&amp;LEFT(E2471, 10)&amp;" is required!"</f>
        <v>Sorry, question (14.15al)  is required!</v>
      </c>
      <c r="M2471" s="113" t="s">
        <v>3598</v>
      </c>
      <c r="N2471" s="1" t="s">
        <v>4119</v>
      </c>
      <c r="O2471" s="110" t="s">
        <v>3680</v>
      </c>
    </row>
    <row r="2472" spans="1:24" ht="14.25" customHeight="1">
      <c r="A2472" t="s">
        <v>15</v>
      </c>
      <c r="H2472" s="206">
        <f t="shared" si="349"/>
        <v>0</v>
      </c>
      <c r="O2472" s="110" t="s">
        <v>1067</v>
      </c>
      <c r="X2472" t="s">
        <v>3033</v>
      </c>
    </row>
    <row r="2473" spans="1:24" ht="14.25" customHeight="1">
      <c r="A2473" t="s">
        <v>12</v>
      </c>
      <c r="B2473" t="s">
        <v>3472</v>
      </c>
      <c r="E2473" s="118" t="s">
        <v>1067</v>
      </c>
      <c r="H2473" s="206" t="str">
        <f t="shared" si="349"/>
        <v/>
      </c>
      <c r="J2473" s="106" t="s">
        <v>3526</v>
      </c>
      <c r="X2473" t="s">
        <v>3033</v>
      </c>
    </row>
    <row r="2474" spans="1:24" ht="14.25" customHeight="1">
      <c r="A2474" t="s">
        <v>17</v>
      </c>
      <c r="B2474" t="s">
        <v>1430</v>
      </c>
      <c r="E2474" s="118" t="s">
        <v>4195</v>
      </c>
      <c r="H2474" s="206" t="str">
        <f t="shared" si="349"/>
        <v>&lt;font color='#000000'&gt;&lt;b&gt;HIV test kit&lt;/b&gt;&lt;/f&gt;</v>
      </c>
      <c r="I2474" s="213" t="str">
        <f t="shared" si="344"/>
        <v>note</v>
      </c>
      <c r="J2474" s="106" t="s">
        <v>3528</v>
      </c>
      <c r="O2474" s="110" t="s">
        <v>1067</v>
      </c>
    </row>
    <row r="2475" spans="1:24" ht="14.25" customHeight="1">
      <c r="A2475" t="s">
        <v>14</v>
      </c>
      <c r="B2475" t="s">
        <v>1431</v>
      </c>
      <c r="E2475" s="118" t="s">
        <v>2412</v>
      </c>
      <c r="F2475" s="118" t="s">
        <v>3313</v>
      </c>
      <c r="H2475" s="206" t="str">
        <f t="shared" si="349"/>
        <v xml:space="preserve">(14.13am) What quantity of HIV test kit are available at this time? </v>
      </c>
      <c r="I2475" s="213" t="str">
        <f t="shared" si="344"/>
        <v>integer</v>
      </c>
      <c r="J2475" s="106" t="s">
        <v>3372</v>
      </c>
      <c r="K2475" s="116" t="s">
        <v>2443</v>
      </c>
      <c r="L2475" s="118" t="str">
        <f t="shared" ref="L2475" si="353">"Sorry, question "&amp;LEFT(E2475, 10)&amp;" is required!"</f>
        <v>Sorry, question (14.13am)  is required!</v>
      </c>
    </row>
    <row r="2476" spans="1:24" ht="14.25" customHeight="1">
      <c r="A2476" t="s">
        <v>15</v>
      </c>
      <c r="H2476" s="206">
        <f t="shared" si="349"/>
        <v>0</v>
      </c>
      <c r="O2476" s="110" t="s">
        <v>1067</v>
      </c>
      <c r="X2476" t="s">
        <v>3033</v>
      </c>
    </row>
    <row r="2477" spans="1:24" ht="14.25" customHeight="1">
      <c r="A2477" t="s">
        <v>12</v>
      </c>
      <c r="B2477" t="s">
        <v>3469</v>
      </c>
      <c r="H2477" s="206">
        <f t="shared" si="349"/>
        <v>0</v>
      </c>
      <c r="J2477" s="106" t="s">
        <v>13</v>
      </c>
      <c r="X2477" t="s">
        <v>3033</v>
      </c>
    </row>
    <row r="2478" spans="1:24" ht="14.25" customHeight="1">
      <c r="A2478" t="s">
        <v>23</v>
      </c>
      <c r="B2478" t="s">
        <v>1432</v>
      </c>
      <c r="E2478" s="118" t="s">
        <v>2052</v>
      </c>
      <c r="H2478" s="206" t="str">
        <f t="shared" si="349"/>
        <v>(14.14am) In the past 30 days, has the item been out of stock at any time?</v>
      </c>
      <c r="I2478" s="213" t="str">
        <f t="shared" si="344"/>
        <v>select_one yesno</v>
      </c>
      <c r="J2478" s="106" t="s">
        <v>4457</v>
      </c>
      <c r="K2478" s="116" t="s">
        <v>2443</v>
      </c>
      <c r="L2478" s="118" t="str">
        <f t="shared" ref="L2478:L2479" si="354">"Sorry, question "&amp;LEFT(E2478, 10)&amp;" is required!"</f>
        <v>Sorry, question (14.14am)  is required!</v>
      </c>
      <c r="O2478" s="110" t="s">
        <v>1934</v>
      </c>
    </row>
    <row r="2479" spans="1:24" ht="14.25" customHeight="1">
      <c r="A2479" t="s">
        <v>14</v>
      </c>
      <c r="B2479" t="s">
        <v>1433</v>
      </c>
      <c r="E2479" s="118" t="s">
        <v>2053</v>
      </c>
      <c r="F2479" s="118" t="s">
        <v>3383</v>
      </c>
      <c r="H2479" s="206" t="str">
        <f t="shared" si="349"/>
        <v>(14.15am) In the past 30 days, how many days has the item been out of stock?</v>
      </c>
      <c r="I2479" s="213" t="str">
        <f t="shared" si="344"/>
        <v>integer</v>
      </c>
      <c r="J2479" s="106" t="s">
        <v>3379</v>
      </c>
      <c r="K2479" s="116" t="s">
        <v>2443</v>
      </c>
      <c r="L2479" s="118" t="str">
        <f t="shared" si="354"/>
        <v>Sorry, question (14.15am)  is required!</v>
      </c>
      <c r="M2479" s="113" t="s">
        <v>3598</v>
      </c>
      <c r="N2479" s="1" t="s">
        <v>4120</v>
      </c>
      <c r="O2479" s="110" t="s">
        <v>3681</v>
      </c>
    </row>
    <row r="2480" spans="1:24" ht="14.25" customHeight="1">
      <c r="A2480" t="s">
        <v>15</v>
      </c>
      <c r="H2480" s="206">
        <f t="shared" si="349"/>
        <v>0</v>
      </c>
      <c r="O2480" s="110" t="s">
        <v>1067</v>
      </c>
      <c r="X2480" t="s">
        <v>3033</v>
      </c>
    </row>
    <row r="2481" spans="1:24" ht="14.25" customHeight="1">
      <c r="A2481" t="s">
        <v>12</v>
      </c>
      <c r="B2481" t="s">
        <v>3473</v>
      </c>
      <c r="E2481" s="118" t="s">
        <v>1067</v>
      </c>
      <c r="H2481" s="206" t="str">
        <f t="shared" si="349"/>
        <v/>
      </c>
      <c r="J2481" s="106" t="s">
        <v>3526</v>
      </c>
      <c r="X2481" t="s">
        <v>3033</v>
      </c>
    </row>
    <row r="2482" spans="1:24" ht="14.25" customHeight="1">
      <c r="A2482" t="s">
        <v>17</v>
      </c>
      <c r="B2482" t="s">
        <v>2416</v>
      </c>
      <c r="E2482" s="118" t="s">
        <v>4196</v>
      </c>
      <c r="H2482" s="206" t="str">
        <f t="shared" si="349"/>
        <v>&lt;font color='#000000'&gt;&lt;b&gt;Pregnancy testing kit&lt;/b&gt;&lt;/f&gt;</v>
      </c>
      <c r="I2482" s="213" t="str">
        <f t="shared" si="344"/>
        <v>note</v>
      </c>
      <c r="J2482" s="106" t="s">
        <v>3528</v>
      </c>
      <c r="O2482" s="110" t="s">
        <v>1067</v>
      </c>
    </row>
    <row r="2483" spans="1:24" ht="14.25" customHeight="1">
      <c r="A2483" t="s">
        <v>14</v>
      </c>
      <c r="B2483" t="s">
        <v>2417</v>
      </c>
      <c r="E2483" s="118" t="s">
        <v>2413</v>
      </c>
      <c r="F2483" s="118" t="s">
        <v>3313</v>
      </c>
      <c r="H2483" s="206" t="str">
        <f t="shared" si="349"/>
        <v xml:space="preserve">(14.13an) What quantity of Pregnancy testing kit are available at this time? </v>
      </c>
      <c r="I2483" s="213" t="str">
        <f t="shared" si="344"/>
        <v>integer</v>
      </c>
      <c r="J2483" s="106" t="s">
        <v>3372</v>
      </c>
      <c r="K2483" s="116" t="s">
        <v>2443</v>
      </c>
      <c r="L2483" s="118" t="str">
        <f t="shared" ref="L2483" si="355">"Sorry, question "&amp;LEFT(E2483, 10)&amp;" is required!"</f>
        <v>Sorry, question (14.13an)  is required!</v>
      </c>
    </row>
    <row r="2484" spans="1:24" ht="14.25" customHeight="1">
      <c r="A2484" t="s">
        <v>15</v>
      </c>
      <c r="H2484" s="206">
        <f t="shared" si="349"/>
        <v>0</v>
      </c>
      <c r="O2484" s="110" t="s">
        <v>1067</v>
      </c>
      <c r="X2484" t="s">
        <v>3033</v>
      </c>
    </row>
    <row r="2485" spans="1:24" ht="14.25" customHeight="1">
      <c r="A2485" t="s">
        <v>12</v>
      </c>
      <c r="B2485" t="s">
        <v>3476</v>
      </c>
      <c r="H2485" s="206">
        <f t="shared" si="349"/>
        <v>0</v>
      </c>
      <c r="J2485" s="106" t="s">
        <v>13</v>
      </c>
      <c r="L2485" s="118" t="str">
        <f t="shared" ref="L2485" si="356">"Sorry, question "&amp;LEFT(E2485, 6)&amp;" is required!"</f>
        <v>Sorry, question  is required!</v>
      </c>
      <c r="X2485" t="s">
        <v>3033</v>
      </c>
    </row>
    <row r="2486" spans="1:24" ht="14.25" customHeight="1">
      <c r="A2486" t="s">
        <v>23</v>
      </c>
      <c r="B2486" t="s">
        <v>2418</v>
      </c>
      <c r="E2486" s="118" t="s">
        <v>2414</v>
      </c>
      <c r="H2486" s="206" t="str">
        <f t="shared" si="349"/>
        <v>(14.14an) In the past 30 days, has the item been out of stock at any time?</v>
      </c>
      <c r="I2486" s="213" t="str">
        <f t="shared" si="344"/>
        <v>select_one yesno</v>
      </c>
      <c r="J2486" s="106" t="s">
        <v>4457</v>
      </c>
      <c r="K2486" s="116" t="s">
        <v>2443</v>
      </c>
      <c r="L2486" s="118" t="str">
        <f t="shared" ref="L2486" si="357">"Sorry, question "&amp;LEFT(E2486, 10)&amp;" is required!"</f>
        <v>Sorry, question (14.14an)  is required!</v>
      </c>
      <c r="O2486" s="110" t="s">
        <v>3362</v>
      </c>
    </row>
    <row r="2487" spans="1:24" ht="14.25" customHeight="1">
      <c r="A2487" t="s">
        <v>14</v>
      </c>
      <c r="B2487" t="s">
        <v>2419</v>
      </c>
      <c r="E2487" s="118" t="s">
        <v>2415</v>
      </c>
      <c r="F2487" s="118" t="s">
        <v>3383</v>
      </c>
      <c r="H2487" s="206" t="str">
        <f t="shared" si="349"/>
        <v>(14.15an) In the past 30 days, how many days has the item been out of stock?</v>
      </c>
      <c r="I2487" s="213" t="str">
        <f t="shared" si="344"/>
        <v>integer</v>
      </c>
      <c r="J2487" s="106" t="s">
        <v>3379</v>
      </c>
      <c r="K2487" s="116" t="s">
        <v>2443</v>
      </c>
      <c r="L2487" s="118" t="str">
        <f t="shared" ref="L2487" si="358">"Sorry, question "&amp;LEFT(E2487, 10)&amp;" is required!"</f>
        <v>Sorry, question (14.15an)  is required!</v>
      </c>
      <c r="M2487" s="113" t="s">
        <v>3598</v>
      </c>
      <c r="N2487" s="1" t="s">
        <v>4121</v>
      </c>
      <c r="O2487" s="110" t="s">
        <v>3682</v>
      </c>
    </row>
    <row r="2488" spans="1:24" ht="14.25" customHeight="1">
      <c r="A2488" t="s">
        <v>15</v>
      </c>
      <c r="H2488" s="206">
        <f t="shared" si="349"/>
        <v>0</v>
      </c>
      <c r="O2488" s="110" t="s">
        <v>1067</v>
      </c>
      <c r="X2488" t="s">
        <v>3033</v>
      </c>
    </row>
    <row r="2489" spans="1:24" ht="14.25" customHeight="1">
      <c r="A2489" t="s">
        <v>12</v>
      </c>
      <c r="B2489" t="s">
        <v>3474</v>
      </c>
      <c r="E2489" s="118" t="s">
        <v>1067</v>
      </c>
      <c r="H2489" s="206" t="str">
        <f t="shared" si="349"/>
        <v/>
      </c>
      <c r="J2489" s="106" t="s">
        <v>3526</v>
      </c>
      <c r="X2489" t="s">
        <v>3033</v>
      </c>
    </row>
    <row r="2490" spans="1:24" ht="14.25" customHeight="1">
      <c r="A2490" t="s">
        <v>17</v>
      </c>
      <c r="B2490" t="s">
        <v>2420</v>
      </c>
      <c r="E2490" s="118" t="s">
        <v>4197</v>
      </c>
      <c r="H2490" s="206" t="str">
        <f t="shared" si="349"/>
        <v>&lt;font color='#000000'&gt;&lt;b&gt;Rapid plasma reagin (RPR) test for syphilis&lt;/b&gt;&lt;/f&gt;</v>
      </c>
      <c r="I2490" s="213" t="str">
        <f t="shared" si="344"/>
        <v>note</v>
      </c>
      <c r="J2490" s="106" t="s">
        <v>3528</v>
      </c>
      <c r="O2490" s="110" t="s">
        <v>1067</v>
      </c>
    </row>
    <row r="2491" spans="1:24" ht="14.25" customHeight="1">
      <c r="A2491" t="s">
        <v>14</v>
      </c>
      <c r="B2491" t="s">
        <v>2421</v>
      </c>
      <c r="E2491" s="118" t="s">
        <v>2425</v>
      </c>
      <c r="F2491" s="118" t="s">
        <v>3313</v>
      </c>
      <c r="H2491" s="206" t="str">
        <f t="shared" si="349"/>
        <v xml:space="preserve">(14.13ao) What quantity of Rapid plasma reagin (RPR) test for syphilis are available at this time? </v>
      </c>
      <c r="I2491" s="213" t="str">
        <f t="shared" si="344"/>
        <v>integer</v>
      </c>
      <c r="J2491" s="106" t="s">
        <v>3372</v>
      </c>
      <c r="K2491" s="116" t="s">
        <v>2443</v>
      </c>
      <c r="L2491" s="118" t="str">
        <f t="shared" ref="L2491" si="359">"Sorry, question "&amp;LEFT(E2491, 10)&amp;" is required!"</f>
        <v>Sorry, question (14.13ao)  is required!</v>
      </c>
    </row>
    <row r="2492" spans="1:24" ht="14.25" customHeight="1">
      <c r="A2492" t="s">
        <v>15</v>
      </c>
      <c r="H2492" s="206">
        <f t="shared" si="349"/>
        <v>0</v>
      </c>
      <c r="O2492" s="110" t="s">
        <v>1067</v>
      </c>
      <c r="X2492" t="s">
        <v>3033</v>
      </c>
    </row>
    <row r="2493" spans="1:24" ht="14.25" customHeight="1">
      <c r="A2493" t="s">
        <v>12</v>
      </c>
      <c r="B2493" t="s">
        <v>3470</v>
      </c>
      <c r="H2493" s="206">
        <f t="shared" si="349"/>
        <v>0</v>
      </c>
      <c r="J2493" s="106" t="s">
        <v>13</v>
      </c>
      <c r="X2493" t="s">
        <v>3033</v>
      </c>
    </row>
    <row r="2494" spans="1:24" ht="14.25" customHeight="1">
      <c r="A2494" t="s">
        <v>23</v>
      </c>
      <c r="B2494" t="s">
        <v>2422</v>
      </c>
      <c r="E2494" s="118" t="s">
        <v>2426</v>
      </c>
      <c r="H2494" s="206" t="str">
        <f t="shared" si="349"/>
        <v>(14.14ao) In the past 30 days, has the item been out of stock at any time?</v>
      </c>
      <c r="I2494" s="213" t="str">
        <f t="shared" si="344"/>
        <v>select_one yesno</v>
      </c>
      <c r="J2494" s="106" t="s">
        <v>4457</v>
      </c>
      <c r="K2494" s="116" t="s">
        <v>2443</v>
      </c>
      <c r="L2494" s="118" t="str">
        <f t="shared" ref="L2494:L2495" si="360">"Sorry, question "&amp;LEFT(E2494, 10)&amp;" is required!"</f>
        <v>Sorry, question (14.14ao)  is required!</v>
      </c>
      <c r="O2494" s="110" t="s">
        <v>2424</v>
      </c>
    </row>
    <row r="2495" spans="1:24" ht="14.25" customHeight="1">
      <c r="A2495" t="s">
        <v>14</v>
      </c>
      <c r="B2495" t="s">
        <v>2423</v>
      </c>
      <c r="E2495" s="118" t="s">
        <v>2427</v>
      </c>
      <c r="F2495" s="118" t="s">
        <v>3383</v>
      </c>
      <c r="H2495" s="206" t="str">
        <f t="shared" si="349"/>
        <v>(14.15ao) In the past 30 days, how many days has the item been out of stock?</v>
      </c>
      <c r="I2495" s="213" t="str">
        <f t="shared" si="344"/>
        <v>integer</v>
      </c>
      <c r="J2495" s="106" t="s">
        <v>3379</v>
      </c>
      <c r="K2495" s="116" t="s">
        <v>2443</v>
      </c>
      <c r="L2495" s="118" t="str">
        <f t="shared" si="360"/>
        <v>Sorry, question (14.15ao)  is required!</v>
      </c>
      <c r="M2495" s="113" t="s">
        <v>3598</v>
      </c>
      <c r="N2495" s="1" t="s">
        <v>4122</v>
      </c>
      <c r="O2495" s="110" t="s">
        <v>3683</v>
      </c>
    </row>
    <row r="2496" spans="1:24" ht="14.25" customHeight="1">
      <c r="A2496" t="s">
        <v>15</v>
      </c>
      <c r="H2496" s="206">
        <f t="shared" si="349"/>
        <v>0</v>
      </c>
      <c r="O2496" s="110" t="s">
        <v>1067</v>
      </c>
      <c r="X2496" t="s">
        <v>3033</v>
      </c>
    </row>
    <row r="2497" spans="1:24" ht="14.25" customHeight="1">
      <c r="A2497" t="s">
        <v>12</v>
      </c>
      <c r="B2497" t="s">
        <v>3475</v>
      </c>
      <c r="E2497" s="118" t="s">
        <v>1067</v>
      </c>
      <c r="H2497" s="206" t="str">
        <f t="shared" si="349"/>
        <v/>
      </c>
      <c r="J2497" s="106" t="s">
        <v>3526</v>
      </c>
      <c r="X2497" t="s">
        <v>3033</v>
      </c>
    </row>
    <row r="2498" spans="1:24" ht="14.25" customHeight="1">
      <c r="A2498" t="s">
        <v>17</v>
      </c>
      <c r="B2498" t="s">
        <v>1434</v>
      </c>
      <c r="E2498" s="118" t="s">
        <v>4198</v>
      </c>
      <c r="H2498" s="206" t="str">
        <f t="shared" si="349"/>
        <v>&lt;font color='#000000'&gt;&lt;b&gt;Urine protein &amp; glucose testing kit (dipstick test)&lt;/b&gt;&lt;/f&gt;</v>
      </c>
      <c r="I2498" s="213" t="str">
        <f t="shared" ref="I2498:I2528" si="361">A2498</f>
        <v>note</v>
      </c>
      <c r="J2498" s="106" t="s">
        <v>3528</v>
      </c>
      <c r="O2498" s="110" t="s">
        <v>1067</v>
      </c>
    </row>
    <row r="2499" spans="1:24" ht="14.25" customHeight="1">
      <c r="A2499" t="s">
        <v>14</v>
      </c>
      <c r="B2499" t="s">
        <v>1435</v>
      </c>
      <c r="E2499" s="118" t="s">
        <v>2428</v>
      </c>
      <c r="F2499" s="118" t="s">
        <v>3313</v>
      </c>
      <c r="H2499" s="206" t="str">
        <f t="shared" si="349"/>
        <v xml:space="preserve">(14.13ap) What quantity of Urine protein &amp; glucose testing kit (dipstick test) are available at this time? </v>
      </c>
      <c r="I2499" s="213" t="str">
        <f t="shared" si="361"/>
        <v>integer</v>
      </c>
      <c r="J2499" s="106" t="s">
        <v>3372</v>
      </c>
      <c r="K2499" s="116" t="s">
        <v>2443</v>
      </c>
      <c r="L2499" s="118" t="str">
        <f>"Sorry, question "&amp;LEFT(E2499, 10)&amp;" is required!"</f>
        <v>Sorry, question (14.13ap)  is required!</v>
      </c>
    </row>
    <row r="2500" spans="1:24" ht="14.25" customHeight="1">
      <c r="A2500" t="s">
        <v>15</v>
      </c>
      <c r="H2500" s="206">
        <f t="shared" si="349"/>
        <v>0</v>
      </c>
      <c r="O2500" s="110" t="s">
        <v>1067</v>
      </c>
      <c r="X2500" t="s">
        <v>3033</v>
      </c>
    </row>
    <row r="2501" spans="1:24" ht="14.25" customHeight="1">
      <c r="A2501" t="s">
        <v>12</v>
      </c>
      <c r="B2501" t="s">
        <v>3471</v>
      </c>
      <c r="H2501" s="206">
        <f t="shared" si="349"/>
        <v>0</v>
      </c>
      <c r="J2501" s="106" t="s">
        <v>13</v>
      </c>
      <c r="X2501" t="s">
        <v>3033</v>
      </c>
    </row>
    <row r="2502" spans="1:24" ht="14.25" customHeight="1">
      <c r="A2502" t="s">
        <v>23</v>
      </c>
      <c r="B2502" t="s">
        <v>1436</v>
      </c>
      <c r="E2502" s="118" t="s">
        <v>2054</v>
      </c>
      <c r="H2502" s="206" t="str">
        <f t="shared" si="349"/>
        <v>(14.14ap) In the past 30 days, has the item been out of stock at any time?</v>
      </c>
      <c r="I2502" s="213" t="str">
        <f t="shared" si="361"/>
        <v>select_one yesno</v>
      </c>
      <c r="J2502" s="106" t="s">
        <v>4457</v>
      </c>
      <c r="K2502" s="116" t="s">
        <v>2443</v>
      </c>
      <c r="L2502" s="118" t="str">
        <f>"Sorry, question "&amp;LEFT(E2502, 10)&amp;" is required!"</f>
        <v>Sorry, question (14.14ap)  is required!</v>
      </c>
      <c r="O2502" s="110" t="s">
        <v>1935</v>
      </c>
    </row>
    <row r="2503" spans="1:24" ht="14.25" customHeight="1">
      <c r="A2503" t="s">
        <v>14</v>
      </c>
      <c r="B2503" t="s">
        <v>1437</v>
      </c>
      <c r="E2503" s="118" t="s">
        <v>2055</v>
      </c>
      <c r="F2503" s="118" t="s">
        <v>3383</v>
      </c>
      <c r="H2503" s="206" t="str">
        <f t="shared" si="349"/>
        <v>(14.15ap) In the past 30 days, how many days has the item been out of stock?</v>
      </c>
      <c r="I2503" s="213" t="str">
        <f t="shared" si="361"/>
        <v>integer</v>
      </c>
      <c r="J2503" s="106" t="s">
        <v>3379</v>
      </c>
      <c r="K2503" s="116" t="s">
        <v>2443</v>
      </c>
      <c r="L2503" s="118" t="str">
        <f>"Sorry, question "&amp;LEFT(E2503, 10)&amp;" is required!"</f>
        <v>Sorry, question (14.15ap)  is required!</v>
      </c>
      <c r="M2503" s="113" t="s">
        <v>3598</v>
      </c>
      <c r="N2503" s="1" t="s">
        <v>4123</v>
      </c>
      <c r="O2503" s="110" t="s">
        <v>3684</v>
      </c>
    </row>
    <row r="2504" spans="1:24" ht="14.25" customHeight="1">
      <c r="A2504" t="s">
        <v>15</v>
      </c>
      <c r="H2504" s="206">
        <f t="shared" si="349"/>
        <v>0</v>
      </c>
      <c r="O2504" s="110" t="s">
        <v>1067</v>
      </c>
      <c r="X2504" t="s">
        <v>3033</v>
      </c>
    </row>
    <row r="2505" spans="1:24" ht="14.25" customHeight="1">
      <c r="A2505" t="s">
        <v>956</v>
      </c>
      <c r="E2505" s="118" t="s">
        <v>1067</v>
      </c>
      <c r="H2505" s="206" t="str">
        <f t="shared" si="349"/>
        <v/>
      </c>
      <c r="X2505" t="s">
        <v>3032</v>
      </c>
    </row>
    <row r="2506" spans="1:24" ht="14.25" customHeight="1">
      <c r="A2506" t="s">
        <v>954</v>
      </c>
      <c r="B2506" t="s">
        <v>3363</v>
      </c>
      <c r="E2506" s="118" t="s">
        <v>1067</v>
      </c>
      <c r="H2506" s="206" t="str">
        <f t="shared" si="349"/>
        <v/>
      </c>
      <c r="J2506" s="106" t="s">
        <v>13</v>
      </c>
      <c r="X2506" t="s">
        <v>3032</v>
      </c>
    </row>
    <row r="2507" spans="1:24" ht="14.25" customHeight="1">
      <c r="A2507" t="s">
        <v>17</v>
      </c>
      <c r="B2507" t="s">
        <v>1528</v>
      </c>
      <c r="E2507" s="118" t="s">
        <v>2682</v>
      </c>
      <c r="F2507" s="118" t="s">
        <v>2708</v>
      </c>
      <c r="H2507" s="206" t="str">
        <f t="shared" si="349"/>
        <v>(14.16) What do you do when this facility runs out of key drugs like Coartem, Amoxycillin etc.?</v>
      </c>
      <c r="I2507" s="213" t="str">
        <f t="shared" si="361"/>
        <v>note</v>
      </c>
    </row>
    <row r="2508" spans="1:24" ht="14.25" customHeight="1">
      <c r="A2508" t="s">
        <v>1287</v>
      </c>
      <c r="B2508" t="s">
        <v>3004</v>
      </c>
      <c r="E2508" s="118" t="s">
        <v>1875</v>
      </c>
      <c r="H2508" s="206" t="str">
        <f t="shared" si="349"/>
        <v>Response</v>
      </c>
      <c r="I2508" s="213" t="str">
        <f t="shared" si="361"/>
        <v>select_one yesno</v>
      </c>
      <c r="J2508" s="106" t="s">
        <v>1</v>
      </c>
    </row>
    <row r="2509" spans="1:24" ht="14.25" customHeight="1">
      <c r="A2509" t="s">
        <v>1287</v>
      </c>
      <c r="B2509" t="s">
        <v>1529</v>
      </c>
      <c r="C2509" t="str">
        <f>RIGHT(B2509,1)&amp;"."</f>
        <v>a.</v>
      </c>
      <c r="D2509" t="s">
        <v>1438</v>
      </c>
      <c r="E2509" s="118" t="str">
        <f>C2509&amp;D2509</f>
        <v>a.INFORM FACILITY INCHARGE</v>
      </c>
      <c r="H2509" s="206" t="str">
        <f>"(4.16) "&amp;E2509</f>
        <v>(4.16) a.INFORM FACILITY INCHARGE</v>
      </c>
      <c r="I2509" s="213" t="str">
        <f t="shared" si="361"/>
        <v>select_one yesno</v>
      </c>
      <c r="J2509" s="106" t="s">
        <v>2442</v>
      </c>
      <c r="K2509" s="116" t="s">
        <v>2443</v>
      </c>
      <c r="L2509" s="118" t="str">
        <f>"Sorry, question "&amp;LEFT($E$2507, 7)&amp;LEFT(C2509,1)&amp;" is required!"</f>
        <v>Sorry, question (14.16)a is required!</v>
      </c>
    </row>
    <row r="2510" spans="1:24" ht="14.25" customHeight="1">
      <c r="A2510" t="s">
        <v>1287</v>
      </c>
      <c r="B2510" t="s">
        <v>1530</v>
      </c>
      <c r="C2510" t="str">
        <f t="shared" ref="C2510:C2515" si="362">RIGHT(B2510,1)&amp;"."</f>
        <v>b.</v>
      </c>
      <c r="D2510" t="s">
        <v>3089</v>
      </c>
      <c r="E2510" s="118" t="str">
        <f t="shared" ref="E2510:E2515" si="363">C2510&amp;D2510</f>
        <v>b.CALL THE REGIONAL MEDICAL STORE/PHARMACY</v>
      </c>
      <c r="H2510" s="206" t="str">
        <f t="shared" ref="H2510:H2516" si="364">"(4.16) "&amp;E2510</f>
        <v>(4.16) b.CALL THE REGIONAL MEDICAL STORE/PHARMACY</v>
      </c>
      <c r="I2510" s="213" t="str">
        <f t="shared" si="361"/>
        <v>select_one yesno</v>
      </c>
      <c r="J2510" s="106" t="s">
        <v>2442</v>
      </c>
      <c r="K2510" s="116" t="s">
        <v>2443</v>
      </c>
      <c r="L2510" s="118" t="str">
        <f t="shared" ref="L2510:L2515" si="365">"Sorry, question "&amp;LEFT($E$2507, 7)&amp;LEFT(C2510,1)&amp;" is required!"</f>
        <v>Sorry, question (14.16)b is required!</v>
      </c>
    </row>
    <row r="2511" spans="1:24" ht="14.25" customHeight="1">
      <c r="A2511" t="s">
        <v>1287</v>
      </c>
      <c r="B2511" t="s">
        <v>1531</v>
      </c>
      <c r="C2511" t="str">
        <f t="shared" si="362"/>
        <v>c.</v>
      </c>
      <c r="D2511" t="s">
        <v>3090</v>
      </c>
      <c r="E2511" s="118" t="str">
        <f t="shared" si="363"/>
        <v>c.CALL RHD</v>
      </c>
      <c r="H2511" s="206" t="str">
        <f t="shared" si="364"/>
        <v>(4.16) c.CALL RHD</v>
      </c>
      <c r="I2511" s="213" t="str">
        <f t="shared" si="361"/>
        <v>select_one yesno</v>
      </c>
      <c r="J2511" s="106" t="s">
        <v>2442</v>
      </c>
      <c r="K2511" s="116" t="s">
        <v>2443</v>
      </c>
      <c r="L2511" s="118" t="str">
        <f t="shared" si="365"/>
        <v>Sorry, question (14.16)c is required!</v>
      </c>
    </row>
    <row r="2512" spans="1:24" ht="14.25" customHeight="1">
      <c r="A2512" t="s">
        <v>1287</v>
      </c>
      <c r="B2512" t="s">
        <v>1532</v>
      </c>
      <c r="C2512" t="str">
        <f t="shared" si="362"/>
        <v>d.</v>
      </c>
      <c r="D2512" t="s">
        <v>3091</v>
      </c>
      <c r="E2512" s="118" t="str">
        <f t="shared" si="363"/>
        <v>d.BUY MEDICINES LOCALLY IN THE PRIVATE MARKET/PHARMACY</v>
      </c>
      <c r="H2512" s="206" t="str">
        <f t="shared" si="364"/>
        <v>(4.16) d.BUY MEDICINES LOCALLY IN THE PRIVATE MARKET/PHARMACY</v>
      </c>
      <c r="I2512" s="213" t="str">
        <f t="shared" si="361"/>
        <v>select_one yesno</v>
      </c>
      <c r="J2512" s="106" t="s">
        <v>2442</v>
      </c>
      <c r="K2512" s="116" t="s">
        <v>2443</v>
      </c>
      <c r="L2512" s="118" t="str">
        <f t="shared" si="365"/>
        <v>Sorry, question (14.16)d is required!</v>
      </c>
    </row>
    <row r="2513" spans="1:24" ht="14.25" customHeight="1">
      <c r="A2513" t="s">
        <v>1287</v>
      </c>
      <c r="B2513" t="s">
        <v>1533</v>
      </c>
      <c r="C2513" t="str">
        <f t="shared" si="362"/>
        <v>e.</v>
      </c>
      <c r="D2513" t="s">
        <v>1439</v>
      </c>
      <c r="E2513" s="118" t="str">
        <f t="shared" si="363"/>
        <v>e.SEND PATIENTS TO BUY THE MEDICINE IN THE PRIVATE MARKET</v>
      </c>
      <c r="H2513" s="206" t="str">
        <f t="shared" si="364"/>
        <v>(4.16) e.SEND PATIENTS TO BUY THE MEDICINE IN THE PRIVATE MARKET</v>
      </c>
      <c r="I2513" s="213" t="str">
        <f t="shared" si="361"/>
        <v>select_one yesno</v>
      </c>
      <c r="J2513" s="106" t="s">
        <v>2442</v>
      </c>
      <c r="K2513" s="116" t="s">
        <v>2443</v>
      </c>
      <c r="L2513" s="118" t="str">
        <f t="shared" si="365"/>
        <v>Sorry, question (14.16)e is required!</v>
      </c>
    </row>
    <row r="2514" spans="1:24" ht="14.25" customHeight="1">
      <c r="A2514" t="s">
        <v>1287</v>
      </c>
      <c r="B2514" t="s">
        <v>1534</v>
      </c>
      <c r="C2514" t="str">
        <f t="shared" si="362"/>
        <v>f.</v>
      </c>
      <c r="D2514" t="s">
        <v>1440</v>
      </c>
      <c r="E2514" s="118" t="str">
        <f t="shared" si="363"/>
        <v>f.GO TO THE CAPITAL TO BUY MEDICINES</v>
      </c>
      <c r="H2514" s="206" t="str">
        <f t="shared" si="364"/>
        <v>(4.16) f.GO TO THE CAPITAL TO BUY MEDICINES</v>
      </c>
      <c r="I2514" s="213" t="str">
        <f t="shared" si="361"/>
        <v>select_one yesno</v>
      </c>
      <c r="J2514" s="106" t="s">
        <v>2442</v>
      </c>
      <c r="K2514" s="116" t="s">
        <v>2443</v>
      </c>
      <c r="L2514" s="118" t="str">
        <f t="shared" si="365"/>
        <v>Sorry, question (14.16)f is required!</v>
      </c>
    </row>
    <row r="2515" spans="1:24" ht="14.25" customHeight="1">
      <c r="A2515" t="s">
        <v>1287</v>
      </c>
      <c r="B2515" t="s">
        <v>1535</v>
      </c>
      <c r="C2515" t="str">
        <f t="shared" si="362"/>
        <v>g.</v>
      </c>
      <c r="D2515" t="s">
        <v>1441</v>
      </c>
      <c r="E2515" s="118" t="str">
        <f t="shared" si="363"/>
        <v xml:space="preserve">g.OTHER, SPECIFY: </v>
      </c>
      <c r="H2515" s="206" t="str">
        <f t="shared" si="364"/>
        <v xml:space="preserve">(4.16) g.OTHER, SPECIFY: </v>
      </c>
      <c r="I2515" s="213" t="str">
        <f t="shared" si="361"/>
        <v>select_one yesno</v>
      </c>
      <c r="J2515" s="106" t="s">
        <v>2442</v>
      </c>
      <c r="K2515" s="116" t="s">
        <v>2443</v>
      </c>
      <c r="L2515" s="118" t="str">
        <f t="shared" si="365"/>
        <v>Sorry, question (14.16)g is required!</v>
      </c>
    </row>
    <row r="2516" spans="1:24" ht="14.25" customHeight="1">
      <c r="A2516" t="s">
        <v>1288</v>
      </c>
      <c r="B2516" t="s">
        <v>1542</v>
      </c>
      <c r="E2516" s="118" t="s">
        <v>6706</v>
      </c>
      <c r="F2516" s="118" t="s">
        <v>6706</v>
      </c>
      <c r="H2516" s="206" t="str">
        <f t="shared" si="364"/>
        <v>(4.16) g.Other, specify:</v>
      </c>
      <c r="I2516" s="213" t="str">
        <f t="shared" si="361"/>
        <v>text</v>
      </c>
      <c r="J2516" s="106" t="s">
        <v>2773</v>
      </c>
      <c r="K2516" s="116" t="s">
        <v>2443</v>
      </c>
      <c r="L2516" s="118" t="str">
        <f>"Sorry, question "&amp;LEFT($E$2507, 7)&amp;LEFT(E2516,7)&amp;" is required!"</f>
        <v>Sorry, question (14.16)g.Other is required!</v>
      </c>
      <c r="O2516" s="110" t="s">
        <v>2755</v>
      </c>
    </row>
    <row r="2517" spans="1:24" ht="14.25" customHeight="1">
      <c r="A2517" t="s">
        <v>956</v>
      </c>
      <c r="E2517" s="118" t="s">
        <v>1067</v>
      </c>
      <c r="H2517" s="206" t="str">
        <f t="shared" si="349"/>
        <v/>
      </c>
      <c r="X2517" t="s">
        <v>3032</v>
      </c>
    </row>
    <row r="2518" spans="1:24" ht="14.25" customHeight="1">
      <c r="A2518" t="s">
        <v>15</v>
      </c>
      <c r="X2518" t="s">
        <v>2778</v>
      </c>
    </row>
    <row r="2520" spans="1:24" ht="15.75" customHeight="1">
      <c r="A2520" t="s">
        <v>2684</v>
      </c>
      <c r="B2520" t="s">
        <v>3005</v>
      </c>
      <c r="E2520" s="118" t="s">
        <v>2795</v>
      </c>
      <c r="J2520" s="106" t="s">
        <v>2778</v>
      </c>
      <c r="X2520" t="s">
        <v>2778</v>
      </c>
    </row>
    <row r="2521" spans="1:24" ht="15.75" customHeight="1">
      <c r="A2521" t="s">
        <v>2684</v>
      </c>
      <c r="B2521" t="s">
        <v>2685</v>
      </c>
      <c r="J2521" s="106" t="s">
        <v>13</v>
      </c>
      <c r="X2521" t="s">
        <v>3032</v>
      </c>
    </row>
    <row r="2522" spans="1:24" ht="15.75" customHeight="1">
      <c r="A2522" t="s">
        <v>2686</v>
      </c>
      <c r="B2522" t="s">
        <v>4391</v>
      </c>
      <c r="E2522" s="118" t="s">
        <v>4199</v>
      </c>
      <c r="H2522" s="206" t="str">
        <f t="shared" si="349"/>
        <v>RECORD GPS Coordinates</v>
      </c>
      <c r="I2522" s="213" t="s">
        <v>16</v>
      </c>
      <c r="J2522" s="106" t="s">
        <v>2772</v>
      </c>
      <c r="K2522" s="116" t="s">
        <v>2443</v>
      </c>
      <c r="L2522" s="118" t="str">
        <f>"Sorry, question "&amp;LEFT($E$2522, 24)&amp;LEFT(C2522,1)&amp;" is required!"</f>
        <v>Sorry, question RECORD GPS Coordinates is required!</v>
      </c>
    </row>
    <row r="2523" spans="1:24" ht="15.75" customHeight="1">
      <c r="A2523" t="s">
        <v>2687</v>
      </c>
      <c r="B2523" s="1" t="s">
        <v>4444</v>
      </c>
      <c r="E2523" s="118" t="s">
        <v>2688</v>
      </c>
      <c r="H2523" s="206" t="str">
        <f t="shared" si="349"/>
        <v>RESULT OF THE INTERVIEW:</v>
      </c>
      <c r="I2523" s="213" t="str">
        <f t="shared" si="361"/>
        <v>select_one result</v>
      </c>
      <c r="K2523" s="116" t="s">
        <v>2443</v>
      </c>
      <c r="L2523" s="118" t="str">
        <f>"Sorry, question "&amp;LEFT($E$2523, 24)&amp;LEFT(C2523,1)&amp;" is required!"</f>
        <v>Sorry, question RESULT OF THE INTERVIEW: is required!</v>
      </c>
    </row>
    <row r="2524" spans="1:24" ht="15.75" customHeight="1">
      <c r="A2524" t="s">
        <v>1288</v>
      </c>
      <c r="B2524" s="1" t="s">
        <v>4465</v>
      </c>
      <c r="E2524" s="118" t="s">
        <v>18</v>
      </c>
      <c r="F2524" s="118" t="s">
        <v>18</v>
      </c>
      <c r="H2524" s="206" t="str">
        <f>"RESULT- "&amp; E2524</f>
        <v>RESULT- OTHER, SPECIFY</v>
      </c>
      <c r="I2524" s="213" t="str">
        <f t="shared" si="361"/>
        <v>text</v>
      </c>
      <c r="J2524" s="106" t="s">
        <v>2773</v>
      </c>
      <c r="K2524" s="116" t="s">
        <v>2443</v>
      </c>
      <c r="L2524" s="118" t="str">
        <f>"Sorry, question "&amp;LEFT($E$2524, 24)&amp;LEFT(C2524,1)&amp;" is required!"</f>
        <v>Sorry, question OTHER, SPECIFY is required!</v>
      </c>
      <c r="O2524" s="110" t="s">
        <v>4448</v>
      </c>
    </row>
    <row r="2525" spans="1:24" ht="14.25" customHeight="1">
      <c r="A2525" t="s">
        <v>15</v>
      </c>
      <c r="H2525" s="206">
        <f t="shared" ref="H2525:H2531" si="366">E2525</f>
        <v>0</v>
      </c>
      <c r="X2525" t="s">
        <v>3033</v>
      </c>
    </row>
    <row r="2526" spans="1:24" ht="14.25" customHeight="1">
      <c r="A2526" s="1" t="s">
        <v>12</v>
      </c>
      <c r="B2526" s="1" t="s">
        <v>4449</v>
      </c>
      <c r="H2526" s="206">
        <f t="shared" si="366"/>
        <v>0</v>
      </c>
      <c r="J2526" s="106" t="s">
        <v>4419</v>
      </c>
      <c r="X2526" t="s">
        <v>3033</v>
      </c>
    </row>
    <row r="2527" spans="1:24" ht="15.75" customHeight="1">
      <c r="A2527" s="1" t="s">
        <v>4450</v>
      </c>
      <c r="B2527" s="1" t="s">
        <v>4452</v>
      </c>
      <c r="E2527" s="132" t="s">
        <v>2689</v>
      </c>
      <c r="H2527" s="206" t="str">
        <f t="shared" si="366"/>
        <v>TRANSLATOR USED?</v>
      </c>
      <c r="I2527" s="213" t="str">
        <f t="shared" si="361"/>
        <v>select_one tranlator</v>
      </c>
      <c r="K2527" s="116" t="s">
        <v>2443</v>
      </c>
      <c r="L2527" s="118" t="str">
        <f>"Sorry, question "&amp;LEFT($E$2527, 24)&amp;LEFT(C2527,1)&amp;" is required!"</f>
        <v>Sorry, question TRANSLATOR USED? is required!</v>
      </c>
    </row>
    <row r="2528" spans="1:24" ht="15.75" customHeight="1">
      <c r="A2528" t="s">
        <v>2690</v>
      </c>
      <c r="B2528" s="1" t="s">
        <v>4453</v>
      </c>
      <c r="E2528" s="118" t="s">
        <v>3006</v>
      </c>
      <c r="H2528" s="206" t="str">
        <f t="shared" si="366"/>
        <v>LANGUAGE USED BY THE RESPONDENT?</v>
      </c>
      <c r="I2528" s="213" t="str">
        <f t="shared" si="361"/>
        <v>select_one language</v>
      </c>
      <c r="K2528" s="116" t="s">
        <v>2443</v>
      </c>
      <c r="L2528" s="118" t="str">
        <f>"Sorry, question "&amp;LEFT($E$2528, 30)&amp;LEFT(C2528,1)&amp;" is required!"</f>
        <v>Sorry, question LANGUAGE USED BY THE RESPONDEN is required!</v>
      </c>
    </row>
    <row r="2529" spans="1:24" ht="15.75" customHeight="1">
      <c r="A2529" t="s">
        <v>1288</v>
      </c>
      <c r="B2529" s="1" t="s">
        <v>4464</v>
      </c>
      <c r="E2529" s="118" t="s">
        <v>18</v>
      </c>
      <c r="F2529" s="118" t="s">
        <v>18</v>
      </c>
      <c r="H2529" s="206" t="str">
        <f t="shared" si="366"/>
        <v>OTHER, SPECIFY</v>
      </c>
      <c r="I2529" s="213" t="s">
        <v>17</v>
      </c>
      <c r="J2529" s="106" t="s">
        <v>2773</v>
      </c>
      <c r="K2529" s="116" t="s">
        <v>2443</v>
      </c>
      <c r="L2529" s="118" t="str">
        <f>"Sorry, question "&amp;LEFT($E$2529, 30)&amp;LEFT(C2529,1)&amp;" is required!"</f>
        <v>Sorry, question OTHER, SPECIFY is required!</v>
      </c>
      <c r="O2529" s="110" t="s">
        <v>4454</v>
      </c>
    </row>
    <row r="2530" spans="1:24" s="126" customFormat="1" ht="15.75" customHeight="1">
      <c r="A2530" s="126" t="s">
        <v>16</v>
      </c>
      <c r="B2530" s="126" t="s">
        <v>3685</v>
      </c>
      <c r="E2530" s="126" t="s">
        <v>3686</v>
      </c>
      <c r="H2530" s="206" t="str">
        <f t="shared" si="366"/>
        <v>SAVE &amp; EXIT</v>
      </c>
      <c r="I2530" s="213" t="s">
        <v>17</v>
      </c>
      <c r="J2530" s="126" t="s">
        <v>5247</v>
      </c>
      <c r="P2530" s="101"/>
    </row>
    <row r="2531" spans="1:24" s="126" customFormat="1" ht="15.75" customHeight="1">
      <c r="A2531" s="126" t="s">
        <v>16</v>
      </c>
      <c r="B2531" s="126" t="s">
        <v>3687</v>
      </c>
      <c r="E2531" s="126" t="s">
        <v>3688</v>
      </c>
      <c r="H2531" s="206" t="str">
        <f t="shared" si="366"/>
        <v>FINISH &amp; EXIT</v>
      </c>
      <c r="I2531" s="213" t="s">
        <v>17</v>
      </c>
      <c r="J2531" s="126" t="s">
        <v>5248</v>
      </c>
      <c r="P2531" s="101"/>
    </row>
    <row r="2532" spans="1:24" ht="15.75" customHeight="1">
      <c r="A2532" t="s">
        <v>15</v>
      </c>
      <c r="X2532" t="s">
        <v>3032</v>
      </c>
    </row>
    <row r="2533" spans="1:24" ht="15.75" customHeight="1">
      <c r="A2533" t="s">
        <v>15</v>
      </c>
      <c r="X2533" t="s">
        <v>2778</v>
      </c>
    </row>
  </sheetData>
  <phoneticPr fontId="5"/>
  <conditionalFormatting sqref="O1:O2">
    <cfRule type="expression" dxfId="213" priority="4298">
      <formula>$O$1 = "relevant"</formula>
    </cfRule>
  </conditionalFormatting>
  <conditionalFormatting sqref="E1:F2 E3">
    <cfRule type="expression" dxfId="212" priority="4294">
      <formula>$A1 = "calculate"</formula>
    </cfRule>
  </conditionalFormatting>
  <conditionalFormatting sqref="M1:M2">
    <cfRule type="expression" dxfId="211" priority="4297">
      <formula>$M$1 = "constraint"</formula>
    </cfRule>
  </conditionalFormatting>
  <conditionalFormatting sqref="J1:J2">
    <cfRule type="expression" dxfId="210" priority="4295">
      <formula>$J$1 = "appearance"</formula>
    </cfRule>
  </conditionalFormatting>
  <conditionalFormatting sqref="K1:K2">
    <cfRule type="expression" dxfId="209" priority="4296">
      <formula>$K$1 = "required"</formula>
    </cfRule>
  </conditionalFormatting>
  <conditionalFormatting sqref="P1:P13 P48:P49 P29:P30 P94:P97 P2531:P1048576 P64:P89 P132:P200 P202:P234 P821:P829 P832:P865 P21 P51 P868:P910 P916:P927 P2099:P2522 P603:P818 P1286:P1810 P930:P1266 P1812:P1947 P237:P601 P33:P45 P2527:P2529 P102:P129 P1949:P2097">
    <cfRule type="expression" dxfId="208" priority="4299">
      <formula xml:space="preserve"> $P$1 = "calculation"</formula>
    </cfRule>
  </conditionalFormatting>
  <conditionalFormatting sqref="B1:B2">
    <cfRule type="duplicateValues" dxfId="207" priority="27495"/>
  </conditionalFormatting>
  <conditionalFormatting sqref="A2:Y2 A1:M1 O1:Y1 P1:P13 Q14:Y20 A21:Y21 A50:D50 A83:E83 P64:P89 O114:Y121 P103:P121 C53:I56 C61:I61 A53:B61 J53:J55 G83 J14:O16 J13:Y13 A10:G16 C17:G20 A3:G8 I17:O20 I13:I16 I3:Y12 H3:H20 C57:J60 A81:G82 A84:G84 H81:Y84 K189:K200 J196:J200 L185:Y200 P204:Y205 M204:N205 M206:Y234 P204:P234 A396:D396 F396:H396 A722:E722 A721:D721 A733:E733 A732:D732 F732:H732 G733:H733 A752:D752 F752:H752 A829:E829 N902:Y903 G832:H832 A832:E832 A830:H831 M904:Y910 M868:Y901 P868:P910 N1634:Y1636 M1635 M1286:Y1633 F1710:H1710 G1709:H1709 P1286:P1700 A1709:D1710 G1723:H1723 A1723:D1724 F1724:H1724 G1739:H1739 A1739:D1740 F1740:H1740 G1756:H1756 A1756:D1757 F1757:H1757 A1787:D1789 F1788:H1789 E1789 A1774:D1775 F1774:G1775 G1787:H1787 M1637:Y1810 A1785:H1786 G1898 A1897:D1897 F1897:G1897 A1898:E1898 A645:F645 F721:H722 J127:Y184 J911:Y1285 J1286:L1810 J868:L910 J204:L234 J201:Y203 J185:K188 A643:G644 A646:G647 H643:H647 A648:H720 A723:H731 A753:H828 G829:H829 A833:H1708 A1711:H1722 A1725:H1738 A1741:H1755 A1758:H1771 A1772:G1773 A1776:G1784 H1772:H1784 A1790:H1885 A1886:G1896 A1899:G1905 H1886:H1905 A2104:D2104 F2104:H2104 P2146:Y2147 P2154:Y2155 P2162:Y2163 P2170:Y2171 P2178:Y2179 P2186:Y2187 P2194:Y2195 P2202:Y2203 P2210:Y2211 A2118:E2118 G2118:H2118 P2221:Y2222 P2229:Y2230 P2237:Y2238 P2245:Y2246 P2253:Y2254 P2261:Y2262 P2272:Y2273 P2280:Y2281 P2291:Y2292 P2299:Y2300 P2307:Y2308 P2315:Y2316 P2149:Y2149 P2327:Y2328 P2335:Y2336 P2343:Y2344 P2351:Y2352 P2359:Y2360 P2367:Y2368 P2375:Y2376 P2386:Y2387 P2394:Y2395 P2402:Y2403 P2410:Y2411 P2418:Y2419 P2426:Y2427 P2434:Y2435 P2442:Y2443 P2450:Y2451 P2458:Y2459 P2469:Y2470 P2477:Y2478 P2485:Y2486 P2493:Y2494 P2501:Y2502 M2239:Y2244 M2377:Y2385 M2495:Y2500 M2317:Y2326 M2487:Y2492 M2479:Y2484 M2471:Y2476 M2460:Y2468 M2452:Y2457 M2444:Y2449 M2436:Y2441 M2428:Y2433 M2420:Y2425 M2412:Y2417 M2404:Y2409 M2396:Y2401 M2388:Y2393 M2369:Y2374 M2361:Y2366 M2353:Y2358 M2345:Y2350 M2337:Y2342 M2329:Y2334 M2501:N2502 M2493:N2494 M2485:N2486 M2477:N2478 M2469:N2470 M2458:N2459 M2450:N2451 M2442:N2443 M2434:N2435 M2426:N2427 M2418:N2419 M2410:N2411 M2402:N2403 M2394:N2395 M2386:N2387 M2375:N2376 M2367:N2368 M2359:N2360 M2351:N2352 M2343:N2344 M2335:N2336 M2327:N2328 M2309:Y2314 M2301:Y2306 M2293:Y2298 M2282:Y2290 M2274:Y2279 M2263:Y2271 M2255:Y2260 M2247:Y2252 M2231:Y2236 M2223:Y2228 M2212:Y2220 M2204:Y2209 M2196:Y2201 M2188:Y2193 M2180:Y2185 M2172:Y2177 M2164:Y2169 M2156:Y2161 M2148:Y2148 M2149:N2149 M2141:XFD2141 M2315:N2316 M2307:N2308 M2299:N2300 M2291:N2292 M2280:N2281 M2272:N2273 M2261:N2262 M2253:N2254 M2245:N2246 M2237:N2238 M2229:N2230 M2221:N2222 M2210:N2211 M2202:N2203 M2194:N2195 M2186:N2187 M2178:N2179 M2170:N2171 M2162:N2163 M2150:Y2153 M2154:N2155 M2142:Y2145 M2146:N2147 M2503:Y2522 M2101:Y2140 P2101:P2522 A2532:Y2573 P2530:P1048576 A1906:H2103 A2105:H2117 A2119:H2420 A2421:G2529 H2421:H2531 I127:I2531 A734:H751 A127:H395 A397:H642 A29:Y49 F50:Y50 A51:Y52 K53:Y61 A62:Y80 A85:Y113 A122:Y126 J235:Y867 J1811:Y2100 J2101:L2522 J2523:Y2529 A114:M121">
    <cfRule type="expression" dxfId="206" priority="4285">
      <formula>AND($S$1="disabled",$S1="yes")</formula>
    </cfRule>
    <cfRule type="expression" dxfId="205" priority="4286">
      <formula xml:space="preserve"> AND($A1 = "begin group",$X1 = "section")</formula>
    </cfRule>
    <cfRule type="expression" dxfId="204" priority="4287">
      <formula>AND($A1 = "end group", $X1 = "section")</formula>
    </cfRule>
    <cfRule type="expression" dxfId="203" priority="4288">
      <formula xml:space="preserve"> AND($A1="begin group",$X1="gg")</formula>
    </cfRule>
    <cfRule type="expression" dxfId="202" priority="4289">
      <formula xml:space="preserve"> AND($A1 = "end group",$X1 = "gg")</formula>
    </cfRule>
    <cfRule type="expression" dxfId="201" priority="4290">
      <formula>AND($A1="begin group",$X1="ggg")</formula>
    </cfRule>
    <cfRule type="expression" dxfId="200" priority="4291">
      <formula>AND($A1="end group",$X1="ggg")</formula>
    </cfRule>
    <cfRule type="expression" dxfId="199" priority="4292">
      <formula>AND($A1 = "begin repeat",$X1 = "rr")</formula>
    </cfRule>
    <cfRule type="expression" dxfId="198" priority="4293">
      <formula>AND($A1 = "end repeat", $X1 = "rr")</formula>
    </cfRule>
  </conditionalFormatting>
  <conditionalFormatting sqref="E721 E732 E1788 E1897 J189:J195">
    <cfRule type="expression" dxfId="197" priority="27505">
      <formula>AND($S$1="disabled",$S190="yes")</formula>
    </cfRule>
    <cfRule type="expression" dxfId="196" priority="27506">
      <formula xml:space="preserve"> AND($A190 = "begin group",$X190 = "section")</formula>
    </cfRule>
    <cfRule type="expression" dxfId="195" priority="27507">
      <formula>AND($A190 = "end group", $X190 = "section")</formula>
    </cfRule>
    <cfRule type="expression" dxfId="194" priority="27508">
      <formula xml:space="preserve"> AND($A190="begin group",$X190="gg")</formula>
    </cfRule>
    <cfRule type="expression" dxfId="193" priority="27509">
      <formula xml:space="preserve"> AND($A190 = "end group",$X190 = "gg")</formula>
    </cfRule>
    <cfRule type="expression" dxfId="192" priority="27510">
      <formula>AND($A190="begin group",$X190="ggg")</formula>
    </cfRule>
    <cfRule type="expression" dxfId="191" priority="27511">
      <formula>AND($A190="end group",$X190="ggg")</formula>
    </cfRule>
    <cfRule type="expression" dxfId="190" priority="27512">
      <formula>AND($A190 = "begin repeat",$X190 = "rr")</formula>
    </cfRule>
    <cfRule type="expression" dxfId="189" priority="27513">
      <formula>AND($A190 = "end repeat", $X190 = "rr")</formula>
    </cfRule>
  </conditionalFormatting>
  <conditionalFormatting sqref="F1787">
    <cfRule type="expression" dxfId="188" priority="2493">
      <formula>AND($S$1="disabled",$S1789="yes")</formula>
    </cfRule>
    <cfRule type="expression" dxfId="187" priority="2494">
      <formula xml:space="preserve"> AND($A1789 = "begin group",$X1789 = "section")</formula>
    </cfRule>
    <cfRule type="expression" dxfId="186" priority="2495">
      <formula>AND($A1789 = "end group", $X1789 = "section")</formula>
    </cfRule>
    <cfRule type="expression" dxfId="185" priority="2496">
      <formula xml:space="preserve"> AND($A1789="begin group",$X1789="gg")</formula>
    </cfRule>
    <cfRule type="expression" dxfId="184" priority="2497">
      <formula xml:space="preserve"> AND($A1789 = "end group",$X1789 = "gg")</formula>
    </cfRule>
    <cfRule type="expression" dxfId="183" priority="2498">
      <formula>AND($A1789="begin group",$X1789="ggg")</formula>
    </cfRule>
    <cfRule type="expression" dxfId="182" priority="2499">
      <formula>AND($A1789="end group",$X1789="ggg")</formula>
    </cfRule>
    <cfRule type="expression" dxfId="181" priority="2500">
      <formula>AND($A1789 = "begin repeat",$X1789 = "rr")</formula>
    </cfRule>
    <cfRule type="expression" dxfId="180" priority="2501">
      <formula>AND($A1789 = "end repeat", $X1789 = "rr")</formula>
    </cfRule>
  </conditionalFormatting>
  <conditionalFormatting sqref="O205 M1636 O2147 O2155 O2163 O2171 O2179 O2187 O2195 O2203 O2211 O2222 O2230 O2238 O2246 O2254 O2262 O2273 O2281 O2292 O2300 O2308 O2316 O2328 O2336 O2344 O2352 O2360 O2368 O2376 O2387 O2395 O2403 O2411 O2419 O2427 O2435 O2443 O2451 O2459 O2470 O2478 O2486 O2494 O2502">
    <cfRule type="expression" dxfId="179" priority="27523">
      <formula>AND($S$1="disabled",$S204="yes")</formula>
    </cfRule>
    <cfRule type="expression" dxfId="178" priority="27524">
      <formula xml:space="preserve"> AND($A204 = "begin group",$X204 = "section")</formula>
    </cfRule>
    <cfRule type="expression" dxfId="177" priority="27525">
      <formula>AND($A204 = "end group", $X204 = "section")</formula>
    </cfRule>
    <cfRule type="expression" dxfId="176" priority="27526">
      <formula xml:space="preserve"> AND($A204="begin group",$X204="gg")</formula>
    </cfRule>
    <cfRule type="expression" dxfId="175" priority="27527">
      <formula xml:space="preserve"> AND($A204 = "end group",$X204 = "gg")</formula>
    </cfRule>
    <cfRule type="expression" dxfId="174" priority="27528">
      <formula>AND($A204="begin group",$X204="ggg")</formula>
    </cfRule>
    <cfRule type="expression" dxfId="173" priority="27529">
      <formula>AND($A204="end group",$X204="ggg")</formula>
    </cfRule>
    <cfRule type="expression" dxfId="172" priority="27530">
      <formula>AND($A204 = "begin repeat",$X204 = "rr")</formula>
    </cfRule>
    <cfRule type="expression" dxfId="171" priority="27531">
      <formula>AND($A204 = "end repeat", $X204 = "rr")</formula>
    </cfRule>
  </conditionalFormatting>
  <conditionalFormatting sqref="O2531">
    <cfRule type="expression" dxfId="170" priority="2065">
      <formula>$O$1 = "relevant"</formula>
    </cfRule>
  </conditionalFormatting>
  <conditionalFormatting sqref="E2531:F2531">
    <cfRule type="expression" dxfId="169" priority="2061">
      <formula>$A2531 = "calculate"</formula>
    </cfRule>
  </conditionalFormatting>
  <conditionalFormatting sqref="M2531">
    <cfRule type="expression" dxfId="168" priority="2064">
      <formula>$M$1 = "constraint"</formula>
    </cfRule>
  </conditionalFormatting>
  <conditionalFormatting sqref="J2531">
    <cfRule type="expression" dxfId="167" priority="2062">
      <formula>$J$1 = "appearance"</formula>
    </cfRule>
  </conditionalFormatting>
  <conditionalFormatting sqref="K2531">
    <cfRule type="expression" dxfId="166" priority="2063">
      <formula>$K$1 = "required"</formula>
    </cfRule>
  </conditionalFormatting>
  <conditionalFormatting sqref="P2531">
    <cfRule type="expression" dxfId="165" priority="2066">
      <formula xml:space="preserve"> $P$1 = "calculation"</formula>
    </cfRule>
  </conditionalFormatting>
  <conditionalFormatting sqref="A2530:G2531 J2530:Y2531">
    <cfRule type="expression" dxfId="164" priority="2053">
      <formula>AND($S$1="disabled",$S2530="yes")</formula>
    </cfRule>
    <cfRule type="expression" dxfId="163" priority="2054">
      <formula xml:space="preserve"> AND($A2530 = "begin group",$X2530 = "section")</formula>
    </cfRule>
    <cfRule type="expression" dxfId="162" priority="2055">
      <formula>AND($A2530 = "end group", $X2530 = "section")</formula>
    </cfRule>
    <cfRule type="expression" dxfId="161" priority="2056">
      <formula xml:space="preserve"> AND($A2530="begin group",$X2530="gg")</formula>
    </cfRule>
    <cfRule type="expression" dxfId="160" priority="2057">
      <formula xml:space="preserve"> AND($A2530 = "end group",$X2530 = "gg")</formula>
    </cfRule>
    <cfRule type="expression" dxfId="159" priority="2058">
      <formula>AND($A2530="begin group",$X2530="ggg")</formula>
    </cfRule>
    <cfRule type="expression" dxfId="158" priority="2059">
      <formula>AND($A2530="end group",$X2530="ggg")</formula>
    </cfRule>
  </conditionalFormatting>
  <conditionalFormatting sqref="A2531:G2531 J2531:Y2531">
    <cfRule type="expression" dxfId="157" priority="2060">
      <formula>AND($A2531 = "begin repeat",$X2531 = "rr")</formula>
    </cfRule>
    <cfRule type="expression" dxfId="156" priority="2067">
      <formula>AND($A2531 = "end repeat", $X2531 = "rr")</formula>
    </cfRule>
  </conditionalFormatting>
  <conditionalFormatting sqref="B2531">
    <cfRule type="duplicateValues" dxfId="155" priority="2068"/>
  </conditionalFormatting>
  <conditionalFormatting sqref="B2531">
    <cfRule type="duplicateValues" dxfId="154" priority="2069"/>
  </conditionalFormatting>
  <conditionalFormatting sqref="A9:G9">
    <cfRule type="expression" dxfId="153" priority="1648">
      <formula>AND($S$1="disabled",$S9="yes")</formula>
    </cfRule>
    <cfRule type="expression" dxfId="152" priority="1649">
      <formula xml:space="preserve"> AND($A9 = "begin group",$X9 = "section")</formula>
    </cfRule>
    <cfRule type="expression" dxfId="151" priority="1650">
      <formula>AND($A9 = "end group", $X9 = "section")</formula>
    </cfRule>
    <cfRule type="expression" dxfId="150" priority="1651">
      <formula xml:space="preserve"> AND($A9="begin group",$X9="gg")</formula>
    </cfRule>
    <cfRule type="expression" dxfId="149" priority="1652">
      <formula xml:space="preserve"> AND($A9 = "end group",$X9 = "gg")</formula>
    </cfRule>
    <cfRule type="expression" dxfId="148" priority="1653">
      <formula>AND($A9="begin group",$X9="ggg")</formula>
    </cfRule>
    <cfRule type="expression" dxfId="147" priority="1654">
      <formula>AND($A9="end group",$X9="ggg")</formula>
    </cfRule>
    <cfRule type="expression" dxfId="146" priority="1655">
      <formula>AND($A9 = "begin repeat",$X9 = "rr")</formula>
    </cfRule>
    <cfRule type="expression" dxfId="145" priority="1656">
      <formula>AND($A9 = "end repeat", $X9 = "rr")</formula>
    </cfRule>
  </conditionalFormatting>
  <conditionalFormatting sqref="P2098">
    <cfRule type="expression" dxfId="144" priority="1282">
      <formula xml:space="preserve"> $P$1 = "calculation"</formula>
    </cfRule>
  </conditionalFormatting>
  <conditionalFormatting sqref="P50">
    <cfRule type="expression" dxfId="143" priority="1263">
      <formula xml:space="preserve"> $P$1 = "calculation"</formula>
    </cfRule>
  </conditionalFormatting>
  <conditionalFormatting sqref="P31">
    <cfRule type="expression" dxfId="142" priority="1243">
      <formula xml:space="preserve"> $P$1 = "calculation"</formula>
    </cfRule>
  </conditionalFormatting>
  <conditionalFormatting sqref="P52">
    <cfRule type="expression" dxfId="141" priority="1233">
      <formula xml:space="preserve"> $P$1 = "calculation"</formula>
    </cfRule>
  </conditionalFormatting>
  <conditionalFormatting sqref="P1267:P1285">
    <cfRule type="expression" dxfId="140" priority="1204">
      <formula xml:space="preserve"> $P$1 = "calculation"</formula>
    </cfRule>
  </conditionalFormatting>
  <conditionalFormatting sqref="P1811">
    <cfRule type="expression" dxfId="139" priority="685">
      <formula xml:space="preserve"> $P$1 = "calculation"</formula>
    </cfRule>
  </conditionalFormatting>
  <conditionalFormatting sqref="A22:XFD28">
    <cfRule type="expression" dxfId="138" priority="675">
      <formula>$A22 = "begin repeat"</formula>
    </cfRule>
  </conditionalFormatting>
  <conditionalFormatting sqref="A22:XFD28">
    <cfRule type="expression" dxfId="137" priority="670">
      <formula>AND($A22 = "end group",$K22 = "section")</formula>
    </cfRule>
    <cfRule type="expression" dxfId="136" priority="671">
      <formula>$U22 = "yes"</formula>
    </cfRule>
    <cfRule type="expression" dxfId="135" priority="672">
      <formula>$A22 = "end group"</formula>
    </cfRule>
    <cfRule type="expression" dxfId="134" priority="673">
      <formula>AND($A22 = "begin group",$K22="section")</formula>
    </cfRule>
    <cfRule type="expression" dxfId="133" priority="674">
      <formula>$A22 = "begin group"</formula>
    </cfRule>
  </conditionalFormatting>
  <conditionalFormatting sqref="A22:XFD28">
    <cfRule type="expression" dxfId="132" priority="669">
      <formula>$A22 = "end repeat"</formula>
    </cfRule>
  </conditionalFormatting>
  <conditionalFormatting sqref="O14:O20">
    <cfRule type="expression" dxfId="131" priority="667">
      <formula>$O$1 = "relevant"</formula>
    </cfRule>
  </conditionalFormatting>
  <conditionalFormatting sqref="E14:F20">
    <cfRule type="expression" dxfId="130" priority="663">
      <formula>$A14 = "calculate"</formula>
    </cfRule>
  </conditionalFormatting>
  <conditionalFormatting sqref="M14:M20">
    <cfRule type="expression" dxfId="129" priority="666">
      <formula>$M$1 = "constraint"</formula>
    </cfRule>
  </conditionalFormatting>
  <conditionalFormatting sqref="J14:J20">
    <cfRule type="expression" dxfId="128" priority="664">
      <formula>$J$1 = "appearance"</formula>
    </cfRule>
  </conditionalFormatting>
  <conditionalFormatting sqref="K14:K20">
    <cfRule type="expression" dxfId="127" priority="665">
      <formula>$K$1 = "required"</formula>
    </cfRule>
  </conditionalFormatting>
  <conditionalFormatting sqref="B14:B16">
    <cfRule type="duplicateValues" dxfId="126" priority="668"/>
  </conditionalFormatting>
  <conditionalFormatting sqref="P14:P16">
    <cfRule type="expression" dxfId="125" priority="652">
      <formula>$W$1 = "calculation"</formula>
    </cfRule>
  </conditionalFormatting>
  <conditionalFormatting sqref="P14:P16">
    <cfRule type="expression" dxfId="124" priority="648">
      <formula>AND($A14 = "begin group", $N14 = "section")</formula>
    </cfRule>
    <cfRule type="expression" dxfId="123" priority="649">
      <formula>AND($A14 = "end group", $N14 = "section")</formula>
    </cfRule>
  </conditionalFormatting>
  <conditionalFormatting sqref="A17:B20 P14:P20">
    <cfRule type="expression" dxfId="122" priority="646">
      <formula>AND($Y$1="disabled",$Y14="yes")</formula>
    </cfRule>
    <cfRule type="expression" dxfId="121" priority="647">
      <formula>ISNUMBER(SEARCH("invisible",$N14))=TRUE</formula>
    </cfRule>
    <cfRule type="expression" dxfId="120" priority="650">
      <formula>$A14 = "begin group"</formula>
    </cfRule>
    <cfRule type="expression" dxfId="119" priority="651">
      <formula>A14="end group"</formula>
    </cfRule>
    <cfRule type="expression" dxfId="118" priority="653">
      <formula>$A14 = "begin repeat"</formula>
    </cfRule>
  </conditionalFormatting>
  <conditionalFormatting sqref="A17:B20">
    <cfRule type="expression" dxfId="117" priority="641">
      <formula>AND($A17 = "begin group", $N17 = "section")</formula>
    </cfRule>
    <cfRule type="expression" dxfId="116" priority="642">
      <formula>AND($A17 = "end group", $N17 = "section")</formula>
    </cfRule>
  </conditionalFormatting>
  <conditionalFormatting sqref="P17:P20">
    <cfRule type="expression" dxfId="115" priority="637">
      <formula>$W$1 = "calculation"</formula>
    </cfRule>
  </conditionalFormatting>
  <conditionalFormatting sqref="P17:P20">
    <cfRule type="expression" dxfId="114" priority="633">
      <formula>AND($A17 = "begin group", $N17 = "section")</formula>
    </cfRule>
    <cfRule type="expression" dxfId="113" priority="634">
      <formula>AND($A17 = "end group", $N17 = "section")</formula>
    </cfRule>
  </conditionalFormatting>
  <conditionalFormatting sqref="P32">
    <cfRule type="expression" dxfId="112" priority="621">
      <formula xml:space="preserve"> $P$1 = "calculation"</formula>
    </cfRule>
  </conditionalFormatting>
  <conditionalFormatting sqref="P46">
    <cfRule type="expression" dxfId="111" priority="602">
      <formula xml:space="preserve"> $P$1 = "calculation"</formula>
    </cfRule>
  </conditionalFormatting>
  <conditionalFormatting sqref="P47">
    <cfRule type="expression" dxfId="110" priority="592">
      <formula xml:space="preserve"> $P$1 = "calculation"</formula>
    </cfRule>
  </conditionalFormatting>
  <conditionalFormatting sqref="P35">
    <cfRule type="expression" dxfId="109" priority="582">
      <formula xml:space="preserve"> $P$1 = "calculation"</formula>
    </cfRule>
  </conditionalFormatting>
  <conditionalFormatting sqref="P53:P61">
    <cfRule type="expression" dxfId="108" priority="572">
      <formula xml:space="preserve"> $P$1 = "calculation"</formula>
    </cfRule>
  </conditionalFormatting>
  <conditionalFormatting sqref="J56">
    <cfRule type="expression" dxfId="107" priority="553">
      <formula>$A56 = "begin repeat"</formula>
    </cfRule>
  </conditionalFormatting>
  <conditionalFormatting sqref="J56">
    <cfRule type="expression" dxfId="106" priority="548">
      <formula>AND($A56 = "end group",$K56 = "section")</formula>
    </cfRule>
    <cfRule type="expression" dxfId="105" priority="549">
      <formula>$U56 = "yes"</formula>
    </cfRule>
    <cfRule type="expression" dxfId="104" priority="550">
      <formula>$A56 = "end group"</formula>
    </cfRule>
    <cfRule type="expression" dxfId="103" priority="551">
      <formula>AND($A56 = "begin group",$K56="section")</formula>
    </cfRule>
    <cfRule type="expression" dxfId="102" priority="552">
      <formula>$A56 = "begin group"</formula>
    </cfRule>
  </conditionalFormatting>
  <conditionalFormatting sqref="J56">
    <cfRule type="expression" dxfId="101" priority="547">
      <formula>$A56 = "end repeat"</formula>
    </cfRule>
  </conditionalFormatting>
  <conditionalFormatting sqref="J61">
    <cfRule type="expression" dxfId="100" priority="537">
      <formula>$A61 = "begin repeat"</formula>
    </cfRule>
  </conditionalFormatting>
  <conditionalFormatting sqref="J61">
    <cfRule type="expression" dxfId="99" priority="532">
      <formula>AND($A61 = "end group",$K61 = "section")</formula>
    </cfRule>
    <cfRule type="expression" dxfId="98" priority="533">
      <formula>$U61 = "yes"</formula>
    </cfRule>
    <cfRule type="expression" dxfId="97" priority="534">
      <formula>$A61 = "end group"</formula>
    </cfRule>
    <cfRule type="expression" dxfId="96" priority="535">
      <formula>AND($A61 = "begin group",$K61="section")</formula>
    </cfRule>
    <cfRule type="expression" dxfId="95" priority="536">
      <formula>$A61 = "begin group"</formula>
    </cfRule>
  </conditionalFormatting>
  <conditionalFormatting sqref="J61">
    <cfRule type="expression" dxfId="94" priority="531">
      <formula>$A61 = "end repeat"</formula>
    </cfRule>
  </conditionalFormatting>
  <conditionalFormatting sqref="P62">
    <cfRule type="expression" dxfId="93" priority="521">
      <formula xml:space="preserve"> $P$1 = "calculation"</formula>
    </cfRule>
  </conditionalFormatting>
  <conditionalFormatting sqref="P90:P93">
    <cfRule type="expression" dxfId="92" priority="416">
      <formula xml:space="preserve"> $P$1 = "calculation"</formula>
    </cfRule>
  </conditionalFormatting>
  <conditionalFormatting sqref="P98:P101">
    <cfRule type="expression" dxfId="91" priority="397">
      <formula xml:space="preserve"> $P$1 = "calculation"</formula>
    </cfRule>
  </conditionalFormatting>
  <conditionalFormatting sqref="P131">
    <cfRule type="expression" dxfId="90" priority="360">
      <formula xml:space="preserve"> $P$1 = "calculation"</formula>
    </cfRule>
  </conditionalFormatting>
  <conditionalFormatting sqref="P130">
    <cfRule type="expression" dxfId="89" priority="350">
      <formula xml:space="preserve"> $P$1 = "calculation"</formula>
    </cfRule>
  </conditionalFormatting>
  <conditionalFormatting sqref="P201">
    <cfRule type="expression" dxfId="88" priority="295">
      <formula xml:space="preserve"> $P$1 = "calculation"</formula>
    </cfRule>
  </conditionalFormatting>
  <conditionalFormatting sqref="M2099:M2100">
    <cfRule type="expression" dxfId="87" priority="285">
      <formula xml:space="preserve"> $P$1 = "calculation"</formula>
    </cfRule>
  </conditionalFormatting>
  <conditionalFormatting sqref="P2523:P2524">
    <cfRule type="expression" dxfId="86" priority="284">
      <formula xml:space="preserve"> $P$1 = "calculation"</formula>
    </cfRule>
  </conditionalFormatting>
  <conditionalFormatting sqref="P2525">
    <cfRule type="expression" dxfId="85" priority="237">
      <formula xml:space="preserve"> $P$1 = "calculation"</formula>
    </cfRule>
  </conditionalFormatting>
  <conditionalFormatting sqref="P2526">
    <cfRule type="expression" dxfId="84" priority="227">
      <formula xml:space="preserve"> $P$1 = "calculation"</formula>
    </cfRule>
  </conditionalFormatting>
  <conditionalFormatting sqref="P2530">
    <cfRule type="expression" dxfId="83" priority="208">
      <formula xml:space="preserve"> $P$1 = "calculation"</formula>
    </cfRule>
  </conditionalFormatting>
  <conditionalFormatting sqref="O2530">
    <cfRule type="expression" dxfId="82" priority="194">
      <formula>$O$1 = "relevant"</formula>
    </cfRule>
  </conditionalFormatting>
  <conditionalFormatting sqref="E2530:F2530">
    <cfRule type="expression" dxfId="81" priority="190">
      <formula>$A2530 = "calculate"</formula>
    </cfRule>
  </conditionalFormatting>
  <conditionalFormatting sqref="M2530">
    <cfRule type="expression" dxfId="80" priority="193">
      <formula>$M$1 = "constraint"</formula>
    </cfRule>
  </conditionalFormatting>
  <conditionalFormatting sqref="J2530">
    <cfRule type="expression" dxfId="79" priority="191">
      <formula>$J$1 = "appearance"</formula>
    </cfRule>
  </conditionalFormatting>
  <conditionalFormatting sqref="K2530">
    <cfRule type="expression" dxfId="78" priority="192">
      <formula>$K$1 = "required"</formula>
    </cfRule>
  </conditionalFormatting>
  <conditionalFormatting sqref="P2530">
    <cfRule type="expression" dxfId="77" priority="195">
      <formula xml:space="preserve"> $P$1 = "calculation"</formula>
    </cfRule>
  </conditionalFormatting>
  <conditionalFormatting sqref="A2530:G2530 J2530:Y2530">
    <cfRule type="expression" dxfId="76" priority="189">
      <formula>AND($A2530 = "begin repeat",$X2530 = "rr")</formula>
    </cfRule>
    <cfRule type="expression" dxfId="75" priority="196">
      <formula>AND($A2530 = "end repeat", $X2530 = "rr")</formula>
    </cfRule>
  </conditionalFormatting>
  <conditionalFormatting sqref="B2530">
    <cfRule type="duplicateValues" dxfId="74" priority="197"/>
  </conditionalFormatting>
  <conditionalFormatting sqref="B2530">
    <cfRule type="duplicateValues" dxfId="73" priority="198"/>
  </conditionalFormatting>
  <conditionalFormatting sqref="P63">
    <cfRule type="expression" dxfId="72" priority="181">
      <formula xml:space="preserve"> $P$1 = "calculation"</formula>
    </cfRule>
  </conditionalFormatting>
  <conditionalFormatting sqref="P820">
    <cfRule type="expression" dxfId="71" priority="162">
      <formula xml:space="preserve"> $P$1 = "calculation"</formula>
    </cfRule>
  </conditionalFormatting>
  <conditionalFormatting sqref="P819">
    <cfRule type="expression" dxfId="70" priority="152">
      <formula xml:space="preserve"> $P$1 = "calculation"</formula>
    </cfRule>
  </conditionalFormatting>
  <conditionalFormatting sqref="F829">
    <cfRule type="expression" dxfId="69" priority="27541">
      <formula>AND($S$1="disabled",$S832="yes")</formula>
    </cfRule>
    <cfRule type="expression" dxfId="68" priority="27542">
      <formula xml:space="preserve"> AND($A832 = "begin group",$X832 = "section")</formula>
    </cfRule>
    <cfRule type="expression" dxfId="67" priority="27543">
      <formula>AND($A832 = "end group", $X832 = "section")</formula>
    </cfRule>
    <cfRule type="expression" dxfId="66" priority="27544">
      <formula xml:space="preserve"> AND($A832="begin group",$X832="gg")</formula>
    </cfRule>
    <cfRule type="expression" dxfId="65" priority="27545">
      <formula xml:space="preserve"> AND($A832 = "end group",$X832 = "gg")</formula>
    </cfRule>
    <cfRule type="expression" dxfId="64" priority="27546">
      <formula>AND($A832="begin group",$X832="ggg")</formula>
    </cfRule>
    <cfRule type="expression" dxfId="63" priority="27547">
      <formula>AND($A832="end group",$X832="ggg")</formula>
    </cfRule>
    <cfRule type="expression" dxfId="62" priority="27548">
      <formula>AND($A832 = "begin repeat",$X832 = "rr")</formula>
    </cfRule>
    <cfRule type="expression" dxfId="61" priority="27549">
      <formula>AND($A832 = "end repeat", $X832 = "rr")</formula>
    </cfRule>
  </conditionalFormatting>
  <conditionalFormatting sqref="P830">
    <cfRule type="expression" dxfId="60" priority="142">
      <formula xml:space="preserve"> $P$1 = "calculation"</formula>
    </cfRule>
  </conditionalFormatting>
  <conditionalFormatting sqref="P831">
    <cfRule type="expression" dxfId="59" priority="132">
      <formula xml:space="preserve"> $P$1 = "calculation"</formula>
    </cfRule>
  </conditionalFormatting>
  <conditionalFormatting sqref="P1948">
    <cfRule type="expression" dxfId="58" priority="122">
      <formula xml:space="preserve"> $P$1 = "calculation"</formula>
    </cfRule>
  </conditionalFormatting>
  <conditionalFormatting sqref="E50">
    <cfRule type="expression" dxfId="57" priority="29935">
      <formula>AND($S$1="disabled",#REF!="yes")</formula>
    </cfRule>
    <cfRule type="expression" dxfId="56" priority="29936">
      <formula xml:space="preserve"> AND(#REF! = "begin group",#REF! = "section")</formula>
    </cfRule>
    <cfRule type="expression" dxfId="55" priority="29937">
      <formula>AND(#REF! = "end group", #REF! = "section")</formula>
    </cfRule>
    <cfRule type="expression" dxfId="54" priority="29938">
      <formula xml:space="preserve"> AND(#REF!="begin group",#REF!="gg")</formula>
    </cfRule>
    <cfRule type="expression" dxfId="53" priority="29939">
      <formula xml:space="preserve"> AND(#REF! = "end group",#REF! = "gg")</formula>
    </cfRule>
    <cfRule type="expression" dxfId="52" priority="29940">
      <formula>AND(#REF!="begin group",#REF!="ggg")</formula>
    </cfRule>
    <cfRule type="expression" dxfId="51" priority="29941">
      <formula>AND(#REF!="end group",#REF!="ggg")</formula>
    </cfRule>
    <cfRule type="expression" dxfId="50" priority="29942">
      <formula>AND(#REF! = "begin repeat",#REF! = "rr")</formula>
    </cfRule>
    <cfRule type="expression" dxfId="49" priority="29943">
      <formula>AND(#REF! = "end repeat", #REF! = "rr")</formula>
    </cfRule>
  </conditionalFormatting>
  <conditionalFormatting sqref="P235">
    <cfRule type="expression" dxfId="48" priority="112">
      <formula xml:space="preserve"> $P$1 = "calculation"</formula>
    </cfRule>
  </conditionalFormatting>
  <conditionalFormatting sqref="P236">
    <cfRule type="expression" dxfId="47" priority="102">
      <formula xml:space="preserve"> $P$1 = "calculation"</formula>
    </cfRule>
  </conditionalFormatting>
  <conditionalFormatting sqref="P602">
    <cfRule type="expression" dxfId="46" priority="92">
      <formula xml:space="preserve"> $P$1 = "calculation"</formula>
    </cfRule>
  </conditionalFormatting>
  <conditionalFormatting sqref="P866">
    <cfRule type="expression" dxfId="45" priority="82">
      <formula xml:space="preserve"> $P$1 = "calculation"</formula>
    </cfRule>
  </conditionalFormatting>
  <conditionalFormatting sqref="P867">
    <cfRule type="expression" dxfId="44" priority="72">
      <formula xml:space="preserve"> $P$1 = "calculation"</formula>
    </cfRule>
  </conditionalFormatting>
  <conditionalFormatting sqref="P911:P913">
    <cfRule type="expression" dxfId="43" priority="62">
      <formula xml:space="preserve"> $P$1 = "calculation"</formula>
    </cfRule>
  </conditionalFormatting>
  <conditionalFormatting sqref="P914:P915">
    <cfRule type="expression" dxfId="42" priority="52">
      <formula xml:space="preserve"> $P$1 = "calculation"</formula>
    </cfRule>
  </conditionalFormatting>
  <conditionalFormatting sqref="P912">
    <cfRule type="expression" dxfId="41" priority="23">
      <formula xml:space="preserve"> $P$1 = "calculation"</formula>
    </cfRule>
  </conditionalFormatting>
  <conditionalFormatting sqref="P913">
    <cfRule type="expression" dxfId="40" priority="22">
      <formula xml:space="preserve"> $P$1 = "calculation"</formula>
    </cfRule>
  </conditionalFormatting>
  <conditionalFormatting sqref="P928:P929">
    <cfRule type="expression" dxfId="39" priority="12">
      <formula xml:space="preserve"> $P$1 = "calculation"</formula>
    </cfRule>
  </conditionalFormatting>
  <conditionalFormatting sqref="P928">
    <cfRule type="expression" dxfId="38" priority="11">
      <formula xml:space="preserve"> $P$1 = "calculation"</formula>
    </cfRule>
  </conditionalFormatting>
  <conditionalFormatting sqref="P929">
    <cfRule type="expression" dxfId="37" priority="10">
      <formula xml:space="preserve"> $P$1 = "calculation"</formula>
    </cfRule>
  </conditionalFormatting>
  <conditionalFormatting sqref="E2104">
    <cfRule type="expression" dxfId="36" priority="31296">
      <formula>AND($S$1="disabled",#REF!="yes")</formula>
    </cfRule>
    <cfRule type="expression" dxfId="35" priority="31297">
      <formula xml:space="preserve"> AND(#REF! = "begin group",#REF! = "section")</formula>
    </cfRule>
    <cfRule type="expression" dxfId="34" priority="31298">
      <formula>AND(#REF! = "end group", #REF! = "section")</formula>
    </cfRule>
    <cfRule type="expression" dxfId="33" priority="31299">
      <formula xml:space="preserve"> AND(#REF!="begin group",#REF!="gg")</formula>
    </cfRule>
    <cfRule type="expression" dxfId="32" priority="31300">
      <formula xml:space="preserve"> AND(#REF! = "end group",#REF! = "gg")</formula>
    </cfRule>
    <cfRule type="expression" dxfId="31" priority="31301">
      <formula>AND(#REF!="begin group",#REF!="ggg")</formula>
    </cfRule>
    <cfRule type="expression" dxfId="30" priority="31302">
      <formula>AND(#REF!="end group",#REF!="ggg")</formula>
    </cfRule>
    <cfRule type="expression" dxfId="29" priority="31303">
      <formula>AND(#REF! = "begin repeat",#REF! = "rr")</formula>
    </cfRule>
    <cfRule type="expression" dxfId="28" priority="31304">
      <formula>AND(#REF! = "end repeat", #REF! = "rr")</formula>
    </cfRule>
  </conditionalFormatting>
  <conditionalFormatting sqref="E752 E1710 E1724 E1740 E1757 E1775">
    <cfRule type="expression" dxfId="27" priority="33242">
      <formula>AND($S$1="disabled",#REF!="yes")</formula>
    </cfRule>
    <cfRule type="expression" dxfId="26" priority="33243">
      <formula xml:space="preserve"> AND(#REF! = "begin group",#REF! = "section")</formula>
    </cfRule>
    <cfRule type="expression" dxfId="25" priority="33244">
      <formula>AND(#REF! = "end group", #REF! = "section")</formula>
    </cfRule>
    <cfRule type="expression" dxfId="24" priority="33245">
      <formula xml:space="preserve"> AND(#REF!="begin group",#REF!="gg")</formula>
    </cfRule>
    <cfRule type="expression" dxfId="23" priority="33246">
      <formula xml:space="preserve"> AND(#REF! = "end group",#REF! = "gg")</formula>
    </cfRule>
    <cfRule type="expression" dxfId="22" priority="33247">
      <formula>AND(#REF!="begin group",#REF!="ggg")</formula>
    </cfRule>
    <cfRule type="expression" dxfId="21" priority="33248">
      <formula>AND(#REF!="end group",#REF!="ggg")</formula>
    </cfRule>
    <cfRule type="expression" dxfId="20" priority="33249">
      <formula>AND(#REF! = "begin repeat",#REF! = "rr")</formula>
    </cfRule>
    <cfRule type="expression" dxfId="19" priority="33250">
      <formula>AND(#REF! = "end repeat", #REF! = "rr")</formula>
    </cfRule>
  </conditionalFormatting>
  <conditionalFormatting sqref="F1709 F1723 F1739 F1756 E1774">
    <cfRule type="expression" dxfId="18" priority="34999">
      <formula>AND($S$1="disabled",#REF!="yes")</formula>
    </cfRule>
    <cfRule type="expression" dxfId="17" priority="35000">
      <formula xml:space="preserve"> AND(#REF! = "begin group",#REF! = "section")</formula>
    </cfRule>
    <cfRule type="expression" dxfId="16" priority="35001">
      <formula>AND(#REF! = "end group", #REF! = "section")</formula>
    </cfRule>
    <cfRule type="expression" dxfId="15" priority="35002">
      <formula xml:space="preserve"> AND(#REF!="begin group",#REF!="gg")</formula>
    </cfRule>
    <cfRule type="expression" dxfId="14" priority="35003">
      <formula xml:space="preserve"> AND(#REF! = "end group",#REF! = "gg")</formula>
    </cfRule>
    <cfRule type="expression" dxfId="13" priority="35004">
      <formula>AND(#REF!="begin group",#REF!="ggg")</formula>
    </cfRule>
    <cfRule type="expression" dxfId="12" priority="35005">
      <formula>AND(#REF!="end group",#REF!="ggg")</formula>
    </cfRule>
    <cfRule type="expression" dxfId="11" priority="35006">
      <formula>AND(#REF! = "begin repeat",#REF! = "rr")</formula>
    </cfRule>
    <cfRule type="expression" dxfId="10" priority="35007">
      <formula>AND(#REF! = "end repeat", #REF! = "rr")</formula>
    </cfRule>
  </conditionalFormatting>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4"/>
  <sheetViews>
    <sheetView zoomScaleNormal="100" workbookViewId="0">
      <pane ySplit="1" topLeftCell="A501" activePane="bottomLeft" state="frozen"/>
      <selection activeCell="A443" sqref="A2:M1014"/>
      <selection pane="bottomLeft" activeCell="A510" sqref="A510"/>
    </sheetView>
  </sheetViews>
  <sheetFormatPr defaultColWidth="14.42578125" defaultRowHeight="12.75" customHeight="1"/>
  <cols>
    <col min="1" max="2" width="14.42578125" style="10"/>
    <col min="3" max="3" width="29" style="10" customWidth="1"/>
    <col min="4" max="5" width="14.42578125" style="10"/>
    <col min="6" max="6" width="25.85546875" style="10" customWidth="1"/>
    <col min="7" max="16384" width="14.42578125" style="10"/>
  </cols>
  <sheetData>
    <row r="1" spans="1:9" ht="12.75" customHeight="1">
      <c r="A1" s="2" t="s">
        <v>454</v>
      </c>
      <c r="B1" s="2" t="s">
        <v>0</v>
      </c>
      <c r="C1" s="2" t="s">
        <v>2718</v>
      </c>
      <c r="D1" s="2" t="s">
        <v>2769</v>
      </c>
      <c r="E1" s="2" t="s">
        <v>2724</v>
      </c>
      <c r="F1" s="2" t="s">
        <v>2726</v>
      </c>
      <c r="G1" s="2" t="s">
        <v>2728</v>
      </c>
      <c r="I1" s="204" t="s">
        <v>4911</v>
      </c>
    </row>
    <row r="2" spans="1:9" s="11" customFormat="1" ht="15.75" customHeight="1">
      <c r="A2" s="11" t="s">
        <v>2691</v>
      </c>
      <c r="B2" s="11">
        <v>1</v>
      </c>
      <c r="C2" s="11" t="s">
        <v>2692</v>
      </c>
      <c r="I2" s="11" t="str">
        <f>C2</f>
        <v>Yes I agree</v>
      </c>
    </row>
    <row r="3" spans="1:9" s="11" customFormat="1" ht="15.75" customHeight="1">
      <c r="A3" s="11" t="s">
        <v>2691</v>
      </c>
      <c r="B3" s="11">
        <v>2</v>
      </c>
      <c r="C3" s="11" t="s">
        <v>2693</v>
      </c>
      <c r="I3" s="11" t="str">
        <f t="shared" ref="I3:I66" si="0">C3</f>
        <v>Not agreed</v>
      </c>
    </row>
    <row r="4" spans="1:9" s="11" customFormat="1" ht="15.75" customHeight="1">
      <c r="A4" s="11" t="s">
        <v>2691</v>
      </c>
      <c r="B4" s="11">
        <v>3</v>
      </c>
      <c r="C4" s="11" t="s">
        <v>2694</v>
      </c>
      <c r="I4" s="11" t="str">
        <f t="shared" si="0"/>
        <v>Withdrawn</v>
      </c>
    </row>
    <row r="5" spans="1:9" s="11" customFormat="1" ht="15.75" customHeight="1"/>
    <row r="6" spans="1:9" ht="15" customHeight="1">
      <c r="A6" s="12" t="s">
        <v>491</v>
      </c>
      <c r="B6" s="12">
        <v>1</v>
      </c>
      <c r="C6" s="12" t="s">
        <v>2695</v>
      </c>
      <c r="D6" s="7"/>
      <c r="E6" s="7"/>
      <c r="I6" s="11" t="str">
        <f t="shared" si="0"/>
        <v>Yes</v>
      </c>
    </row>
    <row r="7" spans="1:9" ht="15" customHeight="1">
      <c r="A7" s="12" t="s">
        <v>491</v>
      </c>
      <c r="B7" s="12">
        <v>0</v>
      </c>
      <c r="C7" s="12" t="s">
        <v>2696</v>
      </c>
      <c r="D7" s="7"/>
      <c r="E7" s="7"/>
      <c r="I7" s="11" t="str">
        <f t="shared" si="0"/>
        <v>No</v>
      </c>
    </row>
    <row r="8" spans="1:9" ht="15" customHeight="1">
      <c r="A8" s="12"/>
      <c r="B8" s="12"/>
      <c r="C8" s="12"/>
      <c r="D8" s="7"/>
      <c r="E8" s="7"/>
      <c r="I8" s="11"/>
    </row>
    <row r="9" spans="1:9" ht="15" customHeight="1">
      <c r="A9" s="12" t="s">
        <v>4247</v>
      </c>
      <c r="B9" s="12" t="s">
        <v>4248</v>
      </c>
      <c r="C9" s="12" t="s">
        <v>4247</v>
      </c>
      <c r="D9" s="7"/>
      <c r="E9" s="7"/>
      <c r="I9" s="11" t="str">
        <f t="shared" si="0"/>
        <v>region</v>
      </c>
    </row>
    <row r="10" spans="1:9" ht="15" customHeight="1">
      <c r="A10" s="12"/>
      <c r="B10" s="12"/>
      <c r="C10" s="12"/>
      <c r="D10" s="7"/>
      <c r="E10" s="7"/>
      <c r="I10" s="11"/>
    </row>
    <row r="11" spans="1:9" ht="15" customHeight="1">
      <c r="A11" s="12" t="s">
        <v>4401</v>
      </c>
      <c r="B11" s="12" t="s">
        <v>4337</v>
      </c>
      <c r="C11" t="s">
        <v>5286</v>
      </c>
      <c r="D11" s="7"/>
      <c r="E11" s="7"/>
      <c r="I11" s="11" t="str">
        <f t="shared" si="0"/>
        <v>h_facility</v>
      </c>
    </row>
    <row r="12" spans="1:9" ht="15" customHeight="1">
      <c r="A12" s="12"/>
      <c r="B12" s="12"/>
      <c r="C12" s="12"/>
      <c r="D12" s="7"/>
      <c r="E12" s="7"/>
      <c r="I12" s="11"/>
    </row>
    <row r="13" spans="1:9" s="11" customFormat="1" ht="15.75" customHeight="1">
      <c r="A13" s="11" t="s">
        <v>5286</v>
      </c>
      <c r="B13" s="11" t="s">
        <v>5285</v>
      </c>
      <c r="C13" s="11" t="s">
        <v>5286</v>
      </c>
      <c r="I13" s="11" t="str">
        <f t="shared" si="0"/>
        <v>h_facility</v>
      </c>
    </row>
    <row r="14" spans="1:9" s="11" customFormat="1" ht="15.75" customHeight="1"/>
    <row r="15" spans="1:9" s="11" customFormat="1" ht="15.75" customHeight="1">
      <c r="A15" s="11" t="s">
        <v>5459</v>
      </c>
      <c r="B15" s="11" t="s">
        <v>5459</v>
      </c>
      <c r="C15" s="11" t="s">
        <v>5459</v>
      </c>
      <c r="I15" s="11" t="str">
        <f t="shared" si="0"/>
        <v>lga</v>
      </c>
    </row>
    <row r="16" spans="1:9" s="11" customFormat="1" ht="15.75" customHeight="1">
      <c r="A16" s="11" t="s">
        <v>2697</v>
      </c>
      <c r="B16" s="11" t="s">
        <v>2704</v>
      </c>
      <c r="C16" s="11" t="s">
        <v>2697</v>
      </c>
      <c r="I16" s="11" t="str">
        <f t="shared" si="0"/>
        <v>district</v>
      </c>
    </row>
    <row r="17" spans="1:13" s="11" customFormat="1" ht="15.75" customHeight="1"/>
    <row r="18" spans="1:13" s="11" customFormat="1" ht="15.75" customHeight="1"/>
    <row r="19" spans="1:13" s="11" customFormat="1" ht="15.75" customHeight="1">
      <c r="A19" s="11" t="s">
        <v>4408</v>
      </c>
      <c r="B19" s="11">
        <v>1</v>
      </c>
      <c r="C19" s="11" t="s">
        <v>4410</v>
      </c>
      <c r="I19" s="11" t="str">
        <f t="shared" si="0"/>
        <v>Public Health Center</v>
      </c>
    </row>
    <row r="20" spans="1:13" s="11" customFormat="1" ht="15.75" customHeight="1">
      <c r="A20" s="11" t="s">
        <v>4408</v>
      </c>
      <c r="B20" s="11">
        <v>2</v>
      </c>
      <c r="C20" s="11" t="s">
        <v>4411</v>
      </c>
      <c r="I20" s="11" t="str">
        <f t="shared" si="0"/>
        <v>Pubic Hospital</v>
      </c>
    </row>
    <row r="21" spans="1:13" s="11" customFormat="1" ht="15.75" customHeight="1"/>
    <row r="22" spans="1:13" s="11" customFormat="1" ht="15.75" customHeight="1">
      <c r="A22" s="11" t="s">
        <v>4415</v>
      </c>
      <c r="B22" s="11">
        <v>1</v>
      </c>
      <c r="C22" s="11" t="s">
        <v>4416</v>
      </c>
      <c r="I22" s="11" t="str">
        <f t="shared" si="0"/>
        <v>Visit 1</v>
      </c>
    </row>
    <row r="23" spans="1:13" s="11" customFormat="1" ht="15.75" customHeight="1">
      <c r="A23" s="11" t="s">
        <v>4415</v>
      </c>
      <c r="B23" s="11">
        <v>2</v>
      </c>
      <c r="C23" s="11" t="s">
        <v>4417</v>
      </c>
      <c r="I23" s="11" t="str">
        <f t="shared" si="0"/>
        <v>Visit 2</v>
      </c>
    </row>
    <row r="24" spans="1:13" s="11" customFormat="1" ht="15.75" customHeight="1">
      <c r="A24" s="11" t="s">
        <v>4415</v>
      </c>
      <c r="B24" s="11">
        <v>3</v>
      </c>
      <c r="C24" s="11" t="s">
        <v>4418</v>
      </c>
      <c r="I24" s="11" t="str">
        <f t="shared" si="0"/>
        <v>Visit 3</v>
      </c>
    </row>
    <row r="25" spans="1:13" s="11" customFormat="1" ht="15.75" customHeight="1"/>
    <row r="26" spans="1:13" s="11" customFormat="1" ht="15.75" customHeight="1">
      <c r="A26" s="11" t="s">
        <v>765</v>
      </c>
      <c r="B26" s="11" t="s">
        <v>4338</v>
      </c>
      <c r="C26" s="11" t="s">
        <v>765</v>
      </c>
      <c r="I26" s="11" t="str">
        <f t="shared" si="0"/>
        <v>staff</v>
      </c>
    </row>
    <row r="27" spans="1:13" ht="15" customHeight="1">
      <c r="A27" s="12"/>
      <c r="B27" s="12"/>
      <c r="C27" s="12"/>
      <c r="D27" s="7"/>
      <c r="E27" s="7"/>
      <c r="I27" s="11"/>
    </row>
    <row r="28" spans="1:13" s="11" customFormat="1" ht="14.25">
      <c r="A28" s="11" t="s">
        <v>2697</v>
      </c>
      <c r="B28" s="11" t="s">
        <v>2704</v>
      </c>
      <c r="C28" s="11" t="s">
        <v>2697</v>
      </c>
      <c r="I28" s="11" t="str">
        <f t="shared" si="0"/>
        <v>district</v>
      </c>
    </row>
    <row r="29" spans="1:13" s="11" customFormat="1" ht="14.25">
      <c r="A29" s="11" t="s">
        <v>2707</v>
      </c>
      <c r="B29" s="11" t="s">
        <v>2706</v>
      </c>
      <c r="C29" s="11" t="s">
        <v>2707</v>
      </c>
      <c r="I29" s="11" t="str">
        <f t="shared" si="0"/>
        <v>eacode</v>
      </c>
    </row>
    <row r="30" spans="1:13" s="13" customFormat="1" ht="13.5" customHeight="1">
      <c r="A30" s="11" t="s">
        <v>2698</v>
      </c>
      <c r="B30" s="11" t="s">
        <v>2705</v>
      </c>
      <c r="C30" s="11" t="s">
        <v>2698</v>
      </c>
      <c r="G30" s="14"/>
      <c r="H30" s="15"/>
      <c r="I30" s="11" t="str">
        <f t="shared" si="0"/>
        <v>settlement</v>
      </c>
      <c r="J30" s="15"/>
      <c r="K30" s="15"/>
      <c r="L30" s="15"/>
      <c r="M30" s="15"/>
    </row>
    <row r="31" spans="1:13" ht="15" customHeight="1">
      <c r="A31" s="7"/>
      <c r="B31" s="7"/>
      <c r="C31" s="12"/>
      <c r="D31" s="12"/>
      <c r="E31" s="12"/>
      <c r="F31" s="12"/>
      <c r="G31" s="12"/>
      <c r="H31" s="12"/>
      <c r="I31" s="11"/>
    </row>
    <row r="32" spans="1:13" ht="15" customHeight="1">
      <c r="A32" s="12" t="s">
        <v>2699</v>
      </c>
      <c r="B32" s="12">
        <v>1</v>
      </c>
      <c r="C32" s="12" t="s">
        <v>456</v>
      </c>
      <c r="D32" s="12"/>
      <c r="E32" s="12"/>
      <c r="F32" s="12"/>
      <c r="G32" s="12"/>
      <c r="H32" s="12"/>
      <c r="I32" s="11" t="str">
        <f t="shared" si="0"/>
        <v>INTERVIEW DONE</v>
      </c>
    </row>
    <row r="33" spans="1:9" ht="15" customHeight="1">
      <c r="A33" s="12" t="s">
        <v>2699</v>
      </c>
      <c r="B33" s="12">
        <v>2</v>
      </c>
      <c r="C33" s="12" t="s">
        <v>458</v>
      </c>
      <c r="D33" s="12"/>
      <c r="E33" s="12"/>
      <c r="F33" s="12"/>
      <c r="G33" s="12"/>
      <c r="H33" s="12"/>
      <c r="I33" s="11" t="str">
        <f t="shared" si="0"/>
        <v>PARTIALLY COMPLETED</v>
      </c>
    </row>
    <row r="34" spans="1:9" ht="15" customHeight="1">
      <c r="A34" s="12" t="s">
        <v>2699</v>
      </c>
      <c r="B34" s="12">
        <v>3</v>
      </c>
      <c r="C34" s="12" t="s">
        <v>460</v>
      </c>
      <c r="D34" s="12"/>
      <c r="E34" s="12"/>
      <c r="F34" s="12"/>
      <c r="G34" s="12"/>
      <c r="H34" s="12"/>
      <c r="I34" s="11" t="str">
        <f t="shared" si="0"/>
        <v>PERSON IN CHARGE REFUSED INTERVIEW</v>
      </c>
    </row>
    <row r="35" spans="1:9" ht="15" customHeight="1">
      <c r="A35" s="12" t="s">
        <v>2699</v>
      </c>
      <c r="B35" s="12">
        <v>4</v>
      </c>
      <c r="C35" s="12" t="s">
        <v>3567</v>
      </c>
      <c r="D35" s="12"/>
      <c r="E35" s="12"/>
      <c r="F35" s="12"/>
      <c r="G35" s="12"/>
      <c r="H35" s="12"/>
      <c r="I35" s="11" t="str">
        <f t="shared" si="0"/>
        <v>PERSON IN CHARGE IS OUT  (STAFF THAT IS PRESENT IS NOT AUTHORIZED)</v>
      </c>
    </row>
    <row r="36" spans="1:9" ht="15" customHeight="1">
      <c r="A36" s="12" t="s">
        <v>2699</v>
      </c>
      <c r="B36" s="12">
        <v>5</v>
      </c>
      <c r="C36" s="12" t="s">
        <v>464</v>
      </c>
      <c r="D36" s="12"/>
      <c r="E36" s="12"/>
      <c r="F36" s="12"/>
      <c r="G36" s="12"/>
      <c r="H36" s="12"/>
      <c r="I36" s="11" t="str">
        <f t="shared" si="0"/>
        <v>FACILITY IS EMPTY (NO STAFF MEMBERS)</v>
      </c>
    </row>
    <row r="37" spans="1:9" ht="15" customHeight="1">
      <c r="A37" s="12" t="s">
        <v>2699</v>
      </c>
      <c r="B37" s="12">
        <v>6</v>
      </c>
      <c r="C37" s="12" t="s">
        <v>466</v>
      </c>
      <c r="D37" s="12"/>
      <c r="E37" s="12"/>
      <c r="F37" s="12"/>
      <c r="G37" s="12"/>
      <c r="H37" s="12"/>
      <c r="I37" s="11" t="str">
        <f t="shared" si="0"/>
        <v>HEALTH FACILITY NOT FOUND</v>
      </c>
    </row>
    <row r="38" spans="1:9" ht="15" customHeight="1">
      <c r="A38" s="12" t="s">
        <v>2699</v>
      </c>
      <c r="B38" s="12">
        <v>96</v>
      </c>
      <c r="C38" s="12" t="s">
        <v>46</v>
      </c>
      <c r="D38" s="12"/>
      <c r="E38" s="12"/>
      <c r="F38" s="12"/>
      <c r="G38" s="12"/>
      <c r="H38" s="12"/>
      <c r="I38" s="11" t="str">
        <f t="shared" si="0"/>
        <v>OTHER, SPECIFY:</v>
      </c>
    </row>
    <row r="39" spans="1:9" ht="15" customHeight="1">
      <c r="A39" s="7"/>
      <c r="B39" s="7"/>
      <c r="C39" s="12"/>
      <c r="D39" s="7"/>
      <c r="E39" s="7"/>
      <c r="I39" s="11">
        <f t="shared" si="0"/>
        <v>0</v>
      </c>
    </row>
    <row r="40" spans="1:9" ht="15" customHeight="1">
      <c r="A40" s="12" t="s">
        <v>2700</v>
      </c>
      <c r="B40" s="12">
        <v>1</v>
      </c>
      <c r="C40" s="12" t="s">
        <v>470</v>
      </c>
      <c r="D40" s="7"/>
      <c r="E40" s="7"/>
      <c r="I40" s="11" t="str">
        <f t="shared" si="0"/>
        <v>ENGLISH</v>
      </c>
    </row>
    <row r="41" spans="1:9" ht="15" customHeight="1">
      <c r="A41" s="12" t="s">
        <v>2700</v>
      </c>
      <c r="B41" s="12">
        <v>2</v>
      </c>
      <c r="C41" s="12" t="s">
        <v>472</v>
      </c>
      <c r="D41" s="7"/>
      <c r="E41" s="7"/>
      <c r="I41" s="11" t="str">
        <f t="shared" si="0"/>
        <v>MADINKA</v>
      </c>
    </row>
    <row r="42" spans="1:9" ht="15" customHeight="1">
      <c r="A42" s="12" t="s">
        <v>2700</v>
      </c>
      <c r="B42" s="12">
        <v>3</v>
      </c>
      <c r="C42" s="12" t="s">
        <v>474</v>
      </c>
      <c r="D42" s="7"/>
      <c r="E42" s="7"/>
      <c r="I42" s="11" t="str">
        <f t="shared" si="0"/>
        <v>WOLOF</v>
      </c>
    </row>
    <row r="43" spans="1:9" ht="15" customHeight="1">
      <c r="A43" s="12" t="s">
        <v>2700</v>
      </c>
      <c r="B43" s="12">
        <v>4</v>
      </c>
      <c r="C43" s="12" t="s">
        <v>476</v>
      </c>
      <c r="D43" s="7"/>
      <c r="E43" s="7"/>
      <c r="I43" s="11" t="str">
        <f t="shared" si="0"/>
        <v>FULA</v>
      </c>
    </row>
    <row r="44" spans="1:9" ht="15" customHeight="1">
      <c r="A44" s="12" t="s">
        <v>2700</v>
      </c>
      <c r="B44" s="12">
        <v>5</v>
      </c>
      <c r="C44" s="12" t="s">
        <v>478</v>
      </c>
      <c r="D44" s="7"/>
      <c r="E44" s="7"/>
      <c r="I44" s="11" t="str">
        <f t="shared" si="0"/>
        <v>JOLA</v>
      </c>
    </row>
    <row r="45" spans="1:9" ht="15" customHeight="1">
      <c r="A45" s="12" t="s">
        <v>2700</v>
      </c>
      <c r="B45" s="12">
        <v>6</v>
      </c>
      <c r="C45" s="12" t="s">
        <v>480</v>
      </c>
      <c r="D45" s="7"/>
      <c r="E45" s="7"/>
      <c r="I45" s="11" t="str">
        <f t="shared" si="0"/>
        <v>SERER</v>
      </c>
    </row>
    <row r="46" spans="1:9" ht="15" customHeight="1">
      <c r="A46" s="12" t="s">
        <v>2700</v>
      </c>
      <c r="B46" s="12">
        <v>96</v>
      </c>
      <c r="C46" s="12" t="s">
        <v>18</v>
      </c>
      <c r="D46" s="7"/>
      <c r="E46" s="7"/>
      <c r="I46" s="11" t="str">
        <f t="shared" si="0"/>
        <v>OTHER, SPECIFY</v>
      </c>
    </row>
    <row r="47" spans="1:9" ht="15" customHeight="1">
      <c r="A47" s="7"/>
      <c r="B47" s="7"/>
      <c r="C47" s="12"/>
      <c r="D47" s="7"/>
      <c r="E47" s="7"/>
      <c r="I47" s="11"/>
    </row>
    <row r="48" spans="1:9" ht="15" customHeight="1">
      <c r="A48" s="12" t="s">
        <v>4451</v>
      </c>
      <c r="B48" s="12">
        <v>1</v>
      </c>
      <c r="C48" s="12" t="s">
        <v>486</v>
      </c>
      <c r="D48" s="7"/>
      <c r="E48" s="7"/>
      <c r="I48" s="11" t="str">
        <f t="shared" si="0"/>
        <v>NEVER</v>
      </c>
    </row>
    <row r="49" spans="1:9" ht="15" customHeight="1">
      <c r="A49" s="12" t="s">
        <v>4451</v>
      </c>
      <c r="B49" s="12">
        <v>2</v>
      </c>
      <c r="C49" s="12" t="s">
        <v>488</v>
      </c>
      <c r="D49" s="7"/>
      <c r="E49" s="7"/>
      <c r="I49" s="11" t="str">
        <f t="shared" si="0"/>
        <v>SOMETIMES</v>
      </c>
    </row>
    <row r="50" spans="1:9" ht="15" customHeight="1">
      <c r="A50" s="12" t="s">
        <v>4451</v>
      </c>
      <c r="B50" s="12">
        <v>3</v>
      </c>
      <c r="C50" s="12" t="s">
        <v>490</v>
      </c>
      <c r="D50" s="7"/>
      <c r="E50" s="7"/>
      <c r="I50" s="11" t="str">
        <f t="shared" si="0"/>
        <v>ALWAYS</v>
      </c>
    </row>
    <row r="51" spans="1:9" ht="15" customHeight="1">
      <c r="A51" s="12"/>
      <c r="B51" s="12"/>
      <c r="C51" s="12"/>
      <c r="D51" s="7"/>
      <c r="E51" s="7"/>
      <c r="I51" s="11"/>
    </row>
    <row r="52" spans="1:9" ht="12.75" customHeight="1">
      <c r="A52" s="16" t="s">
        <v>455</v>
      </c>
      <c r="B52" s="17">
        <v>1</v>
      </c>
      <c r="C52" s="17" t="s">
        <v>456</v>
      </c>
      <c r="I52" s="11" t="str">
        <f t="shared" si="0"/>
        <v>INTERVIEW DONE</v>
      </c>
    </row>
    <row r="53" spans="1:9" ht="12.75" customHeight="1">
      <c r="A53" s="16" t="s">
        <v>457</v>
      </c>
      <c r="B53" s="17">
        <v>2</v>
      </c>
      <c r="C53" s="16" t="s">
        <v>458</v>
      </c>
      <c r="I53" s="11" t="str">
        <f t="shared" si="0"/>
        <v>PARTIALLY COMPLETED</v>
      </c>
    </row>
    <row r="54" spans="1:9" ht="12.75" customHeight="1">
      <c r="A54" s="16" t="s">
        <v>459</v>
      </c>
      <c r="B54" s="17">
        <v>3</v>
      </c>
      <c r="C54" s="16" t="s">
        <v>460</v>
      </c>
      <c r="I54" s="11" t="str">
        <f t="shared" si="0"/>
        <v>PERSON IN CHARGE REFUSED INTERVIEW</v>
      </c>
    </row>
    <row r="55" spans="1:9" ht="12.75" customHeight="1">
      <c r="A55" s="16" t="s">
        <v>461</v>
      </c>
      <c r="B55" s="17">
        <v>4</v>
      </c>
      <c r="C55" s="17" t="s">
        <v>462</v>
      </c>
      <c r="I55" s="11" t="str">
        <f t="shared" si="0"/>
        <v>PERSON IN CHARGE IS OUT (STAFF THAT IS PRESENT IS NOT AUTHORIZED)</v>
      </c>
    </row>
    <row r="56" spans="1:9" ht="12.75" customHeight="1">
      <c r="A56" s="16" t="s">
        <v>463</v>
      </c>
      <c r="B56" s="17">
        <v>5</v>
      </c>
      <c r="C56" s="16" t="s">
        <v>464</v>
      </c>
      <c r="I56" s="11" t="str">
        <f t="shared" si="0"/>
        <v>FACILITY IS EMPTY (NO STAFF MEMBERS)</v>
      </c>
    </row>
    <row r="57" spans="1:9" ht="12.75" customHeight="1">
      <c r="A57" s="16" t="s">
        <v>465</v>
      </c>
      <c r="B57" s="17">
        <v>6</v>
      </c>
      <c r="C57" s="16" t="s">
        <v>466</v>
      </c>
      <c r="I57" s="11" t="str">
        <f t="shared" si="0"/>
        <v>HEALTH FACILITY NOT FOUND</v>
      </c>
    </row>
    <row r="58" spans="1:9" ht="12.75" customHeight="1">
      <c r="A58" s="16" t="s">
        <v>467</v>
      </c>
      <c r="B58" s="17">
        <v>96</v>
      </c>
      <c r="C58" s="16" t="s">
        <v>468</v>
      </c>
      <c r="I58" s="11" t="str">
        <f t="shared" si="0"/>
        <v>OTHER SPECIFY</v>
      </c>
    </row>
    <row r="59" spans="1:9" ht="12.75" customHeight="1">
      <c r="A59" s="16"/>
      <c r="B59" s="17"/>
      <c r="C59" s="16"/>
      <c r="I59" s="11"/>
    </row>
    <row r="60" spans="1:9" ht="12.75" customHeight="1">
      <c r="A60" s="16" t="s">
        <v>469</v>
      </c>
      <c r="B60" s="17">
        <v>1</v>
      </c>
      <c r="C60" s="16" t="s">
        <v>470</v>
      </c>
      <c r="I60" s="11" t="str">
        <f t="shared" si="0"/>
        <v>ENGLISH</v>
      </c>
    </row>
    <row r="61" spans="1:9" ht="12.75" customHeight="1">
      <c r="A61" s="16" t="s">
        <v>471</v>
      </c>
      <c r="B61" s="17">
        <v>2</v>
      </c>
      <c r="C61" s="16" t="s">
        <v>472</v>
      </c>
      <c r="I61" s="11" t="str">
        <f t="shared" si="0"/>
        <v>MADINKA</v>
      </c>
    </row>
    <row r="62" spans="1:9" ht="12.75" customHeight="1">
      <c r="A62" s="16" t="s">
        <v>473</v>
      </c>
      <c r="B62" s="17">
        <v>3</v>
      </c>
      <c r="C62" s="16" t="s">
        <v>474</v>
      </c>
      <c r="I62" s="11" t="str">
        <f t="shared" si="0"/>
        <v>WOLOF</v>
      </c>
    </row>
    <row r="63" spans="1:9" ht="12.75" customHeight="1">
      <c r="A63" s="16" t="s">
        <v>475</v>
      </c>
      <c r="B63" s="17">
        <v>4</v>
      </c>
      <c r="C63" s="16" t="s">
        <v>476</v>
      </c>
      <c r="I63" s="11" t="str">
        <f t="shared" si="0"/>
        <v>FULA</v>
      </c>
    </row>
    <row r="64" spans="1:9" ht="12.75" customHeight="1">
      <c r="A64" s="16" t="s">
        <v>477</v>
      </c>
      <c r="B64" s="17">
        <v>5</v>
      </c>
      <c r="C64" s="16" t="s">
        <v>478</v>
      </c>
      <c r="I64" s="11" t="str">
        <f t="shared" si="0"/>
        <v>JOLA</v>
      </c>
    </row>
    <row r="65" spans="1:9" ht="12.75" customHeight="1">
      <c r="A65" s="16" t="s">
        <v>479</v>
      </c>
      <c r="B65" s="17">
        <v>6</v>
      </c>
      <c r="C65" s="16" t="s">
        <v>480</v>
      </c>
      <c r="I65" s="11" t="str">
        <f t="shared" si="0"/>
        <v>SERER</v>
      </c>
    </row>
    <row r="66" spans="1:9" ht="12.75" customHeight="1">
      <c r="A66" s="16" t="s">
        <v>481</v>
      </c>
      <c r="B66" s="17">
        <v>7</v>
      </c>
      <c r="C66" s="16" t="s">
        <v>482</v>
      </c>
      <c r="I66" s="11" t="str">
        <f t="shared" si="0"/>
        <v>SARAHULE</v>
      </c>
    </row>
    <row r="67" spans="1:9" ht="12.75" customHeight="1">
      <c r="A67" s="16" t="s">
        <v>483</v>
      </c>
      <c r="B67" s="17">
        <v>96</v>
      </c>
      <c r="C67" s="16" t="s">
        <v>484</v>
      </c>
      <c r="I67" s="11" t="str">
        <f t="shared" ref="I67:I130" si="1">C67</f>
        <v>OTHER, SPECIFY:</v>
      </c>
    </row>
    <row r="68" spans="1:9" ht="12.75" customHeight="1">
      <c r="A68" s="16"/>
      <c r="B68" s="17"/>
      <c r="C68" s="16"/>
      <c r="I68" s="11"/>
    </row>
    <row r="69" spans="1:9" ht="12.75" customHeight="1">
      <c r="A69" s="16" t="s">
        <v>485</v>
      </c>
      <c r="B69" s="17">
        <v>1</v>
      </c>
      <c r="C69" s="16" t="s">
        <v>486</v>
      </c>
      <c r="I69" s="11" t="str">
        <f t="shared" si="1"/>
        <v>NEVER</v>
      </c>
    </row>
    <row r="70" spans="1:9" ht="12.75" customHeight="1">
      <c r="A70" s="16" t="s">
        <v>487</v>
      </c>
      <c r="B70" s="17">
        <v>2</v>
      </c>
      <c r="C70" s="16" t="s">
        <v>488</v>
      </c>
      <c r="I70" s="11" t="str">
        <f t="shared" si="1"/>
        <v>SOMETIMES</v>
      </c>
    </row>
    <row r="71" spans="1:9" ht="12.75" customHeight="1">
      <c r="A71" s="16" t="s">
        <v>489</v>
      </c>
      <c r="B71" s="17">
        <v>3</v>
      </c>
      <c r="C71" s="16" t="s">
        <v>490</v>
      </c>
      <c r="I71" s="11" t="str">
        <f t="shared" si="1"/>
        <v>ALWAYS</v>
      </c>
    </row>
    <row r="72" spans="1:9" ht="12.75" customHeight="1">
      <c r="B72" s="16"/>
      <c r="C72" s="16"/>
      <c r="I72" s="11"/>
    </row>
    <row r="73" spans="1:9" ht="12.75" customHeight="1">
      <c r="A73" s="16" t="s">
        <v>494</v>
      </c>
      <c r="B73" s="17">
        <v>1</v>
      </c>
      <c r="C73" s="16" t="s">
        <v>495</v>
      </c>
      <c r="I73" s="11" t="str">
        <f t="shared" si="1"/>
        <v>Doctor or medical officer</v>
      </c>
    </row>
    <row r="74" spans="1:9" ht="12.75" customHeight="1">
      <c r="A74" s="16" t="s">
        <v>496</v>
      </c>
      <c r="B74" s="17">
        <v>2</v>
      </c>
      <c r="C74" s="16" t="s">
        <v>497</v>
      </c>
      <c r="I74" s="11" t="str">
        <f t="shared" si="1"/>
        <v>Clinical officer</v>
      </c>
    </row>
    <row r="75" spans="1:9" ht="12.75" customHeight="1">
      <c r="A75" s="16" t="s">
        <v>498</v>
      </c>
      <c r="B75" s="17">
        <v>3</v>
      </c>
      <c r="C75" s="16" t="s">
        <v>4263</v>
      </c>
      <c r="I75" s="11" t="str">
        <f t="shared" si="1"/>
        <v>Hospital Administrator/ CEO</v>
      </c>
    </row>
    <row r="76" spans="1:9" ht="12.75" customHeight="1">
      <c r="A76" s="16" t="s">
        <v>499</v>
      </c>
      <c r="B76" s="17">
        <v>4</v>
      </c>
      <c r="C76" s="16" t="s">
        <v>500</v>
      </c>
      <c r="I76" s="11" t="str">
        <f t="shared" si="1"/>
        <v>Nurse (SEN/SRN)</v>
      </c>
    </row>
    <row r="77" spans="1:9" ht="12.75" customHeight="1">
      <c r="A77" s="16" t="s">
        <v>501</v>
      </c>
      <c r="B77" s="17">
        <v>5</v>
      </c>
      <c r="C77" s="16" t="s">
        <v>502</v>
      </c>
      <c r="I77" s="11" t="str">
        <f t="shared" si="1"/>
        <v>Midwife (SCM/SEM)</v>
      </c>
    </row>
    <row r="78" spans="1:9" ht="12.75" customHeight="1">
      <c r="A78" s="16" t="s">
        <v>503</v>
      </c>
      <c r="B78" s="17">
        <v>6</v>
      </c>
      <c r="C78" s="16" t="s">
        <v>504</v>
      </c>
      <c r="I78" s="11" t="str">
        <f t="shared" si="1"/>
        <v>Pharmacist</v>
      </c>
    </row>
    <row r="79" spans="1:9" ht="12.75" customHeight="1">
      <c r="A79" s="16" t="s">
        <v>505</v>
      </c>
      <c r="B79" s="17">
        <v>7</v>
      </c>
      <c r="C79" s="16" t="s">
        <v>3117</v>
      </c>
      <c r="I79" s="11" t="str">
        <f t="shared" si="1"/>
        <v>Public Health Officer</v>
      </c>
    </row>
    <row r="80" spans="1:9" ht="12.75" customHeight="1">
      <c r="A80" s="16" t="s">
        <v>506</v>
      </c>
      <c r="B80" s="17">
        <v>8</v>
      </c>
      <c r="C80" s="16" t="s">
        <v>507</v>
      </c>
      <c r="I80" s="11" t="str">
        <f t="shared" si="1"/>
        <v>Nursing assistant</v>
      </c>
    </row>
    <row r="81" spans="1:9" ht="12.75" customHeight="1">
      <c r="A81" s="16" t="s">
        <v>508</v>
      </c>
      <c r="B81" s="17">
        <v>9</v>
      </c>
      <c r="C81" s="16" t="s">
        <v>509</v>
      </c>
      <c r="I81" s="11" t="str">
        <f t="shared" si="1"/>
        <v>Pharmacy technician/Dispenser</v>
      </c>
    </row>
    <row r="82" spans="1:9" ht="12.75" customHeight="1">
      <c r="A82" s="16" t="s">
        <v>510</v>
      </c>
      <c r="B82" s="17">
        <v>10</v>
      </c>
      <c r="C82" s="16" t="s">
        <v>4264</v>
      </c>
      <c r="I82" s="11" t="str">
        <f t="shared" si="1"/>
        <v>Lab Scientist</v>
      </c>
    </row>
    <row r="83" spans="1:9" ht="12.75" customHeight="1">
      <c r="A83" s="16" t="s">
        <v>512</v>
      </c>
      <c r="B83" s="17">
        <v>11</v>
      </c>
      <c r="C83" s="16" t="s">
        <v>511</v>
      </c>
      <c r="I83" s="11" t="str">
        <f t="shared" si="1"/>
        <v>Lab technician</v>
      </c>
    </row>
    <row r="84" spans="1:9" ht="12.75" customHeight="1">
      <c r="A84" s="16" t="s">
        <v>494</v>
      </c>
      <c r="B84" s="17">
        <v>96</v>
      </c>
      <c r="C84" s="16" t="s">
        <v>35</v>
      </c>
      <c r="I84" s="11" t="str">
        <f t="shared" si="1"/>
        <v>Other, specify:</v>
      </c>
    </row>
    <row r="85" spans="1:9" ht="12.75" customHeight="1">
      <c r="B85" s="17"/>
      <c r="C85" s="7"/>
      <c r="I85" s="11">
        <f t="shared" si="1"/>
        <v>0</v>
      </c>
    </row>
    <row r="86" spans="1:9" ht="12.75" customHeight="1">
      <c r="A86" s="16" t="s">
        <v>513</v>
      </c>
      <c r="B86" s="17">
        <v>1</v>
      </c>
      <c r="C86" s="134" t="s">
        <v>4291</v>
      </c>
      <c r="I86" s="11" t="str">
        <f t="shared" si="1"/>
        <v>Regional Hospital</v>
      </c>
    </row>
    <row r="87" spans="1:9" ht="12.75" customHeight="1">
      <c r="A87" s="16" t="s">
        <v>514</v>
      </c>
      <c r="B87" s="17">
        <v>2</v>
      </c>
      <c r="C87" s="20" t="s">
        <v>2285</v>
      </c>
      <c r="I87" s="11" t="str">
        <f t="shared" si="1"/>
        <v>Major Health Center</v>
      </c>
    </row>
    <row r="88" spans="1:9" ht="12.75" customHeight="1">
      <c r="A88" s="16" t="s">
        <v>515</v>
      </c>
      <c r="B88" s="17">
        <v>3</v>
      </c>
      <c r="C88" s="21" t="s">
        <v>2286</v>
      </c>
      <c r="I88" s="11" t="str">
        <f t="shared" si="1"/>
        <v>Minor Health Center</v>
      </c>
    </row>
    <row r="89" spans="1:9" ht="12.75" customHeight="1">
      <c r="B89" s="17"/>
      <c r="C89" s="7"/>
      <c r="I89" s="11">
        <f t="shared" si="1"/>
        <v>0</v>
      </c>
    </row>
    <row r="90" spans="1:9" ht="12.75" customHeight="1">
      <c r="A90" s="16" t="s">
        <v>4472</v>
      </c>
      <c r="B90" s="17">
        <v>1</v>
      </c>
      <c r="C90" s="19" t="s">
        <v>4473</v>
      </c>
      <c r="I90" s="11" t="str">
        <f t="shared" si="1"/>
        <v>YES, ALL CARE IS AVAILABLE OFFICIALLY</v>
      </c>
    </row>
    <row r="91" spans="1:9" ht="12.75" customHeight="1">
      <c r="A91" s="16" t="s">
        <v>4472</v>
      </c>
      <c r="B91" s="17">
        <v>2</v>
      </c>
      <c r="C91" s="19" t="s">
        <v>4474</v>
      </c>
      <c r="I91" s="11" t="str">
        <f t="shared" si="1"/>
        <v>YES, SOME CARE IS AVAILABLE OFFICIALLY (E.G. EMERGENCY SERVICES)</v>
      </c>
    </row>
    <row r="92" spans="1:9" ht="12.75" customHeight="1">
      <c r="A92" s="16" t="s">
        <v>4472</v>
      </c>
      <c r="B92" s="17">
        <v>3</v>
      </c>
      <c r="C92" s="19" t="s">
        <v>4475</v>
      </c>
      <c r="I92" s="11" t="str">
        <f t="shared" si="1"/>
        <v>YES, SOME CARE IS AVAILABLE UNOFFICIALLY (E.G. EMERGENCY SERVICES)</v>
      </c>
    </row>
    <row r="93" spans="1:9" ht="12.75" customHeight="1">
      <c r="A93" s="16" t="s">
        <v>4472</v>
      </c>
      <c r="B93" s="17">
        <v>0</v>
      </c>
      <c r="C93" s="19" t="s">
        <v>516</v>
      </c>
      <c r="I93" s="11" t="str">
        <f t="shared" si="1"/>
        <v>NO</v>
      </c>
    </row>
    <row r="94" spans="1:9" ht="12.75" customHeight="1">
      <c r="B94" s="17"/>
      <c r="C94" s="7"/>
      <c r="I94" s="11">
        <f t="shared" si="1"/>
        <v>0</v>
      </c>
    </row>
    <row r="95" spans="1:9" ht="12.75" customHeight="1">
      <c r="A95" s="16" t="s">
        <v>517</v>
      </c>
      <c r="B95" s="17">
        <v>1</v>
      </c>
      <c r="C95" s="19" t="s">
        <v>518</v>
      </c>
      <c r="I95" s="11" t="str">
        <f t="shared" si="1"/>
        <v>Weekdays</v>
      </c>
    </row>
    <row r="96" spans="1:9" ht="12.75" customHeight="1">
      <c r="A96" s="16" t="s">
        <v>519</v>
      </c>
      <c r="B96" s="17">
        <v>2</v>
      </c>
      <c r="C96" s="19" t="s">
        <v>520</v>
      </c>
      <c r="I96" s="11" t="str">
        <f t="shared" si="1"/>
        <v>Saturday</v>
      </c>
    </row>
    <row r="97" spans="1:9" ht="12.75" customHeight="1">
      <c r="A97" s="16" t="s">
        <v>521</v>
      </c>
      <c r="B97" s="17">
        <v>3</v>
      </c>
      <c r="C97" s="19" t="s">
        <v>522</v>
      </c>
      <c r="I97" s="11" t="str">
        <f t="shared" si="1"/>
        <v>Sunday</v>
      </c>
    </row>
    <row r="98" spans="1:9" ht="12.75" customHeight="1">
      <c r="A98" s="16" t="s">
        <v>523</v>
      </c>
      <c r="B98" s="17">
        <v>4</v>
      </c>
      <c r="C98" s="19" t="s">
        <v>524</v>
      </c>
      <c r="I98" s="11" t="str">
        <f t="shared" si="1"/>
        <v>Holidays</v>
      </c>
    </row>
    <row r="99" spans="1:9" ht="12.75" customHeight="1">
      <c r="B99" s="17"/>
      <c r="C99" s="7"/>
      <c r="I99" s="11">
        <f t="shared" si="1"/>
        <v>0</v>
      </c>
    </row>
    <row r="100" spans="1:9" ht="12.75" customHeight="1">
      <c r="A100" s="16" t="s">
        <v>525</v>
      </c>
      <c r="B100" s="17">
        <v>1</v>
      </c>
      <c r="C100" s="19" t="s">
        <v>526</v>
      </c>
      <c r="D100" s="19">
        <v>1</v>
      </c>
      <c r="E100" s="23"/>
      <c r="I100" s="11" t="str">
        <f t="shared" si="1"/>
        <v>Monday</v>
      </c>
    </row>
    <row r="101" spans="1:9" ht="12.75" customHeight="1">
      <c r="A101" s="16" t="s">
        <v>527</v>
      </c>
      <c r="B101" s="17">
        <v>2</v>
      </c>
      <c r="C101" s="19" t="s">
        <v>528</v>
      </c>
      <c r="D101" s="19">
        <v>2</v>
      </c>
      <c r="E101" s="24"/>
      <c r="I101" s="11" t="str">
        <f t="shared" si="1"/>
        <v>Tuesday</v>
      </c>
    </row>
    <row r="102" spans="1:9" ht="12.75" customHeight="1">
      <c r="A102" s="16" t="s">
        <v>529</v>
      </c>
      <c r="B102" s="17">
        <v>3</v>
      </c>
      <c r="C102" s="19" t="s">
        <v>530</v>
      </c>
      <c r="D102" s="19">
        <v>3</v>
      </c>
      <c r="E102" s="23"/>
      <c r="I102" s="11" t="str">
        <f t="shared" si="1"/>
        <v>Wednesday</v>
      </c>
    </row>
    <row r="103" spans="1:9" ht="12.75" customHeight="1">
      <c r="A103" s="16" t="s">
        <v>531</v>
      </c>
      <c r="B103" s="17">
        <v>4</v>
      </c>
      <c r="C103" s="19" t="s">
        <v>532</v>
      </c>
      <c r="D103" s="19">
        <v>4</v>
      </c>
      <c r="E103" s="24"/>
      <c r="I103" s="11" t="str">
        <f t="shared" si="1"/>
        <v>Thursday</v>
      </c>
    </row>
    <row r="104" spans="1:9" ht="12.75" customHeight="1">
      <c r="A104" s="16" t="s">
        <v>533</v>
      </c>
      <c r="B104" s="17">
        <v>5</v>
      </c>
      <c r="C104" s="19" t="s">
        <v>534</v>
      </c>
      <c r="D104" s="19">
        <v>5</v>
      </c>
      <c r="E104" s="23"/>
      <c r="I104" s="11" t="str">
        <f t="shared" si="1"/>
        <v>Friday</v>
      </c>
    </row>
    <row r="105" spans="1:9" ht="12.75" customHeight="1">
      <c r="A105" s="16" t="s">
        <v>535</v>
      </c>
      <c r="B105" s="17">
        <v>6</v>
      </c>
      <c r="C105" s="19" t="s">
        <v>536</v>
      </c>
      <c r="D105" s="19">
        <v>6</v>
      </c>
      <c r="E105" s="24"/>
      <c r="I105" s="11" t="str">
        <f t="shared" si="1"/>
        <v>Saturday</v>
      </c>
    </row>
    <row r="106" spans="1:9" ht="12.75" customHeight="1">
      <c r="A106" s="16" t="s">
        <v>537</v>
      </c>
      <c r="B106" s="17">
        <v>7</v>
      </c>
      <c r="C106" s="19" t="s">
        <v>538</v>
      </c>
      <c r="D106" s="19">
        <v>7</v>
      </c>
      <c r="E106" s="24"/>
      <c r="I106" s="11" t="str">
        <f t="shared" si="1"/>
        <v>Sunday</v>
      </c>
    </row>
    <row r="107" spans="1:9" ht="12.75" customHeight="1">
      <c r="B107" s="17"/>
      <c r="C107" s="7"/>
      <c r="I107" s="11">
        <f t="shared" si="1"/>
        <v>0</v>
      </c>
    </row>
    <row r="108" spans="1:9" ht="12.75" customHeight="1">
      <c r="A108" s="16" t="s">
        <v>539</v>
      </c>
      <c r="B108" s="17">
        <v>1</v>
      </c>
      <c r="C108" s="19" t="s">
        <v>2440</v>
      </c>
      <c r="D108" s="19"/>
      <c r="E108" s="24"/>
      <c r="I108" s="11" t="str">
        <f t="shared" si="1"/>
        <v>MOHSW / REGIONAL HEALTH MANAGEMENT TEAM</v>
      </c>
    </row>
    <row r="109" spans="1:9" ht="12.75" customHeight="1">
      <c r="A109" s="16" t="s">
        <v>540</v>
      </c>
      <c r="B109" s="17">
        <v>2</v>
      </c>
      <c r="C109" s="19" t="s">
        <v>541</v>
      </c>
      <c r="D109" s="19"/>
      <c r="E109" s="19"/>
      <c r="I109" s="11" t="str">
        <f t="shared" si="1"/>
        <v>USER FEES</v>
      </c>
    </row>
    <row r="110" spans="1:9" ht="12.75" customHeight="1">
      <c r="A110" s="16" t="s">
        <v>542</v>
      </c>
      <c r="B110" s="17">
        <v>3</v>
      </c>
      <c r="C110" s="19" t="s">
        <v>543</v>
      </c>
      <c r="D110" s="19"/>
      <c r="E110" s="24"/>
      <c r="I110" s="11" t="str">
        <f t="shared" si="1"/>
        <v>DRUG SALES</v>
      </c>
    </row>
    <row r="111" spans="1:9" ht="12.75" customHeight="1">
      <c r="A111" s="16" t="s">
        <v>544</v>
      </c>
      <c r="B111" s="17">
        <v>4</v>
      </c>
      <c r="C111" s="19" t="s">
        <v>545</v>
      </c>
      <c r="D111" s="19"/>
      <c r="E111" s="24"/>
      <c r="I111" s="11" t="str">
        <f t="shared" si="1"/>
        <v>FAITH BASED ORGANIZATIONS</v>
      </c>
    </row>
    <row r="112" spans="1:9" ht="12.75" customHeight="1">
      <c r="A112" s="16" t="s">
        <v>546</v>
      </c>
      <c r="B112" s="17">
        <v>5</v>
      </c>
      <c r="C112" s="19" t="s">
        <v>547</v>
      </c>
      <c r="D112" s="19"/>
      <c r="E112" s="24"/>
      <c r="I112" s="11" t="str">
        <f t="shared" si="1"/>
        <v>PRIVATE COMPANY</v>
      </c>
    </row>
    <row r="113" spans="1:9" ht="12.75" customHeight="1">
      <c r="A113" s="16" t="s">
        <v>548</v>
      </c>
      <c r="B113" s="17">
        <v>6</v>
      </c>
      <c r="C113" s="19" t="s">
        <v>549</v>
      </c>
      <c r="D113" s="19"/>
      <c r="E113" s="19"/>
      <c r="I113" s="11" t="str">
        <f t="shared" si="1"/>
        <v>DONOR</v>
      </c>
    </row>
    <row r="114" spans="1:9" ht="12.75" customHeight="1">
      <c r="A114" s="16" t="s">
        <v>550</v>
      </c>
      <c r="B114" s="17">
        <v>7</v>
      </c>
      <c r="C114" s="19" t="s">
        <v>551</v>
      </c>
      <c r="D114" s="19"/>
      <c r="E114" s="19"/>
      <c r="I114" s="11" t="str">
        <f t="shared" si="1"/>
        <v>INSURANCE PAYMENTS</v>
      </c>
    </row>
    <row r="115" spans="1:9" ht="12.75" customHeight="1">
      <c r="A115" s="16" t="s">
        <v>552</v>
      </c>
      <c r="B115" s="17">
        <v>96</v>
      </c>
      <c r="C115" s="19" t="s">
        <v>553</v>
      </c>
      <c r="D115" s="19"/>
      <c r="E115" s="24"/>
      <c r="I115" s="11" t="str">
        <f t="shared" si="1"/>
        <v>OTHER, SPECIFY:</v>
      </c>
    </row>
    <row r="116" spans="1:9" ht="12.75" customHeight="1">
      <c r="B116" s="17"/>
      <c r="C116" s="7"/>
      <c r="I116" s="11">
        <f t="shared" si="1"/>
        <v>0</v>
      </c>
    </row>
    <row r="117" spans="1:9" ht="12.75" customHeight="1">
      <c r="A117" s="16" t="s">
        <v>554</v>
      </c>
      <c r="B117" s="17">
        <v>1</v>
      </c>
      <c r="C117" s="25" t="s">
        <v>555</v>
      </c>
      <c r="D117" s="13"/>
      <c r="E117" s="13"/>
      <c r="I117" s="11" t="str">
        <f t="shared" si="1"/>
        <v>MINISTRY OF HEALTH / DISTRICT HEALTH MANAGEMENT TEAM</v>
      </c>
    </row>
    <row r="118" spans="1:9" ht="12.75" customHeight="1">
      <c r="A118" s="16" t="s">
        <v>556</v>
      </c>
      <c r="B118" s="17">
        <v>2</v>
      </c>
      <c r="C118" s="22" t="s">
        <v>557</v>
      </c>
      <c r="D118" s="13"/>
      <c r="E118" s="13"/>
      <c r="I118" s="11" t="str">
        <f t="shared" si="1"/>
        <v>USER FEES</v>
      </c>
    </row>
    <row r="119" spans="1:9" ht="12.75" customHeight="1">
      <c r="A119" s="16" t="s">
        <v>558</v>
      </c>
      <c r="B119" s="17">
        <v>3</v>
      </c>
      <c r="C119" s="25" t="s">
        <v>559</v>
      </c>
      <c r="D119" s="13"/>
      <c r="E119" s="13"/>
      <c r="I119" s="11" t="str">
        <f t="shared" si="1"/>
        <v>DRUG SALES</v>
      </c>
    </row>
    <row r="120" spans="1:9" ht="12.75" customHeight="1">
      <c r="A120" s="16" t="s">
        <v>560</v>
      </c>
      <c r="B120" s="17">
        <v>4</v>
      </c>
      <c r="C120" s="25" t="s">
        <v>561</v>
      </c>
      <c r="D120" s="13"/>
      <c r="E120" s="13"/>
      <c r="I120" s="11" t="str">
        <f t="shared" si="1"/>
        <v>FAITH BASED ORGANIZATIONS</v>
      </c>
    </row>
    <row r="121" spans="1:9" ht="12.75" customHeight="1">
      <c r="A121" s="16" t="s">
        <v>562</v>
      </c>
      <c r="B121" s="17">
        <v>5</v>
      </c>
      <c r="C121" s="25" t="s">
        <v>563</v>
      </c>
      <c r="D121" s="13"/>
      <c r="E121" s="13"/>
      <c r="I121" s="11" t="str">
        <f t="shared" si="1"/>
        <v>PRIVATE COMPANY</v>
      </c>
    </row>
    <row r="122" spans="1:9" ht="12.75" customHeight="1">
      <c r="A122" s="16" t="s">
        <v>564</v>
      </c>
      <c r="B122" s="17">
        <v>6</v>
      </c>
      <c r="C122" s="22" t="s">
        <v>565</v>
      </c>
      <c r="D122" s="13"/>
      <c r="E122" s="13"/>
      <c r="I122" s="11" t="str">
        <f t="shared" si="1"/>
        <v>DONOR</v>
      </c>
    </row>
    <row r="123" spans="1:9" ht="12.75" customHeight="1">
      <c r="A123" s="16" t="s">
        <v>566</v>
      </c>
      <c r="B123" s="17">
        <v>7</v>
      </c>
      <c r="C123" s="22" t="s">
        <v>567</v>
      </c>
      <c r="D123" s="13"/>
      <c r="E123" s="13"/>
      <c r="I123" s="11" t="str">
        <f t="shared" si="1"/>
        <v>INSURANCE PAYMENTS</v>
      </c>
    </row>
    <row r="124" spans="1:9" ht="12.75" customHeight="1">
      <c r="A124" s="16" t="s">
        <v>568</v>
      </c>
      <c r="B124" s="17">
        <v>96</v>
      </c>
      <c r="C124" s="25" t="s">
        <v>569</v>
      </c>
      <c r="D124" s="13"/>
      <c r="E124" s="13"/>
      <c r="I124" s="11" t="str">
        <f t="shared" si="1"/>
        <v>OTHER, SPECIFY:</v>
      </c>
    </row>
    <row r="125" spans="1:9" ht="12.75" customHeight="1">
      <c r="B125" s="17"/>
      <c r="C125" s="7"/>
      <c r="I125" s="11">
        <f t="shared" si="1"/>
        <v>0</v>
      </c>
    </row>
    <row r="126" spans="1:9" ht="12.75" customHeight="1">
      <c r="A126" s="16" t="s">
        <v>570</v>
      </c>
      <c r="B126" s="17">
        <v>1</v>
      </c>
      <c r="C126" s="19" t="s">
        <v>571</v>
      </c>
      <c r="I126" s="11" t="str">
        <f t="shared" si="1"/>
        <v>OFFICIAL ACCOUNTS</v>
      </c>
    </row>
    <row r="127" spans="1:9" ht="12.75" customHeight="1">
      <c r="A127" s="16" t="s">
        <v>572</v>
      </c>
      <c r="B127" s="17">
        <v>2</v>
      </c>
      <c r="C127" s="19" t="s">
        <v>573</v>
      </c>
      <c r="I127" s="11" t="str">
        <f t="shared" si="1"/>
        <v>FACILITY RECORDS</v>
      </c>
    </row>
    <row r="128" spans="1:9" ht="12.75" customHeight="1">
      <c r="A128" s="16" t="s">
        <v>574</v>
      </c>
      <c r="B128" s="17">
        <v>3</v>
      </c>
      <c r="C128" s="19" t="s">
        <v>575</v>
      </c>
      <c r="I128" s="11" t="str">
        <f t="shared" si="1"/>
        <v>NO SOURCE: ORAL REPORT</v>
      </c>
    </row>
    <row r="129" spans="1:9" ht="12.75" customHeight="1">
      <c r="A129" s="16" t="s">
        <v>576</v>
      </c>
      <c r="B129" s="17">
        <v>96</v>
      </c>
      <c r="C129" s="19" t="s">
        <v>577</v>
      </c>
      <c r="I129" s="11" t="str">
        <f t="shared" si="1"/>
        <v>OTHER, SPECIFY:</v>
      </c>
    </row>
    <row r="130" spans="1:9" ht="12.75" customHeight="1">
      <c r="B130" s="17"/>
      <c r="C130" s="7"/>
      <c r="I130" s="11">
        <f t="shared" si="1"/>
        <v>0</v>
      </c>
    </row>
    <row r="131" spans="1:9" ht="12.75" customHeight="1">
      <c r="A131" s="16" t="s">
        <v>4564</v>
      </c>
      <c r="B131" s="17">
        <v>1</v>
      </c>
      <c r="C131" s="19" t="s">
        <v>578</v>
      </c>
      <c r="I131" s="11" t="str">
        <f t="shared" ref="I131:I194" si="2">C131</f>
        <v>RBF MONITORING SYSTEM</v>
      </c>
    </row>
    <row r="132" spans="1:9" ht="12.75" customHeight="1">
      <c r="A132" s="16" t="s">
        <v>4564</v>
      </c>
      <c r="B132" s="17">
        <v>2</v>
      </c>
      <c r="C132" s="19" t="s">
        <v>579</v>
      </c>
      <c r="I132" s="11" t="str">
        <f t="shared" si="2"/>
        <v>OTHER FACILITY RECORD</v>
      </c>
    </row>
    <row r="133" spans="1:9" ht="12.75" customHeight="1">
      <c r="A133" s="16" t="s">
        <v>4564</v>
      </c>
      <c r="B133" s="17">
        <v>3</v>
      </c>
      <c r="C133" s="19" t="s">
        <v>580</v>
      </c>
      <c r="I133" s="11" t="str">
        <f t="shared" si="2"/>
        <v>NO SOURCE: ORAL REPORT</v>
      </c>
    </row>
    <row r="134" spans="1:9" ht="12.75" customHeight="1">
      <c r="A134" s="16" t="s">
        <v>4564</v>
      </c>
      <c r="B134" s="17">
        <v>96</v>
      </c>
      <c r="C134" s="19" t="s">
        <v>581</v>
      </c>
      <c r="I134" s="11" t="str">
        <f t="shared" si="2"/>
        <v>OTHER, SPECIFY:</v>
      </c>
    </row>
    <row r="135" spans="1:9" ht="12.75" customHeight="1">
      <c r="B135" s="17"/>
      <c r="C135" s="7"/>
      <c r="I135" s="11">
        <f t="shared" si="2"/>
        <v>0</v>
      </c>
    </row>
    <row r="136" spans="1:9" ht="12.75" customHeight="1">
      <c r="A136" s="16" t="s">
        <v>4569</v>
      </c>
      <c r="B136" s="17">
        <v>1</v>
      </c>
      <c r="C136" s="22" t="s">
        <v>3010</v>
      </c>
      <c r="I136" s="11" t="str">
        <f t="shared" si="2"/>
        <v>Electrical mains/grid/NAWEC</v>
      </c>
    </row>
    <row r="137" spans="1:9" ht="12.75" customHeight="1">
      <c r="A137" s="16" t="s">
        <v>4569</v>
      </c>
      <c r="B137" s="17">
        <v>2</v>
      </c>
      <c r="C137" s="22" t="s">
        <v>582</v>
      </c>
      <c r="I137" s="11" t="str">
        <f t="shared" si="2"/>
        <v>Generator</v>
      </c>
    </row>
    <row r="138" spans="1:9" ht="12.75" customHeight="1">
      <c r="A138" s="16" t="s">
        <v>4569</v>
      </c>
      <c r="B138" s="17">
        <v>3</v>
      </c>
      <c r="C138" s="22" t="s">
        <v>583</v>
      </c>
      <c r="I138" s="11" t="str">
        <f t="shared" si="2"/>
        <v>Solar</v>
      </c>
    </row>
    <row r="139" spans="1:9" ht="12.75" customHeight="1">
      <c r="A139" s="16" t="s">
        <v>4569</v>
      </c>
      <c r="B139" s="17">
        <v>4</v>
      </c>
      <c r="C139" s="22" t="s">
        <v>584</v>
      </c>
      <c r="I139" s="11" t="str">
        <f t="shared" si="2"/>
        <v>No source of electricity</v>
      </c>
    </row>
    <row r="140" spans="1:9" ht="12.75" customHeight="1">
      <c r="A140" s="16" t="s">
        <v>4569</v>
      </c>
      <c r="B140" s="17">
        <v>96</v>
      </c>
      <c r="C140" s="22" t="s">
        <v>35</v>
      </c>
      <c r="I140" s="11" t="str">
        <f t="shared" si="2"/>
        <v>Other, specify:</v>
      </c>
    </row>
    <row r="141" spans="1:9" ht="12.75" customHeight="1">
      <c r="B141" s="17"/>
      <c r="C141" s="7"/>
      <c r="I141" s="11">
        <f t="shared" si="2"/>
        <v>0</v>
      </c>
    </row>
    <row r="142" spans="1:9" ht="12.75" customHeight="1">
      <c r="A142" s="16" t="s">
        <v>4570</v>
      </c>
      <c r="B142" s="17">
        <v>1</v>
      </c>
      <c r="C142" s="19" t="s">
        <v>585</v>
      </c>
      <c r="I142" s="11" t="str">
        <f t="shared" si="2"/>
        <v>Piped into Facility</v>
      </c>
    </row>
    <row r="143" spans="1:9" ht="12.75" customHeight="1">
      <c r="A143" s="16" t="s">
        <v>4570</v>
      </c>
      <c r="B143" s="17">
        <v>2</v>
      </c>
      <c r="C143" s="19" t="s">
        <v>586</v>
      </c>
      <c r="I143" s="11" t="str">
        <f t="shared" si="2"/>
        <v>Piped into Yard/Plot</v>
      </c>
    </row>
    <row r="144" spans="1:9" ht="12.75" customHeight="1">
      <c r="A144" s="16" t="s">
        <v>4570</v>
      </c>
      <c r="B144" s="17">
        <v>3</v>
      </c>
      <c r="C144" s="19" t="s">
        <v>587</v>
      </c>
      <c r="I144" s="11" t="str">
        <f t="shared" si="2"/>
        <v>Public tap/Standpipe</v>
      </c>
    </row>
    <row r="145" spans="1:9" ht="12.75" customHeight="1">
      <c r="A145" s="16" t="s">
        <v>4570</v>
      </c>
      <c r="B145" s="17">
        <v>4</v>
      </c>
      <c r="C145" s="19" t="s">
        <v>588</v>
      </c>
      <c r="I145" s="11" t="str">
        <f t="shared" si="2"/>
        <v>Protected well</v>
      </c>
    </row>
    <row r="146" spans="1:9" ht="12.75" customHeight="1">
      <c r="A146" s="16" t="s">
        <v>4570</v>
      </c>
      <c r="B146" s="17">
        <v>5</v>
      </c>
      <c r="C146" s="19" t="s">
        <v>589</v>
      </c>
      <c r="I146" s="11" t="str">
        <f t="shared" si="2"/>
        <v>Unprotected well</v>
      </c>
    </row>
    <row r="147" spans="1:9" ht="12.75" customHeight="1">
      <c r="A147" s="16" t="s">
        <v>4570</v>
      </c>
      <c r="B147" s="17">
        <v>6</v>
      </c>
      <c r="C147" s="19" t="s">
        <v>590</v>
      </c>
      <c r="I147" s="11" t="str">
        <f t="shared" si="2"/>
        <v>Unprotected spring</v>
      </c>
    </row>
    <row r="148" spans="1:9" ht="12.75" customHeight="1">
      <c r="A148" s="16" t="s">
        <v>4570</v>
      </c>
      <c r="B148" s="17">
        <v>7</v>
      </c>
      <c r="C148" s="19" t="s">
        <v>591</v>
      </c>
      <c r="I148" s="11" t="str">
        <f t="shared" si="2"/>
        <v>Rainwater</v>
      </c>
    </row>
    <row r="149" spans="1:9" ht="12.75" customHeight="1">
      <c r="A149" s="16" t="s">
        <v>4570</v>
      </c>
      <c r="B149" s="17">
        <v>8</v>
      </c>
      <c r="C149" s="19" t="s">
        <v>592</v>
      </c>
      <c r="I149" s="11" t="str">
        <f t="shared" si="2"/>
        <v>Surface water (lake, river or stream)</v>
      </c>
    </row>
    <row r="150" spans="1:9" ht="12.75" customHeight="1">
      <c r="A150" s="16" t="s">
        <v>4570</v>
      </c>
      <c r="B150" s="17">
        <v>9</v>
      </c>
      <c r="C150" s="19" t="s">
        <v>593</v>
      </c>
      <c r="I150" s="11" t="str">
        <f t="shared" si="2"/>
        <v>Bottled water</v>
      </c>
    </row>
    <row r="151" spans="1:9" ht="12.75" customHeight="1">
      <c r="A151" s="16" t="s">
        <v>4570</v>
      </c>
      <c r="B151" s="17">
        <v>96</v>
      </c>
      <c r="C151" s="19" t="s">
        <v>594</v>
      </c>
      <c r="I151" s="11" t="str">
        <f t="shared" si="2"/>
        <v>Other, specify:</v>
      </c>
    </row>
    <row r="152" spans="1:9" ht="12.75" customHeight="1">
      <c r="B152" s="17"/>
      <c r="C152" s="7"/>
      <c r="I152" s="11">
        <f t="shared" si="2"/>
        <v>0</v>
      </c>
    </row>
    <row r="153" spans="1:9" ht="12.75" customHeight="1">
      <c r="A153" s="16" t="s">
        <v>595</v>
      </c>
      <c r="B153" s="17">
        <v>1</v>
      </c>
      <c r="C153" s="19" t="s">
        <v>596</v>
      </c>
      <c r="I153" s="11" t="str">
        <f t="shared" si="2"/>
        <v>ONLY FACILITY</v>
      </c>
    </row>
    <row r="154" spans="1:9" ht="12.75" customHeight="1">
      <c r="A154" s="16" t="s">
        <v>597</v>
      </c>
      <c r="B154" s="17">
        <v>2</v>
      </c>
      <c r="C154" s="19" t="s">
        <v>598</v>
      </c>
      <c r="I154" s="11" t="str">
        <f t="shared" si="2"/>
        <v>SHARED</v>
      </c>
    </row>
    <row r="155" spans="1:9" ht="12.75" customHeight="1">
      <c r="B155" s="17"/>
      <c r="C155" s="7"/>
      <c r="I155" s="11">
        <f t="shared" si="2"/>
        <v>0</v>
      </c>
    </row>
    <row r="156" spans="1:9" ht="12.75" customHeight="1">
      <c r="A156" s="16" t="s">
        <v>599</v>
      </c>
      <c r="B156" s="17">
        <v>1</v>
      </c>
      <c r="C156" s="22" t="s">
        <v>600</v>
      </c>
      <c r="I156" s="11" t="str">
        <f t="shared" si="2"/>
        <v>YES, LANDLINE</v>
      </c>
    </row>
    <row r="157" spans="1:9" ht="12.75" customHeight="1">
      <c r="A157" s="16" t="s">
        <v>601</v>
      </c>
      <c r="B157" s="17">
        <v>2</v>
      </c>
      <c r="C157" s="22" t="s">
        <v>602</v>
      </c>
      <c r="I157" s="11" t="str">
        <f t="shared" si="2"/>
        <v>YES, MOBILE</v>
      </c>
    </row>
    <row r="158" spans="1:9" ht="12.75" customHeight="1">
      <c r="A158" s="16" t="s">
        <v>603</v>
      </c>
      <c r="B158" s="17">
        <v>3</v>
      </c>
      <c r="C158" s="22" t="s">
        <v>604</v>
      </c>
      <c r="I158" s="11" t="str">
        <f t="shared" si="2"/>
        <v>YES, BOTH</v>
      </c>
    </row>
    <row r="159" spans="1:9" ht="12.75" customHeight="1">
      <c r="A159" s="16" t="s">
        <v>605</v>
      </c>
      <c r="B159" s="17">
        <v>0</v>
      </c>
      <c r="C159" s="22" t="s">
        <v>606</v>
      </c>
      <c r="I159" s="11" t="str">
        <f t="shared" si="2"/>
        <v>NO</v>
      </c>
    </row>
    <row r="160" spans="1:9" ht="12.75" customHeight="1">
      <c r="B160" s="17"/>
      <c r="C160" s="7"/>
      <c r="I160" s="11"/>
    </row>
    <row r="161" spans="1:9" ht="12.75" customHeight="1">
      <c r="A161" s="16" t="s">
        <v>607</v>
      </c>
      <c r="B161" s="17">
        <v>1</v>
      </c>
      <c r="C161" s="10">
        <v>1</v>
      </c>
      <c r="D161" s="19"/>
      <c r="E161" s="24"/>
      <c r="I161" s="221" t="s">
        <v>6817</v>
      </c>
    </row>
    <row r="162" spans="1:9" ht="12.75" customHeight="1">
      <c r="A162" s="16" t="s">
        <v>608</v>
      </c>
      <c r="B162" s="17">
        <v>2</v>
      </c>
      <c r="C162" s="10">
        <v>2</v>
      </c>
      <c r="D162" s="19"/>
      <c r="E162" s="24"/>
      <c r="I162" s="221" t="s">
        <v>2285</v>
      </c>
    </row>
    <row r="163" spans="1:9" ht="12.75" customHeight="1">
      <c r="A163" s="16" t="s">
        <v>609</v>
      </c>
      <c r="B163" s="17">
        <v>3</v>
      </c>
      <c r="C163" s="10">
        <v>3</v>
      </c>
      <c r="D163" s="19"/>
      <c r="E163" s="24"/>
      <c r="I163" s="221" t="s">
        <v>2286</v>
      </c>
    </row>
    <row r="164" spans="1:9" ht="12.75" customHeight="1">
      <c r="A164" s="16" t="s">
        <v>610</v>
      </c>
      <c r="B164" s="17">
        <v>4</v>
      </c>
      <c r="C164" s="10">
        <v>4</v>
      </c>
      <c r="D164" s="19"/>
      <c r="E164" s="24"/>
      <c r="I164" s="221" t="s">
        <v>6486</v>
      </c>
    </row>
    <row r="165" spans="1:9" ht="12.75" customHeight="1">
      <c r="A165" s="16" t="s">
        <v>607</v>
      </c>
      <c r="B165" s="17">
        <v>0</v>
      </c>
      <c r="C165" s="10">
        <v>0</v>
      </c>
      <c r="D165" s="19"/>
      <c r="E165" s="19"/>
      <c r="I165" s="222" t="s">
        <v>6818</v>
      </c>
    </row>
    <row r="166" spans="1:9" ht="12.75" customHeight="1">
      <c r="B166" s="17"/>
      <c r="C166" s="7"/>
      <c r="I166" s="11"/>
    </row>
    <row r="167" spans="1:9" ht="12.75" customHeight="1">
      <c r="A167" s="16" t="s">
        <v>611</v>
      </c>
      <c r="B167" s="17">
        <v>1</v>
      </c>
      <c r="C167" s="19" t="s">
        <v>612</v>
      </c>
      <c r="I167" s="11" t="str">
        <f t="shared" si="2"/>
        <v>YES, SEEN</v>
      </c>
    </row>
    <row r="168" spans="1:9" ht="12.75" customHeight="1">
      <c r="A168" s="16" t="s">
        <v>613</v>
      </c>
      <c r="B168" s="17">
        <v>2</v>
      </c>
      <c r="C168" s="19" t="s">
        <v>614</v>
      </c>
      <c r="I168" s="11" t="str">
        <f t="shared" si="2"/>
        <v>YES, NOT SEEN</v>
      </c>
    </row>
    <row r="169" spans="1:9" ht="12.75" customHeight="1">
      <c r="A169" s="16" t="s">
        <v>615</v>
      </c>
      <c r="B169" s="17">
        <v>0</v>
      </c>
      <c r="C169" s="19" t="s">
        <v>616</v>
      </c>
      <c r="I169" s="11" t="str">
        <f t="shared" si="2"/>
        <v>NO</v>
      </c>
    </row>
    <row r="170" spans="1:9" ht="12.75" customHeight="1">
      <c r="B170" s="17"/>
      <c r="C170" s="7"/>
      <c r="I170" s="11"/>
    </row>
    <row r="171" spans="1:9" ht="12.75" customHeight="1">
      <c r="B171" s="17"/>
      <c r="C171" s="7"/>
      <c r="I171" s="11"/>
    </row>
    <row r="172" spans="1:9" ht="12.75" customHeight="1">
      <c r="A172" s="16" t="s">
        <v>617</v>
      </c>
      <c r="B172" s="17">
        <v>1</v>
      </c>
      <c r="C172" s="25" t="s">
        <v>618</v>
      </c>
      <c r="D172" s="13"/>
      <c r="E172" s="13"/>
      <c r="I172" s="11" t="str">
        <f t="shared" si="2"/>
        <v>Chlorhexidine (gluconate)</v>
      </c>
    </row>
    <row r="173" spans="1:9" ht="12.75" customHeight="1">
      <c r="A173" s="16" t="s">
        <v>619</v>
      </c>
      <c r="B173" s="17">
        <v>2</v>
      </c>
      <c r="C173" s="25" t="s">
        <v>620</v>
      </c>
      <c r="D173" s="13"/>
      <c r="E173" s="13"/>
      <c r="I173" s="11" t="str">
        <f t="shared" si="2"/>
        <v>Dakin</v>
      </c>
    </row>
    <row r="174" spans="1:9" ht="12.75" customHeight="1">
      <c r="A174" s="16" t="s">
        <v>621</v>
      </c>
      <c r="B174" s="17">
        <v>3</v>
      </c>
      <c r="C174" s="25" t="s">
        <v>622</v>
      </c>
      <c r="D174" s="13"/>
      <c r="E174" s="13"/>
      <c r="I174" s="11" t="str">
        <f t="shared" si="2"/>
        <v>Sodium Hypochlorite/Chlorine solution/JIK solution</v>
      </c>
    </row>
    <row r="175" spans="1:9" ht="12.75" customHeight="1">
      <c r="A175" s="16" t="s">
        <v>623</v>
      </c>
      <c r="B175" s="17">
        <v>4</v>
      </c>
      <c r="C175" s="25" t="s">
        <v>624</v>
      </c>
      <c r="D175" s="13"/>
      <c r="E175" s="13"/>
      <c r="I175" s="11" t="str">
        <f t="shared" si="2"/>
        <v>Methylated spirit</v>
      </c>
    </row>
    <row r="176" spans="1:9" ht="12.75" customHeight="1">
      <c r="A176" s="16" t="s">
        <v>625</v>
      </c>
      <c r="B176" s="17">
        <v>96</v>
      </c>
      <c r="C176" s="25" t="s">
        <v>626</v>
      </c>
      <c r="D176" s="13"/>
      <c r="E176" s="13"/>
      <c r="I176" s="11" t="str">
        <f t="shared" si="2"/>
        <v>Other, specify:</v>
      </c>
    </row>
    <row r="177" spans="1:9" ht="12.75" customHeight="1">
      <c r="B177" s="17"/>
      <c r="C177" s="7"/>
      <c r="I177" s="11">
        <f t="shared" si="2"/>
        <v>0</v>
      </c>
    </row>
    <row r="178" spans="1:9" ht="12.75" customHeight="1">
      <c r="A178" s="16" t="s">
        <v>627</v>
      </c>
      <c r="B178" s="17">
        <v>1</v>
      </c>
      <c r="C178" s="22" t="s">
        <v>628</v>
      </c>
      <c r="I178" s="11" t="str">
        <f t="shared" si="2"/>
        <v>SOAKED IN DISINFECTANT SOLUTION AND THEN BRUSH SCRUBBED WITH SOAP+WATER</v>
      </c>
    </row>
    <row r="179" spans="1:9" ht="12.75" customHeight="1">
      <c r="A179" s="16" t="s">
        <v>629</v>
      </c>
      <c r="B179" s="17">
        <v>2</v>
      </c>
      <c r="C179" s="22" t="s">
        <v>630</v>
      </c>
      <c r="I179" s="11" t="str">
        <f t="shared" si="2"/>
        <v>BRUSH SCRUBBED WITH SOAP AND WATER AND THEN SOAKED IN DISINFECTANT SOLUTION</v>
      </c>
    </row>
    <row r="180" spans="1:9" ht="12.75" customHeight="1">
      <c r="A180" s="16" t="s">
        <v>631</v>
      </c>
      <c r="B180" s="17">
        <v>3</v>
      </c>
      <c r="C180" s="22" t="s">
        <v>632</v>
      </c>
      <c r="I180" s="11" t="str">
        <f t="shared" si="2"/>
        <v>BRUSH SCRUBBED WITH SOAP AND WATER ONLY</v>
      </c>
    </row>
    <row r="181" spans="1:9" ht="12.75" customHeight="1">
      <c r="A181" s="16" t="s">
        <v>633</v>
      </c>
      <c r="B181" s="17">
        <v>4</v>
      </c>
      <c r="C181" s="22" t="s">
        <v>634</v>
      </c>
      <c r="I181" s="11" t="str">
        <f t="shared" si="2"/>
        <v>SOAKED IN DISINFECTANT SOLUTION ONLY</v>
      </c>
    </row>
    <row r="182" spans="1:9" ht="12.75" customHeight="1">
      <c r="A182" s="16" t="s">
        <v>635</v>
      </c>
      <c r="B182" s="17">
        <v>5</v>
      </c>
      <c r="C182" s="22" t="s">
        <v>636</v>
      </c>
      <c r="I182" s="11" t="str">
        <f t="shared" si="2"/>
        <v>CLEANED WITH SOAP &amp; WATER</v>
      </c>
    </row>
    <row r="183" spans="1:9" ht="12.75" customHeight="1">
      <c r="A183" s="16" t="s">
        <v>637</v>
      </c>
      <c r="B183" s="17">
        <v>6</v>
      </c>
      <c r="C183" s="22" t="s">
        <v>638</v>
      </c>
      <c r="I183" s="11" t="str">
        <f t="shared" si="2"/>
        <v>EQUIPMENT NEVER DECONTAMINATED</v>
      </c>
    </row>
    <row r="184" spans="1:9" ht="12.75" customHeight="1">
      <c r="A184" s="16" t="s">
        <v>639</v>
      </c>
      <c r="B184" s="17">
        <v>7</v>
      </c>
      <c r="C184" s="22" t="s">
        <v>640</v>
      </c>
      <c r="I184" s="11" t="str">
        <f t="shared" si="2"/>
        <v>EQUIPMENT NEVER REUSED</v>
      </c>
    </row>
    <row r="185" spans="1:9" ht="12.75" customHeight="1">
      <c r="A185" s="16" t="s">
        <v>641</v>
      </c>
      <c r="B185" s="17">
        <v>96</v>
      </c>
      <c r="C185" s="22" t="s">
        <v>642</v>
      </c>
      <c r="I185" s="11" t="str">
        <f t="shared" si="2"/>
        <v>OTHER, SPECIFY:</v>
      </c>
    </row>
    <row r="186" spans="1:9" ht="12.75" customHeight="1" thickBot="1">
      <c r="B186" s="17"/>
      <c r="C186" s="7"/>
      <c r="I186" s="11">
        <f t="shared" si="2"/>
        <v>0</v>
      </c>
    </row>
    <row r="187" spans="1:9" ht="12.75" customHeight="1">
      <c r="A187" s="16" t="s">
        <v>3011</v>
      </c>
      <c r="B187" s="17">
        <v>1</v>
      </c>
      <c r="C187" s="26" t="s">
        <v>643</v>
      </c>
      <c r="I187" s="11" t="str">
        <f t="shared" si="2"/>
        <v>DRY-HEAT STERILIZATION</v>
      </c>
    </row>
    <row r="188" spans="1:9" ht="12.75" customHeight="1">
      <c r="A188" s="16" t="s">
        <v>3011</v>
      </c>
      <c r="B188" s="17">
        <v>2</v>
      </c>
      <c r="C188" s="27" t="s">
        <v>644</v>
      </c>
      <c r="I188" s="11" t="str">
        <f t="shared" si="2"/>
        <v>AUTOCLAVING</v>
      </c>
    </row>
    <row r="189" spans="1:9" ht="12.75" customHeight="1">
      <c r="A189" s="16" t="s">
        <v>3011</v>
      </c>
      <c r="B189" s="17">
        <v>3</v>
      </c>
      <c r="C189" s="27" t="s">
        <v>645</v>
      </c>
      <c r="I189" s="11" t="str">
        <f t="shared" si="2"/>
        <v>BOILING</v>
      </c>
    </row>
    <row r="190" spans="1:9" ht="12.75" customHeight="1" thickBot="1">
      <c r="A190" s="16" t="s">
        <v>3011</v>
      </c>
      <c r="B190" s="17">
        <v>4</v>
      </c>
      <c r="C190" s="18" t="s">
        <v>646</v>
      </c>
      <c r="I190" s="11" t="str">
        <f t="shared" si="2"/>
        <v>STEAM STERILIZATION</v>
      </c>
    </row>
    <row r="191" spans="1:9" ht="12.75" customHeight="1">
      <c r="A191" s="16" t="s">
        <v>3011</v>
      </c>
      <c r="B191" s="17">
        <v>5</v>
      </c>
      <c r="C191" s="18" t="s">
        <v>647</v>
      </c>
      <c r="D191" s="28"/>
      <c r="I191" s="11" t="str">
        <f t="shared" si="2"/>
        <v>CHEMICAL METHOD</v>
      </c>
    </row>
    <row r="192" spans="1:9" ht="12.75" customHeight="1">
      <c r="A192" s="16" t="s">
        <v>3011</v>
      </c>
      <c r="B192" s="17">
        <v>6</v>
      </c>
      <c r="C192" s="29" t="s">
        <v>648</v>
      </c>
      <c r="D192" s="30"/>
      <c r="I192" s="11" t="str">
        <f t="shared" si="2"/>
        <v>PROCESSED OUTSIDE FACILITY</v>
      </c>
    </row>
    <row r="193" spans="1:9" ht="12.75" customHeight="1" thickBot="1">
      <c r="A193" s="16" t="s">
        <v>3011</v>
      </c>
      <c r="B193" s="17">
        <v>0</v>
      </c>
      <c r="C193" s="18" t="s">
        <v>649</v>
      </c>
      <c r="D193" s="31"/>
      <c r="I193" s="11" t="str">
        <f t="shared" si="2"/>
        <v>NONE</v>
      </c>
    </row>
    <row r="194" spans="1:9" ht="12.75" customHeight="1" thickBot="1">
      <c r="A194" s="16" t="s">
        <v>3011</v>
      </c>
      <c r="B194" s="17">
        <v>96</v>
      </c>
      <c r="C194" s="32" t="s">
        <v>2116</v>
      </c>
      <c r="I194" s="11" t="str">
        <f t="shared" si="2"/>
        <v xml:space="preserve">OTHER, SPECIFY:
</v>
      </c>
    </row>
    <row r="195" spans="1:9" ht="12.75" customHeight="1">
      <c r="B195" s="17"/>
      <c r="C195" s="7"/>
      <c r="I195" s="11">
        <f t="shared" ref="I195:I258" si="3">C195</f>
        <v>0</v>
      </c>
    </row>
    <row r="196" spans="1:9" ht="12.75" customHeight="1">
      <c r="A196" s="16" t="s">
        <v>650</v>
      </c>
      <c r="B196" s="17">
        <v>1</v>
      </c>
      <c r="C196" s="19" t="s">
        <v>651</v>
      </c>
      <c r="I196" s="11" t="str">
        <f t="shared" si="3"/>
        <v>DISPLAYED</v>
      </c>
    </row>
    <row r="197" spans="1:9" ht="12.75" customHeight="1">
      <c r="A197" s="16" t="s">
        <v>652</v>
      </c>
      <c r="B197" s="17">
        <v>0</v>
      </c>
      <c r="C197" s="19" t="s">
        <v>653</v>
      </c>
      <c r="I197" s="11" t="str">
        <f t="shared" si="3"/>
        <v>NOT DISPLAYED</v>
      </c>
    </row>
    <row r="198" spans="1:9" ht="12.75" customHeight="1">
      <c r="B198" s="17"/>
      <c r="C198" s="7"/>
      <c r="I198" s="11">
        <f t="shared" si="3"/>
        <v>0</v>
      </c>
    </row>
    <row r="199" spans="1:9" ht="12.75" customHeight="1">
      <c r="A199" s="16" t="s">
        <v>654</v>
      </c>
      <c r="B199" s="17">
        <v>1</v>
      </c>
      <c r="C199" s="22" t="s">
        <v>655</v>
      </c>
      <c r="I199" s="11" t="str">
        <f t="shared" si="3"/>
        <v>BURIED IN PIT</v>
      </c>
    </row>
    <row r="200" spans="1:9" ht="12.75" customHeight="1">
      <c r="A200" s="16" t="s">
        <v>656</v>
      </c>
      <c r="B200" s="17">
        <v>2</v>
      </c>
      <c r="C200" s="22" t="s">
        <v>657</v>
      </c>
      <c r="I200" s="11" t="str">
        <f t="shared" si="3"/>
        <v>BURNED</v>
      </c>
    </row>
    <row r="201" spans="1:9" ht="12.75" customHeight="1">
      <c r="A201" s="16" t="s">
        <v>658</v>
      </c>
      <c r="B201" s="17">
        <v>3</v>
      </c>
      <c r="C201" s="22" t="s">
        <v>659</v>
      </c>
      <c r="I201" s="11" t="str">
        <f t="shared" si="3"/>
        <v>THROWN OUTSIDE</v>
      </c>
    </row>
    <row r="202" spans="1:9" ht="12.75" customHeight="1">
      <c r="A202" s="16" t="s">
        <v>660</v>
      </c>
      <c r="B202" s="17">
        <v>4</v>
      </c>
      <c r="C202" s="22" t="s">
        <v>661</v>
      </c>
      <c r="I202" s="11" t="str">
        <f t="shared" si="3"/>
        <v>OUTSOURCED</v>
      </c>
    </row>
    <row r="203" spans="1:9" ht="12.75" customHeight="1">
      <c r="A203" s="16" t="s">
        <v>662</v>
      </c>
      <c r="B203" s="17">
        <v>96</v>
      </c>
      <c r="C203" s="22" t="s">
        <v>18</v>
      </c>
      <c r="I203" s="11" t="str">
        <f t="shared" si="3"/>
        <v>OTHER, SPECIFY</v>
      </c>
    </row>
    <row r="204" spans="1:9" ht="12.75" customHeight="1" thickBot="1">
      <c r="B204" s="17"/>
      <c r="C204" s="7"/>
      <c r="I204" s="11">
        <f t="shared" si="3"/>
        <v>0</v>
      </c>
    </row>
    <row r="205" spans="1:9" ht="12.75" customHeight="1">
      <c r="A205" s="16" t="s">
        <v>663</v>
      </c>
      <c r="B205" s="17">
        <v>1</v>
      </c>
      <c r="C205" s="33" t="s">
        <v>664</v>
      </c>
      <c r="D205" s="33"/>
      <c r="E205" s="34"/>
      <c r="I205" s="11" t="str">
        <f t="shared" si="3"/>
        <v>Health facility director/head</v>
      </c>
    </row>
    <row r="206" spans="1:9" ht="12.75" customHeight="1">
      <c r="A206" s="16" t="s">
        <v>665</v>
      </c>
      <c r="B206" s="17">
        <v>2</v>
      </c>
      <c r="C206" s="35" t="s">
        <v>1283</v>
      </c>
      <c r="D206" s="35"/>
      <c r="E206" s="36"/>
      <c r="I206" s="11" t="str">
        <f t="shared" si="3"/>
        <v xml:space="preserve">Health facility staff </v>
      </c>
    </row>
    <row r="207" spans="1:9" ht="12.75" customHeight="1">
      <c r="A207" s="16" t="s">
        <v>666</v>
      </c>
      <c r="B207" s="17">
        <v>3</v>
      </c>
      <c r="C207" s="37" t="s">
        <v>2287</v>
      </c>
      <c r="D207" s="37"/>
      <c r="E207" s="38"/>
      <c r="I207" s="11" t="str">
        <f t="shared" si="3"/>
        <v>Catchment Area Committees (CACs)</v>
      </c>
    </row>
    <row r="208" spans="1:9" ht="12.75" customHeight="1">
      <c r="A208" s="16" t="s">
        <v>667</v>
      </c>
      <c r="B208" s="17">
        <v>4</v>
      </c>
      <c r="C208" s="35" t="s">
        <v>668</v>
      </c>
      <c r="D208" s="35"/>
      <c r="E208" s="36"/>
      <c r="I208" s="11" t="str">
        <f t="shared" si="3"/>
        <v>Community Health Workers</v>
      </c>
    </row>
    <row r="209" spans="1:9" ht="12.75" customHeight="1">
      <c r="A209" s="16" t="s">
        <v>669</v>
      </c>
      <c r="B209" s="17">
        <v>5</v>
      </c>
      <c r="C209" s="39" t="s">
        <v>3030</v>
      </c>
      <c r="D209" s="39"/>
      <c r="E209" s="40"/>
      <c r="I209" s="11" t="str">
        <f t="shared" si="3"/>
        <v>MOHSW/ Regional Health Management Team</v>
      </c>
    </row>
    <row r="210" spans="1:9" ht="12.75" customHeight="1">
      <c r="A210" s="16" t="s">
        <v>670</v>
      </c>
      <c r="B210" s="17">
        <v>6</v>
      </c>
      <c r="C210" s="35" t="s">
        <v>671</v>
      </c>
      <c r="D210" s="35"/>
      <c r="E210" s="36"/>
      <c r="I210" s="11" t="str">
        <f t="shared" si="3"/>
        <v>Non Governmental Organization staff</v>
      </c>
    </row>
    <row r="211" spans="1:9" ht="12.75" customHeight="1" thickBot="1">
      <c r="A211" s="16" t="s">
        <v>672</v>
      </c>
      <c r="B211" s="17">
        <v>96</v>
      </c>
      <c r="C211" s="41" t="s">
        <v>2288</v>
      </c>
      <c r="D211" s="41"/>
      <c r="E211" s="42"/>
      <c r="I211" s="11" t="str">
        <f t="shared" si="3"/>
        <v xml:space="preserve">Other, specify: 
</v>
      </c>
    </row>
    <row r="212" spans="1:9" ht="12.75" customHeight="1">
      <c r="B212" s="17"/>
      <c r="C212" s="7"/>
      <c r="I212" s="11">
        <f t="shared" si="3"/>
        <v>0</v>
      </c>
    </row>
    <row r="213" spans="1:9" ht="12.75" customHeight="1">
      <c r="A213" s="16" t="s">
        <v>673</v>
      </c>
      <c r="B213" s="17">
        <v>1</v>
      </c>
      <c r="C213" s="22" t="s">
        <v>674</v>
      </c>
      <c r="D213" s="22"/>
      <c r="E213" s="43"/>
      <c r="I213" s="11" t="str">
        <f t="shared" si="3"/>
        <v>ADMINISTRATIVE SUPPORT TO FACILITY, E.G. APPROVING PAYMENTS</v>
      </c>
    </row>
    <row r="214" spans="1:9" ht="12.75" customHeight="1">
      <c r="A214" s="16" t="s">
        <v>675</v>
      </c>
      <c r="B214" s="17">
        <v>2</v>
      </c>
      <c r="C214" s="19" t="s">
        <v>676</v>
      </c>
      <c r="D214" s="19"/>
      <c r="E214" s="24"/>
      <c r="I214" s="11" t="str">
        <f t="shared" si="3"/>
        <v>PROVIDED NEW SUPPLIES OR EQUIPMENT</v>
      </c>
    </row>
    <row r="215" spans="1:9" ht="12.75" customHeight="1">
      <c r="A215" s="16" t="s">
        <v>677</v>
      </c>
      <c r="B215" s="17">
        <v>3</v>
      </c>
      <c r="C215" s="19" t="s">
        <v>678</v>
      </c>
      <c r="D215" s="19"/>
      <c r="E215" s="24"/>
      <c r="I215" s="11" t="str">
        <f t="shared" si="3"/>
        <v>PROVIDED NEW INFRASTRUCTURE</v>
      </c>
    </row>
    <row r="216" spans="1:9" ht="12.75" customHeight="1">
      <c r="A216" s="16" t="s">
        <v>679</v>
      </c>
      <c r="B216" s="17">
        <v>4</v>
      </c>
      <c r="C216" s="19" t="s">
        <v>680</v>
      </c>
      <c r="D216" s="19"/>
      <c r="E216" s="24"/>
      <c r="I216" s="11" t="str">
        <f t="shared" si="3"/>
        <v>PROVIDED REPAIRS TO FACILITY</v>
      </c>
    </row>
    <row r="217" spans="1:9" ht="12.75" customHeight="1">
      <c r="A217" s="16" t="s">
        <v>681</v>
      </c>
      <c r="B217" s="17">
        <v>5</v>
      </c>
      <c r="C217" s="19" t="s">
        <v>682</v>
      </c>
      <c r="D217" s="19"/>
      <c r="E217" s="19"/>
      <c r="I217" s="11" t="str">
        <f t="shared" si="3"/>
        <v>PROVIDED DRUGS</v>
      </c>
    </row>
    <row r="218" spans="1:9" ht="12.75" customHeight="1">
      <c r="A218" s="16" t="s">
        <v>683</v>
      </c>
      <c r="B218" s="17">
        <v>6</v>
      </c>
      <c r="C218" s="19" t="s">
        <v>684</v>
      </c>
      <c r="D218" s="19"/>
      <c r="E218" s="24"/>
      <c r="I218" s="11" t="str">
        <f t="shared" si="3"/>
        <v>SENSITIZATION / MOBILIZED COMMUNITY TO USE THE HEALTH FACILITY</v>
      </c>
    </row>
    <row r="219" spans="1:9" ht="12.75" customHeight="1">
      <c r="A219" s="16" t="s">
        <v>685</v>
      </c>
      <c r="B219" s="17">
        <v>7</v>
      </c>
      <c r="C219" s="19" t="s">
        <v>686</v>
      </c>
      <c r="D219" s="19"/>
      <c r="E219" s="24"/>
      <c r="I219" s="11" t="str">
        <f t="shared" si="3"/>
        <v>PROVIDED TRANSPORT TO STAFF FOR HOME VISITS</v>
      </c>
    </row>
    <row r="220" spans="1:9" ht="12.75" customHeight="1">
      <c r="A220" s="16" t="s">
        <v>687</v>
      </c>
      <c r="B220" s="17">
        <v>8</v>
      </c>
      <c r="C220" s="19" t="s">
        <v>688</v>
      </c>
      <c r="D220" s="19"/>
      <c r="E220" s="24"/>
      <c r="I220" s="11" t="str">
        <f t="shared" si="3"/>
        <v>GAVE IN-KIND CONTRIBUTIONS</v>
      </c>
    </row>
    <row r="221" spans="1:9" ht="12.75" customHeight="1">
      <c r="A221" s="16" t="s">
        <v>689</v>
      </c>
      <c r="B221" s="17">
        <v>9</v>
      </c>
      <c r="C221" s="19" t="s">
        <v>690</v>
      </c>
      <c r="D221" s="19"/>
      <c r="E221" s="24"/>
      <c r="I221" s="11" t="str">
        <f t="shared" si="3"/>
        <v>IMPROVED SECURITY AT THE FACILITY</v>
      </c>
    </row>
    <row r="222" spans="1:9" ht="12.75" customHeight="1">
      <c r="A222" s="16" t="s">
        <v>691</v>
      </c>
      <c r="B222" s="17">
        <v>10</v>
      </c>
      <c r="C222" s="19" t="s">
        <v>692</v>
      </c>
      <c r="D222" s="19"/>
      <c r="E222" s="24"/>
      <c r="I222" s="11" t="str">
        <f t="shared" si="3"/>
        <v>IMPROVED WATER QUALITY</v>
      </c>
    </row>
    <row r="223" spans="1:9" ht="12.75" customHeight="1">
      <c r="A223" s="16" t="s">
        <v>693</v>
      </c>
      <c r="B223" s="17">
        <v>11</v>
      </c>
      <c r="C223" s="19" t="s">
        <v>694</v>
      </c>
      <c r="D223" s="19"/>
      <c r="E223" s="24"/>
      <c r="I223" s="11" t="str">
        <f t="shared" si="3"/>
        <v>IMPROVED WATER SUPPLY (QUANTITY)</v>
      </c>
    </row>
    <row r="224" spans="1:9" ht="12.75" customHeight="1">
      <c r="B224" s="17"/>
      <c r="C224" s="7"/>
      <c r="I224" s="11">
        <f t="shared" si="3"/>
        <v>0</v>
      </c>
    </row>
    <row r="225" spans="1:9" ht="12.75" customHeight="1">
      <c r="A225" s="16" t="s">
        <v>695</v>
      </c>
      <c r="B225" s="17">
        <v>12</v>
      </c>
      <c r="C225" s="19" t="s">
        <v>696</v>
      </c>
      <c r="D225" s="19"/>
      <c r="E225" s="24"/>
      <c r="I225" s="11" t="str">
        <f t="shared" si="3"/>
        <v>SUPPORTED TRAINING FOR COMMUNITY HEALTH WORKERS</v>
      </c>
    </row>
    <row r="226" spans="1:9" ht="12.75" customHeight="1">
      <c r="A226" s="16" t="s">
        <v>697</v>
      </c>
      <c r="B226" s="17">
        <v>13</v>
      </c>
      <c r="C226" s="19" t="s">
        <v>698</v>
      </c>
      <c r="D226" s="19"/>
      <c r="E226" s="24"/>
      <c r="I226" s="11" t="str">
        <f t="shared" si="3"/>
        <v>SUPPORTED OUTREACH TEAMS</v>
      </c>
    </row>
    <row r="227" spans="1:9" ht="12.75" customHeight="1">
      <c r="A227" s="16" t="s">
        <v>699</v>
      </c>
      <c r="B227" s="17">
        <v>14</v>
      </c>
      <c r="C227" s="19" t="s">
        <v>700</v>
      </c>
      <c r="D227" s="19"/>
      <c r="E227" s="24"/>
      <c r="I227" s="11" t="str">
        <f t="shared" si="3"/>
        <v>VERIFIED HEALTH FACILITY MATERNAL AND CHILD HEALTH-RELATED RESULTS</v>
      </c>
    </row>
    <row r="228" spans="1:9" ht="12.75" customHeight="1">
      <c r="A228" s="16" t="s">
        <v>701</v>
      </c>
      <c r="B228" s="17">
        <v>15</v>
      </c>
      <c r="C228" s="19" t="s">
        <v>702</v>
      </c>
      <c r="D228" s="19"/>
      <c r="E228" s="24"/>
      <c r="I228" s="11" t="str">
        <f t="shared" si="3"/>
        <v>ENVIRONMENTAL SANITATION (E.G. DESTRUCTION OF MOSQUITO BREEDING SITES)</v>
      </c>
    </row>
    <row r="229" spans="1:9" ht="12.75" customHeight="1">
      <c r="A229" s="16" t="s">
        <v>703</v>
      </c>
      <c r="B229" s="17">
        <v>16</v>
      </c>
      <c r="C229" s="19" t="s">
        <v>704</v>
      </c>
      <c r="D229" s="19"/>
      <c r="E229" s="19"/>
      <c r="I229" s="11" t="str">
        <f t="shared" si="3"/>
        <v>INDOOR RESIDUAL SPRAY</v>
      </c>
    </row>
    <row r="230" spans="1:9" ht="12.75" customHeight="1">
      <c r="A230" s="16" t="s">
        <v>705</v>
      </c>
      <c r="B230" s="17">
        <v>17</v>
      </c>
      <c r="C230" s="19" t="s">
        <v>706</v>
      </c>
      <c r="D230" s="19"/>
      <c r="E230" s="19"/>
      <c r="I230" s="11" t="str">
        <f t="shared" si="3"/>
        <v>SCREENING OF DISEASES</v>
      </c>
    </row>
    <row r="231" spans="1:9" ht="12.75" customHeight="1">
      <c r="A231" s="16" t="s">
        <v>707</v>
      </c>
      <c r="B231" s="17">
        <v>18</v>
      </c>
      <c r="C231" s="19" t="s">
        <v>708</v>
      </c>
      <c r="D231" s="19"/>
      <c r="E231" s="24"/>
      <c r="I231" s="11" t="str">
        <f t="shared" si="3"/>
        <v>REPORTED AND COLLECTED DATA FOR RESULTS-BASED FINANCING ACTIVITIES</v>
      </c>
    </row>
    <row r="232" spans="1:9" ht="12.75" customHeight="1">
      <c r="A232" s="16" t="s">
        <v>709</v>
      </c>
      <c r="B232" s="17">
        <v>19</v>
      </c>
      <c r="C232" s="19" t="s">
        <v>710</v>
      </c>
      <c r="D232" s="19"/>
      <c r="E232" s="24"/>
      <c r="I232" s="11" t="str">
        <f t="shared" si="3"/>
        <v>DESIGNED THE RESULTS-BASED FINANCING SCHEME</v>
      </c>
    </row>
    <row r="233" spans="1:9" ht="12.75" customHeight="1">
      <c r="A233" s="16" t="s">
        <v>711</v>
      </c>
      <c r="B233" s="17">
        <v>20</v>
      </c>
      <c r="C233" s="19" t="s">
        <v>712</v>
      </c>
      <c r="D233" s="19"/>
      <c r="E233" s="24"/>
      <c r="I233" s="11" t="str">
        <f t="shared" si="3"/>
        <v>PARTICIPATED IN TRAINING AND AWARENESS RAISING OF THE RESULTS-BASED FINANCING SCHEME</v>
      </c>
    </row>
    <row r="234" spans="1:9" ht="12.75" customHeight="1">
      <c r="A234" s="16" t="s">
        <v>713</v>
      </c>
      <c r="B234" s="17">
        <v>96</v>
      </c>
      <c r="C234" s="19" t="s">
        <v>714</v>
      </c>
      <c r="D234" s="19"/>
      <c r="E234" s="24"/>
      <c r="I234" s="11" t="str">
        <f t="shared" si="3"/>
        <v>OTHER, SPECIFY:</v>
      </c>
    </row>
    <row r="235" spans="1:9" ht="12.75" customHeight="1">
      <c r="B235" s="17"/>
      <c r="C235" s="7"/>
      <c r="I235" s="11">
        <f t="shared" si="3"/>
        <v>0</v>
      </c>
    </row>
    <row r="236" spans="1:9" ht="12.75" customHeight="1">
      <c r="A236" s="16" t="s">
        <v>715</v>
      </c>
      <c r="B236" s="17">
        <v>1</v>
      </c>
      <c r="C236" s="19" t="s">
        <v>716</v>
      </c>
      <c r="D236" s="19"/>
      <c r="E236" s="24"/>
      <c r="I236" s="11" t="str">
        <f t="shared" si="3"/>
        <v>Health facility director</v>
      </c>
    </row>
    <row r="237" spans="1:9" ht="12.75" customHeight="1">
      <c r="A237" s="16" t="s">
        <v>717</v>
      </c>
      <c r="B237" s="17">
        <v>2</v>
      </c>
      <c r="C237" s="19" t="s">
        <v>718</v>
      </c>
      <c r="D237" s="19"/>
      <c r="E237" s="24"/>
      <c r="I237" s="11" t="str">
        <f t="shared" si="3"/>
        <v>Health facility staff</v>
      </c>
    </row>
    <row r="238" spans="1:9" ht="12.75" customHeight="1">
      <c r="A238" s="16" t="s">
        <v>719</v>
      </c>
      <c r="B238" s="17">
        <v>3</v>
      </c>
      <c r="C238" s="19" t="s">
        <v>720</v>
      </c>
      <c r="D238" s="19"/>
      <c r="E238" s="24"/>
      <c r="I238" s="11" t="str">
        <f t="shared" si="3"/>
        <v>Non governmental Organization staff</v>
      </c>
    </row>
    <row r="239" spans="1:9" ht="12.75" customHeight="1">
      <c r="A239" s="16" t="s">
        <v>721</v>
      </c>
      <c r="B239" s="17">
        <v>4</v>
      </c>
      <c r="C239" s="19" t="s">
        <v>722</v>
      </c>
      <c r="D239" s="19"/>
      <c r="E239" s="24"/>
      <c r="I239" s="11" t="str">
        <f t="shared" si="3"/>
        <v>Ministry of Health / District Health Management Team</v>
      </c>
    </row>
    <row r="240" spans="1:9" ht="12.75" customHeight="1">
      <c r="A240" s="16" t="s">
        <v>723</v>
      </c>
      <c r="B240" s="17">
        <v>5</v>
      </c>
      <c r="C240" s="22" t="s">
        <v>724</v>
      </c>
      <c r="D240" s="22"/>
      <c r="E240" s="22"/>
      <c r="I240" s="11" t="str">
        <f t="shared" si="3"/>
        <v>Village Support Groups</v>
      </c>
    </row>
    <row r="241" spans="1:9" ht="12.75" customHeight="1">
      <c r="A241" s="16" t="s">
        <v>725</v>
      </c>
      <c r="B241" s="17">
        <v>6</v>
      </c>
      <c r="C241" s="19" t="s">
        <v>726</v>
      </c>
      <c r="D241" s="19"/>
      <c r="E241" s="44"/>
      <c r="I241" s="11" t="str">
        <f t="shared" si="3"/>
        <v>Hospital/Health center executive committee</v>
      </c>
    </row>
    <row r="242" spans="1:9" ht="12.75" customHeight="1">
      <c r="A242" s="16" t="s">
        <v>727</v>
      </c>
      <c r="B242" s="17">
        <v>7</v>
      </c>
      <c r="C242" s="22" t="s">
        <v>728</v>
      </c>
      <c r="D242" s="22"/>
      <c r="E242" s="22"/>
      <c r="I242" s="11" t="str">
        <f t="shared" si="3"/>
        <v>Hospital management</v>
      </c>
    </row>
    <row r="243" spans="1:9" ht="12.75" customHeight="1">
      <c r="A243" s="16" t="s">
        <v>729</v>
      </c>
      <c r="B243" s="17">
        <v>8</v>
      </c>
      <c r="C243" s="19" t="s">
        <v>730</v>
      </c>
      <c r="D243" s="19"/>
      <c r="E243" s="24"/>
      <c r="I243" s="11" t="str">
        <f t="shared" si="3"/>
        <v>Community Health Worker Cooperative president / leader</v>
      </c>
    </row>
    <row r="244" spans="1:9" ht="12.75" customHeight="1">
      <c r="A244" s="16" t="s">
        <v>731</v>
      </c>
      <c r="B244" s="17">
        <v>9</v>
      </c>
      <c r="C244" s="19" t="s">
        <v>732</v>
      </c>
      <c r="D244" s="19"/>
      <c r="E244" s="24"/>
      <c r="I244" s="11" t="str">
        <f t="shared" si="3"/>
        <v>Community Health Workers</v>
      </c>
    </row>
    <row r="245" spans="1:9" ht="12.75" customHeight="1">
      <c r="A245" s="16" t="s">
        <v>733</v>
      </c>
      <c r="B245" s="17">
        <v>10</v>
      </c>
      <c r="C245" s="19" t="s">
        <v>734</v>
      </c>
      <c r="D245" s="19"/>
      <c r="E245" s="24"/>
      <c r="I245" s="11" t="str">
        <f t="shared" si="3"/>
        <v>Community members</v>
      </c>
    </row>
    <row r="246" spans="1:9" ht="12.75" customHeight="1">
      <c r="A246" s="16" t="s">
        <v>735</v>
      </c>
      <c r="B246" s="17">
        <v>11</v>
      </c>
      <c r="C246" s="19" t="s">
        <v>736</v>
      </c>
      <c r="D246" s="19"/>
      <c r="E246" s="24"/>
      <c r="I246" s="11" t="str">
        <f t="shared" si="3"/>
        <v>Health Center Committee</v>
      </c>
    </row>
    <row r="247" spans="1:9" ht="12.75" customHeight="1">
      <c r="A247" s="16" t="s">
        <v>737</v>
      </c>
      <c r="B247" s="17">
        <v>96</v>
      </c>
      <c r="C247" s="19" t="s">
        <v>738</v>
      </c>
      <c r="D247" s="19"/>
      <c r="E247" s="24"/>
      <c r="I247" s="11" t="str">
        <f t="shared" si="3"/>
        <v>Other, specify:</v>
      </c>
    </row>
    <row r="248" spans="1:9" ht="12.75" customHeight="1">
      <c r="B248" s="17"/>
      <c r="C248" s="7"/>
      <c r="I248" s="11">
        <f t="shared" si="3"/>
        <v>0</v>
      </c>
    </row>
    <row r="249" spans="1:9" ht="12.75" customHeight="1">
      <c r="A249" s="16" t="s">
        <v>739</v>
      </c>
      <c r="B249" s="17">
        <v>1</v>
      </c>
      <c r="C249" s="22" t="s">
        <v>740</v>
      </c>
      <c r="D249" s="22"/>
      <c r="E249" s="43"/>
      <c r="I249" s="11" t="str">
        <f t="shared" si="3"/>
        <v>Antenatal care</v>
      </c>
    </row>
    <row r="250" spans="1:9" ht="12.75" customHeight="1">
      <c r="A250" s="16" t="s">
        <v>741</v>
      </c>
      <c r="B250" s="17">
        <v>2</v>
      </c>
      <c r="C250" s="22" t="s">
        <v>742</v>
      </c>
      <c r="D250" s="22"/>
      <c r="E250" s="43"/>
      <c r="I250" s="11" t="str">
        <f t="shared" si="3"/>
        <v>Institutional delivery</v>
      </c>
    </row>
    <row r="251" spans="1:9" ht="12.75" customHeight="1">
      <c r="A251" s="16" t="s">
        <v>743</v>
      </c>
      <c r="B251" s="17">
        <v>3</v>
      </c>
      <c r="C251" s="22" t="s">
        <v>744</v>
      </c>
      <c r="D251" s="22"/>
      <c r="E251" s="43"/>
      <c r="I251" s="11" t="str">
        <f t="shared" si="3"/>
        <v>Postnatal care</v>
      </c>
    </row>
    <row r="252" spans="1:9" ht="12.75" customHeight="1">
      <c r="A252" s="16" t="s">
        <v>745</v>
      </c>
      <c r="B252" s="17">
        <v>4</v>
      </c>
      <c r="C252" s="22" t="s">
        <v>746</v>
      </c>
      <c r="D252" s="22"/>
      <c r="E252" s="43"/>
      <c r="I252" s="11" t="str">
        <f t="shared" si="3"/>
        <v>Immunization</v>
      </c>
    </row>
    <row r="253" spans="1:9" ht="12.75" customHeight="1">
      <c r="A253" s="16" t="s">
        <v>747</v>
      </c>
      <c r="B253" s="17">
        <v>5</v>
      </c>
      <c r="C253" s="22" t="s">
        <v>748</v>
      </c>
      <c r="D253" s="22"/>
      <c r="E253" s="43"/>
      <c r="I253" s="11" t="str">
        <f t="shared" si="3"/>
        <v>Curative consultations</v>
      </c>
    </row>
    <row r="254" spans="1:9" ht="12.75" customHeight="1">
      <c r="A254" s="16" t="s">
        <v>749</v>
      </c>
      <c r="B254" s="17">
        <v>6</v>
      </c>
      <c r="C254" s="19" t="s">
        <v>750</v>
      </c>
      <c r="D254" s="19"/>
      <c r="E254" s="24"/>
      <c r="I254" s="11" t="str">
        <f t="shared" si="3"/>
        <v>Family planning/Reproductive health</v>
      </c>
    </row>
    <row r="255" spans="1:9" ht="12.75" customHeight="1">
      <c r="A255" s="16" t="s">
        <v>751</v>
      </c>
      <c r="B255" s="17">
        <v>7</v>
      </c>
      <c r="C255" s="22" t="s">
        <v>752</v>
      </c>
      <c r="D255" s="22"/>
      <c r="E255" s="43"/>
      <c r="I255" s="11" t="str">
        <f t="shared" si="3"/>
        <v>Nutrition</v>
      </c>
    </row>
    <row r="256" spans="1:9" ht="12.75" customHeight="1">
      <c r="A256" s="16" t="s">
        <v>753</v>
      </c>
      <c r="B256" s="17">
        <v>8</v>
      </c>
      <c r="C256" s="22" t="s">
        <v>754</v>
      </c>
      <c r="D256" s="22"/>
      <c r="E256" s="43"/>
      <c r="I256" s="11" t="str">
        <f t="shared" si="3"/>
        <v>Integrated management of childhood illness</v>
      </c>
    </row>
    <row r="257" spans="1:9" ht="12.75" customHeight="1">
      <c r="A257" s="16" t="s">
        <v>755</v>
      </c>
      <c r="B257" s="17">
        <v>9</v>
      </c>
      <c r="C257" s="22" t="s">
        <v>756</v>
      </c>
      <c r="D257" s="22"/>
      <c r="E257" s="43"/>
      <c r="I257" s="11" t="str">
        <f t="shared" si="3"/>
        <v>Malaria</v>
      </c>
    </row>
    <row r="258" spans="1:9" ht="12.75" customHeight="1">
      <c r="A258" s="16" t="s">
        <v>757</v>
      </c>
      <c r="B258" s="17">
        <v>10</v>
      </c>
      <c r="C258" s="22" t="s">
        <v>758</v>
      </c>
      <c r="D258" s="22"/>
      <c r="E258" s="43"/>
      <c r="I258" s="11" t="str">
        <f t="shared" si="3"/>
        <v>Tuberculosis</v>
      </c>
    </row>
    <row r="259" spans="1:9" ht="12.75" customHeight="1">
      <c r="A259" s="16" t="s">
        <v>759</v>
      </c>
      <c r="B259" s="17">
        <v>11</v>
      </c>
      <c r="C259" s="22" t="s">
        <v>760</v>
      </c>
      <c r="D259" s="22"/>
      <c r="E259" s="43"/>
      <c r="I259" s="11" t="str">
        <f t="shared" ref="I259:I322" si="4">C259</f>
        <v>HIV/AIDS</v>
      </c>
    </row>
    <row r="260" spans="1:9" ht="12.75" customHeight="1">
      <c r="A260" s="16" t="s">
        <v>761</v>
      </c>
      <c r="B260" s="17">
        <v>12</v>
      </c>
      <c r="C260" s="19" t="s">
        <v>762</v>
      </c>
      <c r="D260" s="19"/>
      <c r="E260" s="24"/>
      <c r="I260" s="11" t="str">
        <f t="shared" si="4"/>
        <v>Health promotion and monitoring</v>
      </c>
    </row>
    <row r="261" spans="1:9" ht="12.75" customHeight="1">
      <c r="A261" s="16" t="s">
        <v>763</v>
      </c>
      <c r="B261" s="17">
        <v>96</v>
      </c>
      <c r="C261" s="22" t="s">
        <v>764</v>
      </c>
      <c r="D261" s="22"/>
      <c r="E261" s="43"/>
      <c r="I261" s="11" t="str">
        <f t="shared" si="4"/>
        <v>Other, specify:</v>
      </c>
    </row>
    <row r="262" spans="1:9" ht="12.75" customHeight="1">
      <c r="B262" s="17"/>
      <c r="C262" s="7"/>
      <c r="I262" s="11">
        <f t="shared" si="4"/>
        <v>0</v>
      </c>
    </row>
    <row r="263" spans="1:9" ht="12.75" customHeight="1">
      <c r="A263" s="16" t="s">
        <v>3012</v>
      </c>
      <c r="B263" s="17">
        <v>1</v>
      </c>
      <c r="C263" s="19" t="s">
        <v>766</v>
      </c>
      <c r="I263" s="11" t="str">
        <f t="shared" si="4"/>
        <v>All have work descriptions</v>
      </c>
    </row>
    <row r="264" spans="1:9" ht="12.75" customHeight="1">
      <c r="A264" s="16" t="s">
        <v>3012</v>
      </c>
      <c r="B264" s="17">
        <v>2</v>
      </c>
      <c r="C264" s="19" t="s">
        <v>767</v>
      </c>
      <c r="I264" s="11" t="str">
        <f t="shared" si="4"/>
        <v>Some have work descriptions</v>
      </c>
    </row>
    <row r="265" spans="1:9" ht="12.75" customHeight="1">
      <c r="A265" s="16" t="s">
        <v>3012</v>
      </c>
      <c r="B265" s="17">
        <v>0</v>
      </c>
      <c r="C265" s="19" t="s">
        <v>768</v>
      </c>
      <c r="I265" s="11" t="str">
        <f t="shared" si="4"/>
        <v>None have work descriptions</v>
      </c>
    </row>
    <row r="266" spans="1:9" ht="12.75" customHeight="1" thickBot="1">
      <c r="A266" s="16"/>
      <c r="B266" s="17"/>
      <c r="C266" s="19"/>
      <c r="I266" s="11">
        <f t="shared" si="4"/>
        <v>0</v>
      </c>
    </row>
    <row r="267" spans="1:9" ht="12.75" customHeight="1">
      <c r="A267" s="16" t="s">
        <v>3013</v>
      </c>
      <c r="B267" s="17">
        <v>1</v>
      </c>
      <c r="C267" s="45" t="s">
        <v>2432</v>
      </c>
      <c r="I267" s="11" t="str">
        <f t="shared" si="4"/>
        <v>Planning service delivery</v>
      </c>
    </row>
    <row r="268" spans="1:9" ht="12.75" customHeight="1">
      <c r="A268" s="16" t="s">
        <v>3013</v>
      </c>
      <c r="B268" s="17">
        <v>2</v>
      </c>
      <c r="C268" s="46" t="s">
        <v>2433</v>
      </c>
      <c r="I268" s="11" t="str">
        <f t="shared" si="4"/>
        <v xml:space="preserve">Passed along to district, regional health teams or others </v>
      </c>
    </row>
    <row r="269" spans="1:9" ht="12.75" customHeight="1" thickBot="1">
      <c r="A269" s="16" t="s">
        <v>3013</v>
      </c>
      <c r="B269" s="17">
        <v>96</v>
      </c>
      <c r="C269" s="47" t="s">
        <v>18</v>
      </c>
      <c r="I269" s="11" t="str">
        <f t="shared" si="4"/>
        <v>OTHER, SPECIFY</v>
      </c>
    </row>
    <row r="270" spans="1:9" ht="12.75" customHeight="1">
      <c r="B270" s="17"/>
      <c r="C270" s="7"/>
      <c r="I270" s="11">
        <f t="shared" si="4"/>
        <v>0</v>
      </c>
    </row>
    <row r="271" spans="1:9" ht="12.75" customHeight="1">
      <c r="A271" s="16" t="s">
        <v>4803</v>
      </c>
      <c r="B271" s="17">
        <v>1</v>
      </c>
      <c r="C271" s="16" t="s">
        <v>769</v>
      </c>
      <c r="I271" s="11" t="str">
        <f t="shared" si="4"/>
        <v>MALE</v>
      </c>
    </row>
    <row r="272" spans="1:9" ht="12.75" customHeight="1">
      <c r="A272" s="16" t="s">
        <v>4803</v>
      </c>
      <c r="B272" s="17">
        <v>2</v>
      </c>
      <c r="C272" s="16" t="s">
        <v>770</v>
      </c>
      <c r="I272" s="11" t="str">
        <f t="shared" si="4"/>
        <v>FEMALE</v>
      </c>
    </row>
    <row r="273" spans="1:9" ht="12.75" customHeight="1">
      <c r="B273" s="17"/>
      <c r="C273" s="7"/>
      <c r="I273" s="11">
        <f t="shared" si="4"/>
        <v>0</v>
      </c>
    </row>
    <row r="274" spans="1:9" ht="12.75" customHeight="1">
      <c r="A274" s="16" t="s">
        <v>771</v>
      </c>
      <c r="B274" s="17">
        <v>1</v>
      </c>
      <c r="C274" s="19" t="s">
        <v>772</v>
      </c>
      <c r="I274" s="11" t="str">
        <f t="shared" si="4"/>
        <v>Primary education Certificate</v>
      </c>
    </row>
    <row r="275" spans="1:9" ht="12.75" customHeight="1">
      <c r="A275" s="16" t="s">
        <v>773</v>
      </c>
      <c r="B275" s="17">
        <v>2</v>
      </c>
      <c r="C275" s="19" t="s">
        <v>774</v>
      </c>
      <c r="I275" s="11" t="str">
        <f t="shared" si="4"/>
        <v>Secondary/ High School educ.certificate</v>
      </c>
    </row>
    <row r="276" spans="1:9" ht="12.75" customHeight="1">
      <c r="A276" s="16" t="s">
        <v>775</v>
      </c>
      <c r="B276" s="17">
        <v>3</v>
      </c>
      <c r="C276" s="19" t="s">
        <v>776</v>
      </c>
      <c r="I276" s="11" t="str">
        <f t="shared" si="4"/>
        <v>Colllege Degree</v>
      </c>
    </row>
    <row r="277" spans="1:9" ht="12.75" customHeight="1">
      <c r="A277" s="16" t="s">
        <v>777</v>
      </c>
      <c r="B277" s="17">
        <v>4</v>
      </c>
      <c r="C277" s="17" t="s">
        <v>778</v>
      </c>
      <c r="I277" s="11" t="str">
        <f t="shared" si="4"/>
        <v>Masters Degree</v>
      </c>
    </row>
    <row r="278" spans="1:9" ht="12.75" customHeight="1">
      <c r="A278" s="16" t="s">
        <v>779</v>
      </c>
      <c r="B278" s="17">
        <v>5</v>
      </c>
      <c r="C278" s="17" t="s">
        <v>780</v>
      </c>
      <c r="I278" s="11" t="str">
        <f t="shared" si="4"/>
        <v>Doctoral degree</v>
      </c>
    </row>
    <row r="279" spans="1:9" ht="12.75" customHeight="1">
      <c r="A279" s="16" t="s">
        <v>781</v>
      </c>
      <c r="B279" s="17">
        <v>6</v>
      </c>
      <c r="C279" s="17" t="s">
        <v>782</v>
      </c>
      <c r="I279" s="11" t="str">
        <f t="shared" si="4"/>
        <v>Post Graduate</v>
      </c>
    </row>
    <row r="280" spans="1:9" ht="12.75" customHeight="1">
      <c r="A280" s="16" t="s">
        <v>783</v>
      </c>
      <c r="B280" s="17">
        <v>7</v>
      </c>
      <c r="C280" s="17" t="s">
        <v>784</v>
      </c>
      <c r="I280" s="11" t="str">
        <f t="shared" si="4"/>
        <v>Post Doctoral</v>
      </c>
    </row>
    <row r="281" spans="1:9" ht="12.75" customHeight="1">
      <c r="A281" s="16" t="s">
        <v>785</v>
      </c>
      <c r="B281" s="17">
        <v>10</v>
      </c>
      <c r="C281" s="17" t="s">
        <v>786</v>
      </c>
      <c r="I281" s="11" t="str">
        <f t="shared" si="4"/>
        <v>No education</v>
      </c>
    </row>
    <row r="282" spans="1:9" ht="12.75" customHeight="1">
      <c r="A282" s="16" t="s">
        <v>787</v>
      </c>
      <c r="B282" s="17">
        <v>96</v>
      </c>
      <c r="C282" s="17" t="s">
        <v>788</v>
      </c>
      <c r="I282" s="11" t="str">
        <f t="shared" si="4"/>
        <v>Other, specify:</v>
      </c>
    </row>
    <row r="283" spans="1:9" ht="12.75" customHeight="1">
      <c r="B283" s="17"/>
      <c r="C283" s="7"/>
      <c r="I283" s="11">
        <f t="shared" si="4"/>
        <v>0</v>
      </c>
    </row>
    <row r="284" spans="1:9" ht="12.75" customHeight="1">
      <c r="A284" s="16" t="s">
        <v>789</v>
      </c>
      <c r="B284" s="17">
        <v>1</v>
      </c>
      <c r="C284" s="10" t="s">
        <v>2612</v>
      </c>
      <c r="I284" s="11" t="str">
        <f t="shared" si="4"/>
        <v>Clinical: Doctor or medical officer</v>
      </c>
    </row>
    <row r="285" spans="1:9" ht="12.75" customHeight="1">
      <c r="A285" s="16" t="s">
        <v>790</v>
      </c>
      <c r="B285" s="17">
        <v>2</v>
      </c>
      <c r="C285" s="10" t="s">
        <v>2613</v>
      </c>
      <c r="I285" s="11" t="str">
        <f t="shared" si="4"/>
        <v>Clinical: Clinical officer</v>
      </c>
    </row>
    <row r="286" spans="1:9" ht="12.75" customHeight="1">
      <c r="A286" s="16" t="s">
        <v>791</v>
      </c>
      <c r="B286" s="17">
        <v>3</v>
      </c>
      <c r="C286" s="10" t="s">
        <v>2614</v>
      </c>
      <c r="I286" s="11" t="str">
        <f t="shared" si="4"/>
        <v>Clinical: Hospital administrator/ Executive director</v>
      </c>
    </row>
    <row r="287" spans="1:9" ht="12.75" customHeight="1">
      <c r="A287" s="16" t="s">
        <v>792</v>
      </c>
      <c r="B287" s="17">
        <v>4</v>
      </c>
      <c r="C287" s="10" t="s">
        <v>2615</v>
      </c>
      <c r="I287" s="11" t="str">
        <f t="shared" si="4"/>
        <v xml:space="preserve">Clinical: Nurse </v>
      </c>
    </row>
    <row r="288" spans="1:9" ht="12.75" customHeight="1">
      <c r="A288" s="16" t="s">
        <v>793</v>
      </c>
      <c r="B288" s="17">
        <v>5</v>
      </c>
      <c r="C288" s="10" t="s">
        <v>2616</v>
      </c>
      <c r="I288" s="11" t="str">
        <f t="shared" si="4"/>
        <v>Clinical: Nurse Anaesthetic</v>
      </c>
    </row>
    <row r="289" spans="1:9" ht="12.75" customHeight="1">
      <c r="A289" s="16" t="s">
        <v>794</v>
      </c>
      <c r="B289" s="17">
        <v>6</v>
      </c>
      <c r="C289" s="10" t="s">
        <v>2617</v>
      </c>
      <c r="I289" s="11" t="str">
        <f t="shared" si="4"/>
        <v xml:space="preserve">Clinical: Midwife </v>
      </c>
    </row>
    <row r="290" spans="1:9" ht="12.75" customHeight="1">
      <c r="A290" s="16" t="s">
        <v>795</v>
      </c>
      <c r="B290" s="17">
        <v>7</v>
      </c>
      <c r="C290" s="10" t="s">
        <v>2618</v>
      </c>
      <c r="I290" s="11" t="str">
        <f t="shared" si="4"/>
        <v>Clinical: State Enrolled Nurse</v>
      </c>
    </row>
    <row r="291" spans="1:9" ht="12.75" customHeight="1">
      <c r="A291" s="16" t="s">
        <v>796</v>
      </c>
      <c r="B291" s="17">
        <v>8</v>
      </c>
      <c r="C291" s="10" t="s">
        <v>2619</v>
      </c>
      <c r="I291" s="11" t="str">
        <f t="shared" si="4"/>
        <v>Clinical: State Registered Nurse</v>
      </c>
    </row>
    <row r="292" spans="1:9" ht="12.75" customHeight="1">
      <c r="A292" s="16" t="s">
        <v>797</v>
      </c>
      <c r="B292" s="17">
        <v>9</v>
      </c>
      <c r="C292" s="10" t="s">
        <v>2620</v>
      </c>
      <c r="I292" s="11" t="str">
        <f t="shared" si="4"/>
        <v>Clinical: State Certified Midwife</v>
      </c>
    </row>
    <row r="293" spans="1:9" ht="12.75" customHeight="1">
      <c r="A293" s="16" t="s">
        <v>798</v>
      </c>
      <c r="B293" s="17">
        <v>10</v>
      </c>
      <c r="C293" s="10" t="s">
        <v>2621</v>
      </c>
      <c r="I293" s="11" t="str">
        <f t="shared" si="4"/>
        <v>Clinical: State Enrolled Midwife</v>
      </c>
    </row>
    <row r="294" spans="1:9" ht="12.75" customHeight="1">
      <c r="A294" s="16" t="s">
        <v>799</v>
      </c>
      <c r="B294" s="17">
        <v>11</v>
      </c>
      <c r="C294" s="10" t="s">
        <v>2622</v>
      </c>
      <c r="I294" s="11" t="str">
        <f t="shared" si="4"/>
        <v>Clinical: Community Health Nurse</v>
      </c>
    </row>
    <row r="295" spans="1:9" ht="12.75" customHeight="1">
      <c r="A295" s="16" t="s">
        <v>800</v>
      </c>
      <c r="B295" s="17">
        <v>12</v>
      </c>
      <c r="C295" s="10" t="s">
        <v>2623</v>
      </c>
      <c r="I295" s="11" t="str">
        <f t="shared" si="4"/>
        <v>Clinical: Community Health Midwife</v>
      </c>
    </row>
    <row r="296" spans="1:9" ht="12.75" customHeight="1">
      <c r="A296" s="16" t="s">
        <v>801</v>
      </c>
      <c r="B296" s="17">
        <v>13</v>
      </c>
      <c r="C296" s="10" t="s">
        <v>2624</v>
      </c>
      <c r="I296" s="11" t="str">
        <f t="shared" si="4"/>
        <v>Clinical: Ordilies</v>
      </c>
    </row>
    <row r="297" spans="1:9" ht="12.75" customHeight="1">
      <c r="A297" s="16" t="s">
        <v>802</v>
      </c>
      <c r="B297" s="17">
        <v>14</v>
      </c>
      <c r="C297" s="10" t="s">
        <v>2625</v>
      </c>
      <c r="I297" s="11" t="str">
        <f t="shared" si="4"/>
        <v>Clinical: Nursing assistant</v>
      </c>
    </row>
    <row r="298" spans="1:9" ht="12.75" customHeight="1">
      <c r="A298" s="16" t="s">
        <v>803</v>
      </c>
      <c r="B298" s="17">
        <v>15</v>
      </c>
      <c r="C298" s="10" t="s">
        <v>2626</v>
      </c>
      <c r="I298" s="11" t="str">
        <f t="shared" si="4"/>
        <v>Clinical: Lab technologist</v>
      </c>
    </row>
    <row r="299" spans="1:9" ht="12.75" customHeight="1">
      <c r="A299" s="16" t="s">
        <v>804</v>
      </c>
      <c r="B299" s="17">
        <v>16</v>
      </c>
      <c r="C299" s="10" t="s">
        <v>2627</v>
      </c>
      <c r="I299" s="11" t="str">
        <f t="shared" si="4"/>
        <v>Clinical: Lab technician</v>
      </c>
    </row>
    <row r="300" spans="1:9" ht="12.75" customHeight="1">
      <c r="A300" s="16" t="s">
        <v>805</v>
      </c>
      <c r="B300" s="17">
        <v>17</v>
      </c>
      <c r="C300" s="10" t="s">
        <v>2628</v>
      </c>
      <c r="I300" s="11" t="str">
        <f t="shared" si="4"/>
        <v>Clinical: Pharmacy Technician</v>
      </c>
    </row>
    <row r="301" spans="1:9" ht="12.75" customHeight="1">
      <c r="A301" s="16" t="s">
        <v>806</v>
      </c>
      <c r="B301" s="17">
        <v>18</v>
      </c>
      <c r="C301" s="10" t="s">
        <v>2629</v>
      </c>
      <c r="I301" s="11" t="str">
        <f t="shared" si="4"/>
        <v>Clinical: Pharmacy Assistant</v>
      </c>
    </row>
    <row r="302" spans="1:9" ht="12.75" customHeight="1">
      <c r="A302" s="16" t="s">
        <v>789</v>
      </c>
      <c r="B302" s="17">
        <v>19</v>
      </c>
      <c r="C302" s="10" t="s">
        <v>2630</v>
      </c>
      <c r="I302" s="11" t="str">
        <f t="shared" si="4"/>
        <v>Clinical: Pharmacist</v>
      </c>
    </row>
    <row r="303" spans="1:9" ht="12.75" customHeight="1">
      <c r="A303" s="16" t="s">
        <v>789</v>
      </c>
      <c r="B303" s="17">
        <v>20</v>
      </c>
      <c r="C303" s="10" t="s">
        <v>2631</v>
      </c>
      <c r="D303" s="48"/>
      <c r="I303" s="11" t="str">
        <f t="shared" si="4"/>
        <v>Clinical: PHO</v>
      </c>
    </row>
    <row r="304" spans="1:9" ht="12.75" customHeight="1">
      <c r="A304" s="16" t="s">
        <v>789</v>
      </c>
      <c r="B304" s="17">
        <v>96</v>
      </c>
      <c r="C304" s="49" t="s">
        <v>807</v>
      </c>
      <c r="D304" s="48"/>
      <c r="I304" s="11" t="str">
        <f t="shared" si="4"/>
        <v>Other clinical</v>
      </c>
    </row>
    <row r="305" spans="1:9" ht="12.75" customHeight="1">
      <c r="A305" s="16" t="s">
        <v>789</v>
      </c>
      <c r="B305" s="17">
        <v>22</v>
      </c>
      <c r="C305" s="50" t="s">
        <v>2611</v>
      </c>
      <c r="D305" s="48"/>
      <c r="I305" s="11" t="str">
        <f t="shared" si="4"/>
        <v>Non-Clinicial: Calssified Daily Employee</v>
      </c>
    </row>
    <row r="306" spans="1:9" ht="12.75" customHeight="1">
      <c r="B306" s="17"/>
      <c r="C306" s="7"/>
      <c r="I306" s="11">
        <f t="shared" si="4"/>
        <v>0</v>
      </c>
    </row>
    <row r="307" spans="1:9" ht="12.75" customHeight="1">
      <c r="A307" s="16" t="s">
        <v>808</v>
      </c>
      <c r="B307" s="17">
        <v>1</v>
      </c>
      <c r="C307" s="19" t="s">
        <v>809</v>
      </c>
      <c r="D307" s="10">
        <v>1</v>
      </c>
      <c r="I307" s="11" t="str">
        <f t="shared" si="4"/>
        <v>OFFICIALLY OFF DUTY</v>
      </c>
    </row>
    <row r="308" spans="1:9" ht="12.75" customHeight="1">
      <c r="A308" s="16" t="s">
        <v>810</v>
      </c>
      <c r="B308" s="17">
        <v>2</v>
      </c>
      <c r="C308" s="19" t="s">
        <v>811</v>
      </c>
      <c r="D308" s="10">
        <v>1</v>
      </c>
      <c r="I308" s="11" t="str">
        <f t="shared" si="4"/>
        <v>ON SICK LEAVE</v>
      </c>
    </row>
    <row r="309" spans="1:9" ht="12.75" customHeight="1">
      <c r="A309" s="16" t="s">
        <v>812</v>
      </c>
      <c r="B309" s="17">
        <v>3</v>
      </c>
      <c r="C309" s="19" t="s">
        <v>813</v>
      </c>
      <c r="D309" s="10">
        <v>1</v>
      </c>
      <c r="I309" s="11" t="str">
        <f t="shared" si="4"/>
        <v>ON TRAINING</v>
      </c>
    </row>
    <row r="310" spans="1:9" ht="12.75" customHeight="1">
      <c r="A310" s="16" t="s">
        <v>815</v>
      </c>
      <c r="B310" s="17">
        <v>5</v>
      </c>
      <c r="C310" s="19" t="s">
        <v>816</v>
      </c>
      <c r="D310" s="10">
        <v>1</v>
      </c>
      <c r="I310" s="11" t="str">
        <f t="shared" si="4"/>
        <v>OTHER AUTHORIZED ABSENCE</v>
      </c>
    </row>
    <row r="311" spans="1:9" ht="12.75" customHeight="1">
      <c r="A311" s="16" t="s">
        <v>817</v>
      </c>
      <c r="B311" s="17">
        <v>6</v>
      </c>
      <c r="C311" s="19" t="s">
        <v>818</v>
      </c>
      <c r="D311" s="10">
        <v>1</v>
      </c>
      <c r="I311" s="11" t="str">
        <f t="shared" si="4"/>
        <v>LATE</v>
      </c>
    </row>
    <row r="312" spans="1:9" ht="12.75" customHeight="1">
      <c r="A312" s="16" t="s">
        <v>819</v>
      </c>
      <c r="B312" s="17">
        <v>7</v>
      </c>
      <c r="C312" s="17" t="s">
        <v>820</v>
      </c>
      <c r="D312" s="10">
        <v>1</v>
      </c>
      <c r="I312" s="11" t="str">
        <f t="shared" si="4"/>
        <v>UNAUTHORIZED ABSENCE</v>
      </c>
    </row>
    <row r="313" spans="1:9" ht="12.75" customHeight="1">
      <c r="A313" s="16" t="s">
        <v>821</v>
      </c>
      <c r="B313" s="17">
        <v>96</v>
      </c>
      <c r="C313" s="17" t="s">
        <v>46</v>
      </c>
      <c r="D313" s="10">
        <v>1</v>
      </c>
      <c r="I313" s="11" t="str">
        <f t="shared" si="4"/>
        <v>OTHER, SPECIFY:</v>
      </c>
    </row>
    <row r="314" spans="1:9" ht="12.75" customHeight="1">
      <c r="A314" s="16"/>
      <c r="B314" s="17"/>
      <c r="C314" s="17"/>
      <c r="I314" s="11">
        <f t="shared" si="4"/>
        <v>0</v>
      </c>
    </row>
    <row r="315" spans="1:9" ht="12.75" customHeight="1">
      <c r="A315" s="16" t="s">
        <v>808</v>
      </c>
      <c r="B315" s="17">
        <v>1</v>
      </c>
      <c r="C315" s="19" t="s">
        <v>809</v>
      </c>
      <c r="D315" s="10">
        <v>2</v>
      </c>
      <c r="I315" s="11" t="str">
        <f t="shared" si="4"/>
        <v>OFFICIALLY OFF DUTY</v>
      </c>
    </row>
    <row r="316" spans="1:9" ht="12.75" customHeight="1">
      <c r="A316" s="16" t="s">
        <v>808</v>
      </c>
      <c r="B316" s="17">
        <v>2</v>
      </c>
      <c r="C316" s="19" t="s">
        <v>811</v>
      </c>
      <c r="D316" s="10">
        <v>2</v>
      </c>
      <c r="I316" s="11" t="str">
        <f t="shared" si="4"/>
        <v>ON SICK LEAVE</v>
      </c>
    </row>
    <row r="317" spans="1:9" ht="12.75" customHeight="1">
      <c r="A317" s="16" t="s">
        <v>808</v>
      </c>
      <c r="B317" s="17">
        <v>3</v>
      </c>
      <c r="C317" s="19" t="s">
        <v>813</v>
      </c>
      <c r="D317" s="10">
        <v>2</v>
      </c>
      <c r="I317" s="11" t="str">
        <f t="shared" si="4"/>
        <v>ON TRAINING</v>
      </c>
    </row>
    <row r="318" spans="1:9" ht="12.75" customHeight="1">
      <c r="A318" s="16" t="s">
        <v>808</v>
      </c>
      <c r="B318" s="17">
        <v>4</v>
      </c>
      <c r="C318" s="19" t="s">
        <v>814</v>
      </c>
      <c r="D318" s="10">
        <v>2</v>
      </c>
      <c r="I318" s="11" t="str">
        <f t="shared" si="4"/>
        <v>ON MATERNITY LEAVE</v>
      </c>
    </row>
    <row r="319" spans="1:9" ht="12.75" customHeight="1">
      <c r="A319" s="16" t="s">
        <v>808</v>
      </c>
      <c r="B319" s="17">
        <v>5</v>
      </c>
      <c r="C319" s="19" t="s">
        <v>816</v>
      </c>
      <c r="D319" s="10">
        <v>2</v>
      </c>
      <c r="I319" s="11" t="str">
        <f t="shared" si="4"/>
        <v>OTHER AUTHORIZED ABSENCE</v>
      </c>
    </row>
    <row r="320" spans="1:9" ht="12.75" customHeight="1">
      <c r="A320" s="16" t="s">
        <v>808</v>
      </c>
      <c r="B320" s="17">
        <v>6</v>
      </c>
      <c r="C320" s="19" t="s">
        <v>818</v>
      </c>
      <c r="D320" s="10">
        <v>2</v>
      </c>
      <c r="I320" s="11" t="str">
        <f t="shared" si="4"/>
        <v>LATE</v>
      </c>
    </row>
    <row r="321" spans="1:9" ht="12.75" customHeight="1">
      <c r="A321" s="16" t="s">
        <v>808</v>
      </c>
      <c r="B321" s="17">
        <v>7</v>
      </c>
      <c r="C321" s="17" t="s">
        <v>820</v>
      </c>
      <c r="D321" s="10">
        <v>2</v>
      </c>
      <c r="I321" s="11" t="str">
        <f t="shared" si="4"/>
        <v>UNAUTHORIZED ABSENCE</v>
      </c>
    </row>
    <row r="322" spans="1:9" ht="12.75" customHeight="1">
      <c r="A322" s="16" t="s">
        <v>808</v>
      </c>
      <c r="B322" s="17">
        <v>96</v>
      </c>
      <c r="C322" s="17" t="s">
        <v>46</v>
      </c>
      <c r="D322" s="10">
        <v>2</v>
      </c>
      <c r="I322" s="11" t="str">
        <f t="shared" si="4"/>
        <v>OTHER, SPECIFY:</v>
      </c>
    </row>
    <row r="323" spans="1:9" ht="12.75" customHeight="1">
      <c r="A323" s="16"/>
      <c r="B323" s="17"/>
      <c r="C323" s="17"/>
      <c r="I323" s="11"/>
    </row>
    <row r="324" spans="1:9" ht="12.75" customHeight="1">
      <c r="B324" s="17"/>
      <c r="C324" s="7"/>
      <c r="I324" s="11"/>
    </row>
    <row r="325" spans="1:9" s="169" customFormat="1" ht="12.75" customHeight="1">
      <c r="A325" s="214" t="s">
        <v>822</v>
      </c>
      <c r="B325" s="215">
        <v>1</v>
      </c>
      <c r="C325" s="216" t="s">
        <v>823</v>
      </c>
      <c r="D325" s="216"/>
      <c r="E325" s="216"/>
      <c r="I325" s="11" t="str">
        <f>C325&amp;" PROVIDING TODAY"</f>
        <v>PRENATAL CARE PROVIDING TODAY</v>
      </c>
    </row>
    <row r="326" spans="1:9" s="169" customFormat="1" ht="12.75" customHeight="1">
      <c r="A326" s="214" t="s">
        <v>824</v>
      </c>
      <c r="B326" s="215">
        <v>2</v>
      </c>
      <c r="C326" s="216" t="s">
        <v>825</v>
      </c>
      <c r="D326" s="216"/>
      <c r="E326" s="216"/>
      <c r="I326" s="11" t="str">
        <f t="shared" ref="I326:I333" si="5">C326&amp;" PROVIDING TODAY"</f>
        <v>DELIVERIES PROVIDING TODAY</v>
      </c>
    </row>
    <row r="327" spans="1:9" s="169" customFormat="1" ht="12.75" customHeight="1">
      <c r="A327" s="214" t="s">
        <v>826</v>
      </c>
      <c r="B327" s="215">
        <v>3</v>
      </c>
      <c r="C327" s="217" t="s">
        <v>827</v>
      </c>
      <c r="D327" s="217"/>
      <c r="E327" s="217"/>
      <c r="I327" s="11" t="str">
        <f t="shared" si="5"/>
        <v>CHILD POSTNATAL CARE PROVIDING TODAY</v>
      </c>
    </row>
    <row r="328" spans="1:9" s="169" customFormat="1" ht="12.75" customHeight="1">
      <c r="A328" s="214" t="s">
        <v>828</v>
      </c>
      <c r="B328" s="215">
        <v>4</v>
      </c>
      <c r="C328" s="217" t="s">
        <v>829</v>
      </c>
      <c r="D328" s="217"/>
      <c r="E328" s="217"/>
      <c r="I328" s="11" t="str">
        <f t="shared" si="5"/>
        <v>MOTHER POSTNATAL CARE PROVIDING TODAY</v>
      </c>
    </row>
    <row r="329" spans="1:9" s="169" customFormat="1" ht="12.75" customHeight="1">
      <c r="A329" s="214" t="s">
        <v>830</v>
      </c>
      <c r="B329" s="215">
        <v>5</v>
      </c>
      <c r="C329" s="216" t="s">
        <v>831</v>
      </c>
      <c r="D329" s="216"/>
      <c r="E329" s="216"/>
      <c r="I329" s="11" t="str">
        <f t="shared" si="5"/>
        <v>CHILD PREVENTIVE CARE PROVIDING TODAY</v>
      </c>
    </row>
    <row r="330" spans="1:9" s="169" customFormat="1" ht="12.75" customHeight="1">
      <c r="A330" s="214" t="s">
        <v>832</v>
      </c>
      <c r="B330" s="215">
        <v>6</v>
      </c>
      <c r="C330" s="217" t="s">
        <v>833</v>
      </c>
      <c r="D330" s="217"/>
      <c r="E330" s="217"/>
      <c r="I330" s="11" t="str">
        <f t="shared" si="5"/>
        <v>CHILD CURATIVE CARE PROVIDING TODAY</v>
      </c>
    </row>
    <row r="331" spans="1:9" s="169" customFormat="1" ht="12.75" customHeight="1">
      <c r="A331" s="214" t="s">
        <v>834</v>
      </c>
      <c r="B331" s="215">
        <v>7</v>
      </c>
      <c r="C331" s="217" t="s">
        <v>835</v>
      </c>
      <c r="D331" s="217"/>
      <c r="E331" s="217"/>
      <c r="I331" s="11" t="str">
        <f t="shared" si="5"/>
        <v>ADULT CURATIVE CARE PROVIDING TODAY</v>
      </c>
    </row>
    <row r="332" spans="1:9" s="169" customFormat="1" ht="12.75" customHeight="1">
      <c r="A332" s="214" t="s">
        <v>836</v>
      </c>
      <c r="B332" s="215">
        <v>8</v>
      </c>
      <c r="C332" s="217" t="s">
        <v>837</v>
      </c>
      <c r="D332" s="217"/>
      <c r="E332" s="217"/>
      <c r="I332" s="11" t="str">
        <f t="shared" si="5"/>
        <v>VOLUNTARY COUNSELING AND TESTING PROVIDING TODAY</v>
      </c>
    </row>
    <row r="333" spans="1:9" s="169" customFormat="1" ht="12.75" customHeight="1">
      <c r="A333" s="214" t="s">
        <v>838</v>
      </c>
      <c r="B333" s="215">
        <v>9</v>
      </c>
      <c r="C333" s="217" t="s">
        <v>839</v>
      </c>
      <c r="D333" s="217"/>
      <c r="E333" s="217"/>
      <c r="I333" s="11" t="str">
        <f t="shared" si="5"/>
        <v>NON-CLINICAL (ADMIN, RECEPTION, ETC) PROVIDING TODAY</v>
      </c>
    </row>
    <row r="334" spans="1:9" ht="12.75" customHeight="1">
      <c r="B334" s="17"/>
      <c r="C334" s="19"/>
      <c r="D334" s="19"/>
      <c r="E334" s="19"/>
      <c r="I334" s="11"/>
    </row>
    <row r="335" spans="1:9" ht="12.75" customHeight="1">
      <c r="A335" s="16" t="s">
        <v>840</v>
      </c>
      <c r="B335" s="17">
        <v>1</v>
      </c>
      <c r="C335" s="17">
        <v>1</v>
      </c>
      <c r="D335" s="19"/>
      <c r="E335" s="19"/>
      <c r="I335" s="223" t="s">
        <v>841</v>
      </c>
    </row>
    <row r="336" spans="1:9" ht="12.75" customHeight="1">
      <c r="A336" s="16" t="s">
        <v>842</v>
      </c>
      <c r="B336" s="17">
        <v>2</v>
      </c>
      <c r="C336" s="17">
        <v>2</v>
      </c>
      <c r="D336" s="19"/>
      <c r="E336" s="19"/>
      <c r="I336" s="223" t="s">
        <v>843</v>
      </c>
    </row>
    <row r="337" spans="1:9" ht="12.75" customHeight="1">
      <c r="A337" s="16" t="s">
        <v>844</v>
      </c>
      <c r="B337" s="17">
        <v>3</v>
      </c>
      <c r="C337" s="17">
        <v>3</v>
      </c>
      <c r="I337" s="224" t="s">
        <v>845</v>
      </c>
    </row>
    <row r="338" spans="1:9" ht="12.75" customHeight="1">
      <c r="B338" s="17"/>
      <c r="C338" s="7"/>
      <c r="I338" s="11"/>
    </row>
    <row r="339" spans="1:9" ht="12.75" customHeight="1">
      <c r="A339" s="16" t="s">
        <v>846</v>
      </c>
      <c r="B339" s="17">
        <v>1</v>
      </c>
      <c r="C339" s="22" t="s">
        <v>847</v>
      </c>
      <c r="I339" s="11" t="str">
        <f t="shared" ref="I339:I386" si="6">C339</f>
        <v>RECORDS</v>
      </c>
    </row>
    <row r="340" spans="1:9" ht="12.75" customHeight="1">
      <c r="A340" s="16" t="s">
        <v>848</v>
      </c>
      <c r="B340" s="17">
        <v>2</v>
      </c>
      <c r="C340" s="19" t="s">
        <v>849</v>
      </c>
      <c r="I340" s="11" t="str">
        <f t="shared" si="6"/>
        <v>NO RECORDS AVAILABLE, ORAL REPORT</v>
      </c>
    </row>
    <row r="341" spans="1:9" ht="12.75" customHeight="1">
      <c r="B341" s="17"/>
      <c r="C341" s="51"/>
      <c r="I341" s="11">
        <f t="shared" si="6"/>
        <v>0</v>
      </c>
    </row>
    <row r="342" spans="1:9" ht="12.75" customHeight="1">
      <c r="A342" s="16" t="s">
        <v>850</v>
      </c>
      <c r="B342" s="17">
        <v>1</v>
      </c>
      <c r="C342" s="17" t="s">
        <v>851</v>
      </c>
      <c r="I342" s="11" t="str">
        <f t="shared" si="6"/>
        <v>Separate laboratory</v>
      </c>
    </row>
    <row r="343" spans="1:9" ht="12.75" customHeight="1">
      <c r="A343" s="16" t="s">
        <v>852</v>
      </c>
      <c r="B343" s="17">
        <v>2</v>
      </c>
      <c r="C343" s="17" t="s">
        <v>853</v>
      </c>
      <c r="I343" s="11" t="str">
        <f t="shared" si="6"/>
        <v>Room that is also used for other activities</v>
      </c>
    </row>
    <row r="344" spans="1:9" ht="12.75" customHeight="1">
      <c r="A344" s="16" t="s">
        <v>854</v>
      </c>
      <c r="B344" s="17">
        <v>96</v>
      </c>
      <c r="C344" s="17" t="s">
        <v>855</v>
      </c>
      <c r="I344" s="11" t="str">
        <f t="shared" si="6"/>
        <v>Other, specify:</v>
      </c>
    </row>
    <row r="345" spans="1:9" ht="12.75" customHeight="1">
      <c r="B345" s="17"/>
      <c r="C345" s="7"/>
      <c r="I345" s="11">
        <f t="shared" si="6"/>
        <v>0</v>
      </c>
    </row>
    <row r="346" spans="1:9" ht="12.75" customHeight="1">
      <c r="A346" s="16" t="s">
        <v>856</v>
      </c>
      <c r="B346" s="17">
        <v>1</v>
      </c>
      <c r="C346" s="52" t="s">
        <v>857</v>
      </c>
      <c r="D346" s="13"/>
      <c r="E346" s="13"/>
      <c r="I346" s="11" t="str">
        <f t="shared" si="6"/>
        <v>a. Microscope</v>
      </c>
    </row>
    <row r="347" spans="1:9" ht="12.75" customHeight="1">
      <c r="A347" s="16" t="s">
        <v>858</v>
      </c>
      <c r="B347" s="17">
        <v>2</v>
      </c>
      <c r="C347" s="52" t="s">
        <v>859</v>
      </c>
      <c r="D347" s="13"/>
      <c r="E347" s="13"/>
      <c r="I347" s="11" t="str">
        <f t="shared" si="6"/>
        <v>b. Centrifuge</v>
      </c>
    </row>
    <row r="348" spans="1:9" ht="12.75" customHeight="1">
      <c r="A348" s="16" t="s">
        <v>860</v>
      </c>
      <c r="B348" s="17">
        <v>3</v>
      </c>
      <c r="C348" s="52" t="s">
        <v>861</v>
      </c>
      <c r="D348" s="13"/>
      <c r="E348" s="13"/>
      <c r="I348" s="11" t="str">
        <f t="shared" si="6"/>
        <v>c. Hemoglobinometer</v>
      </c>
    </row>
    <row r="349" spans="1:9" ht="12.75" customHeight="1">
      <c r="A349" s="16" t="s">
        <v>862</v>
      </c>
      <c r="B349" s="17">
        <v>4</v>
      </c>
      <c r="C349" s="52" t="s">
        <v>863</v>
      </c>
      <c r="D349" s="13"/>
      <c r="E349" s="13"/>
      <c r="I349" s="11" t="str">
        <f t="shared" si="6"/>
        <v>d. Refrigerator for storing reagents</v>
      </c>
    </row>
    <row r="350" spans="1:9" ht="12.75" customHeight="1">
      <c r="B350" s="17"/>
      <c r="C350" s="7"/>
      <c r="I350" s="11">
        <f t="shared" si="6"/>
        <v>0</v>
      </c>
    </row>
    <row r="351" spans="1:9" ht="12.75" customHeight="1">
      <c r="A351" s="16" t="s">
        <v>865</v>
      </c>
      <c r="B351" s="17">
        <v>1</v>
      </c>
      <c r="C351" s="17" t="s">
        <v>864</v>
      </c>
      <c r="I351" s="11" t="str">
        <f t="shared" si="6"/>
        <v>Facility only</v>
      </c>
    </row>
    <row r="352" spans="1:9" ht="12.75" customHeight="1">
      <c r="A352" s="16" t="s">
        <v>865</v>
      </c>
      <c r="B352" s="17">
        <v>2</v>
      </c>
      <c r="C352" s="17" t="s">
        <v>866</v>
      </c>
      <c r="I352" s="11" t="str">
        <f t="shared" si="6"/>
        <v>Outreach only</v>
      </c>
    </row>
    <row r="353" spans="1:9" ht="12.75" customHeight="1">
      <c r="A353" s="16" t="s">
        <v>867</v>
      </c>
      <c r="B353" s="17">
        <v>3</v>
      </c>
      <c r="C353" s="17" t="s">
        <v>868</v>
      </c>
      <c r="I353" s="11" t="str">
        <f t="shared" si="6"/>
        <v>Facility and outreach</v>
      </c>
    </row>
    <row r="354" spans="1:9" ht="12.75" customHeight="1">
      <c r="B354" s="17"/>
      <c r="C354" s="7"/>
      <c r="I354" s="11">
        <f t="shared" si="6"/>
        <v>0</v>
      </c>
    </row>
    <row r="355" spans="1:9" ht="12.75" customHeight="1">
      <c r="A355" s="16" t="s">
        <v>869</v>
      </c>
      <c r="B355" s="17">
        <v>1</v>
      </c>
      <c r="C355" s="17" t="s">
        <v>870</v>
      </c>
      <c r="D355" s="17"/>
      <c r="E355" s="53"/>
      <c r="I355" s="11" t="str">
        <f t="shared" si="6"/>
        <v>a. Ice Lined Refrigerator (ILR)</v>
      </c>
    </row>
    <row r="356" spans="1:9" ht="12.75" customHeight="1">
      <c r="A356" s="16" t="s">
        <v>871</v>
      </c>
      <c r="B356" s="17">
        <v>2</v>
      </c>
      <c r="C356" s="17" t="s">
        <v>872</v>
      </c>
      <c r="D356" s="17"/>
      <c r="E356" s="53"/>
      <c r="I356" s="11" t="str">
        <f t="shared" si="6"/>
        <v>b. Cold Box</v>
      </c>
    </row>
    <row r="357" spans="1:9" ht="12.75" customHeight="1">
      <c r="A357" s="16" t="s">
        <v>873</v>
      </c>
      <c r="B357" s="17">
        <v>3</v>
      </c>
      <c r="C357" s="17" t="s">
        <v>874</v>
      </c>
      <c r="D357" s="17"/>
      <c r="E357" s="53"/>
      <c r="I357" s="11" t="str">
        <f t="shared" si="6"/>
        <v>c. Refrigerator</v>
      </c>
    </row>
    <row r="358" spans="1:9" ht="12.75" customHeight="1">
      <c r="A358" s="16" t="s">
        <v>875</v>
      </c>
      <c r="B358" s="17">
        <v>4</v>
      </c>
      <c r="C358" s="17" t="s">
        <v>876</v>
      </c>
      <c r="D358" s="17"/>
      <c r="E358" s="53"/>
      <c r="I358" s="11" t="str">
        <f t="shared" si="6"/>
        <v>d. Vaccine Carriers</v>
      </c>
    </row>
    <row r="359" spans="1:9" ht="12.75" customHeight="1">
      <c r="B359" s="17"/>
      <c r="C359" s="7"/>
      <c r="I359" s="11">
        <f t="shared" si="6"/>
        <v>0</v>
      </c>
    </row>
    <row r="360" spans="1:9" ht="12.75" customHeight="1">
      <c r="A360" s="16" t="s">
        <v>877</v>
      </c>
      <c r="B360" s="17">
        <v>1</v>
      </c>
      <c r="C360" s="17" t="s">
        <v>878</v>
      </c>
      <c r="I360" s="11" t="str">
        <f t="shared" si="6"/>
        <v>Given to caregiver to bring for next visit</v>
      </c>
    </row>
    <row r="361" spans="1:9" ht="12.75" customHeight="1">
      <c r="A361" s="16" t="s">
        <v>879</v>
      </c>
      <c r="B361" s="17">
        <v>2</v>
      </c>
      <c r="C361" s="17" t="s">
        <v>880</v>
      </c>
      <c r="I361" s="11" t="str">
        <f t="shared" si="6"/>
        <v>Kept at facility</v>
      </c>
    </row>
    <row r="362" spans="1:9" ht="12.75" customHeight="1">
      <c r="A362" s="16" t="s">
        <v>881</v>
      </c>
      <c r="B362" s="17">
        <v>3</v>
      </c>
      <c r="C362" s="17" t="s">
        <v>882</v>
      </c>
      <c r="I362" s="11" t="str">
        <f t="shared" si="6"/>
        <v>One copy given to caregiver and one kept at facility</v>
      </c>
    </row>
    <row r="363" spans="1:9" ht="12.75" customHeight="1">
      <c r="A363" s="16" t="s">
        <v>883</v>
      </c>
      <c r="B363" s="17">
        <v>96</v>
      </c>
      <c r="C363" s="17" t="s">
        <v>884</v>
      </c>
      <c r="I363" s="11" t="str">
        <f t="shared" si="6"/>
        <v>Other, specify:</v>
      </c>
    </row>
    <row r="364" spans="1:9" ht="12.75" customHeight="1">
      <c r="B364" s="17"/>
      <c r="C364" s="7"/>
      <c r="I364" s="11">
        <f t="shared" si="6"/>
        <v>0</v>
      </c>
    </row>
    <row r="365" spans="1:9" ht="12.75" customHeight="1">
      <c r="A365" s="16" t="s">
        <v>885</v>
      </c>
      <c r="B365" s="17">
        <v>1</v>
      </c>
      <c r="C365" s="16" t="s">
        <v>886</v>
      </c>
      <c r="I365" s="11" t="str">
        <f t="shared" si="6"/>
        <v>SEEN</v>
      </c>
    </row>
    <row r="366" spans="1:9" ht="12.75" customHeight="1">
      <c r="A366" s="16" t="s">
        <v>887</v>
      </c>
      <c r="B366" s="17">
        <v>2</v>
      </c>
      <c r="C366" s="16" t="s">
        <v>888</v>
      </c>
      <c r="I366" s="11" t="str">
        <f t="shared" si="6"/>
        <v>NOT SEEN</v>
      </c>
    </row>
    <row r="367" spans="1:9" ht="12.75" customHeight="1">
      <c r="B367" s="17"/>
      <c r="C367" s="7"/>
      <c r="I367" s="11">
        <f t="shared" si="6"/>
        <v>0</v>
      </c>
    </row>
    <row r="368" spans="1:9" ht="12.75" customHeight="1">
      <c r="A368" s="16" t="s">
        <v>889</v>
      </c>
      <c r="B368" s="17">
        <v>1</v>
      </c>
      <c r="C368" s="17" t="s">
        <v>890</v>
      </c>
      <c r="I368" s="11" t="str">
        <f t="shared" si="6"/>
        <v>RECORDS SEEN: All the time</v>
      </c>
    </row>
    <row r="369" spans="1:9" ht="12.75" customHeight="1">
      <c r="A369" s="16" t="s">
        <v>891</v>
      </c>
      <c r="B369" s="17">
        <v>2</v>
      </c>
      <c r="C369" s="17" t="s">
        <v>892</v>
      </c>
      <c r="I369" s="11" t="str">
        <f t="shared" si="6"/>
        <v>RECORDS SEEN: Sometimes</v>
      </c>
    </row>
    <row r="370" spans="1:9" ht="12.75" customHeight="1">
      <c r="A370" s="16" t="s">
        <v>893</v>
      </c>
      <c r="B370" s="17">
        <v>3</v>
      </c>
      <c r="C370" s="17" t="s">
        <v>894</v>
      </c>
      <c r="I370" s="11" t="str">
        <f t="shared" si="6"/>
        <v>RECORDS SEEN: Seldom or never</v>
      </c>
    </row>
    <row r="371" spans="1:9" ht="12.75" customHeight="1">
      <c r="A371" s="16" t="s">
        <v>895</v>
      </c>
      <c r="B371" s="17">
        <v>4</v>
      </c>
      <c r="C371" s="17" t="s">
        <v>896</v>
      </c>
      <c r="I371" s="11" t="str">
        <f t="shared" si="6"/>
        <v>RECORDS NOT SEEN, ORAL REPORT: All the time</v>
      </c>
    </row>
    <row r="372" spans="1:9" ht="12.75" customHeight="1">
      <c r="A372" s="16" t="s">
        <v>897</v>
      </c>
      <c r="B372" s="17">
        <v>5</v>
      </c>
      <c r="C372" s="17" t="s">
        <v>898</v>
      </c>
      <c r="I372" s="11" t="str">
        <f t="shared" si="6"/>
        <v>RECORDS NOT SEEN, ORAL REPORT: Sometimes</v>
      </c>
    </row>
    <row r="373" spans="1:9" ht="12.75" customHeight="1">
      <c r="A373" s="16" t="s">
        <v>899</v>
      </c>
      <c r="B373" s="17">
        <v>6</v>
      </c>
      <c r="C373" s="17" t="s">
        <v>900</v>
      </c>
      <c r="I373" s="11" t="str">
        <f t="shared" si="6"/>
        <v>RECORDS NOT SEEN, ORAL REPORT: Seldom or never</v>
      </c>
    </row>
    <row r="374" spans="1:9" ht="12.75" customHeight="1">
      <c r="B374" s="17"/>
      <c r="C374" s="7"/>
      <c r="I374" s="11">
        <f t="shared" si="6"/>
        <v>0</v>
      </c>
    </row>
    <row r="375" spans="1:9" ht="12.75" customHeight="1">
      <c r="A375" s="16" t="s">
        <v>901</v>
      </c>
      <c r="B375" s="17">
        <v>1</v>
      </c>
      <c r="C375" s="17" t="s">
        <v>902</v>
      </c>
      <c r="I375" s="11" t="str">
        <f t="shared" si="6"/>
        <v>Given to mother to bring for next visit</v>
      </c>
    </row>
    <row r="376" spans="1:9" ht="12.75" customHeight="1">
      <c r="A376" s="16" t="s">
        <v>903</v>
      </c>
      <c r="B376" s="17">
        <v>2</v>
      </c>
      <c r="C376" s="17" t="s">
        <v>904</v>
      </c>
      <c r="I376" s="11" t="str">
        <f t="shared" si="6"/>
        <v>Kept at facility</v>
      </c>
    </row>
    <row r="377" spans="1:9" ht="12.75" customHeight="1">
      <c r="A377" s="16" t="s">
        <v>905</v>
      </c>
      <c r="B377" s="17">
        <v>3</v>
      </c>
      <c r="C377" s="17" t="s">
        <v>906</v>
      </c>
      <c r="I377" s="11" t="str">
        <f t="shared" si="6"/>
        <v>One copy given to mother and one kept at facility</v>
      </c>
    </row>
    <row r="378" spans="1:9" ht="12.75" customHeight="1">
      <c r="A378" s="16" t="s">
        <v>907</v>
      </c>
      <c r="B378" s="17">
        <v>96</v>
      </c>
      <c r="C378" s="17" t="s">
        <v>908</v>
      </c>
      <c r="I378" s="11" t="str">
        <f t="shared" si="6"/>
        <v>Other, specify:</v>
      </c>
    </row>
    <row r="379" spans="1:9" ht="12.75" customHeight="1">
      <c r="B379" s="17"/>
      <c r="C379" s="7"/>
      <c r="I379" s="11">
        <f t="shared" si="6"/>
        <v>0</v>
      </c>
    </row>
    <row r="380" spans="1:9" ht="12.75" customHeight="1">
      <c r="A380" s="16" t="s">
        <v>912</v>
      </c>
      <c r="B380" s="17">
        <v>1</v>
      </c>
      <c r="C380" s="17" t="s">
        <v>913</v>
      </c>
      <c r="I380" s="11" t="str">
        <f t="shared" si="6"/>
        <v>Can be managed now</v>
      </c>
    </row>
    <row r="381" spans="1:9" ht="12.75" customHeight="1">
      <c r="A381" s="16" t="s">
        <v>914</v>
      </c>
      <c r="B381" s="17">
        <v>2</v>
      </c>
      <c r="C381" s="17" t="s">
        <v>915</v>
      </c>
      <c r="I381" s="11" t="str">
        <f t="shared" si="6"/>
        <v>Usually, but not now</v>
      </c>
    </row>
    <row r="382" spans="1:9" ht="12.75" customHeight="1">
      <c r="A382" s="16" t="s">
        <v>916</v>
      </c>
      <c r="B382" s="17">
        <v>3</v>
      </c>
      <c r="C382" s="17" t="s">
        <v>917</v>
      </c>
      <c r="I382" s="11" t="str">
        <f t="shared" si="6"/>
        <v>Must be referred</v>
      </c>
    </row>
    <row r="383" spans="1:9" ht="12.75" customHeight="1">
      <c r="B383" s="17"/>
      <c r="C383" s="7"/>
      <c r="I383" s="11">
        <f t="shared" si="6"/>
        <v>0</v>
      </c>
    </row>
    <row r="384" spans="1:9" ht="12.75" customHeight="1">
      <c r="A384" s="16" t="s">
        <v>918</v>
      </c>
      <c r="B384" s="17">
        <v>1</v>
      </c>
      <c r="C384" s="17" t="s">
        <v>919</v>
      </c>
      <c r="I384" s="11" t="str">
        <f t="shared" si="6"/>
        <v>Specific hours only</v>
      </c>
    </row>
    <row r="385" spans="1:9" ht="12.75" customHeight="1">
      <c r="A385" s="16" t="s">
        <v>920</v>
      </c>
      <c r="B385" s="17">
        <v>2</v>
      </c>
      <c r="C385" s="17" t="s">
        <v>921</v>
      </c>
      <c r="I385" s="11" t="str">
        <f t="shared" si="6"/>
        <v>Outpatient hours only</v>
      </c>
    </row>
    <row r="386" spans="1:9" ht="12.75" customHeight="1">
      <c r="A386" s="16" t="s">
        <v>922</v>
      </c>
      <c r="B386" s="17">
        <v>3</v>
      </c>
      <c r="C386" s="17" t="s">
        <v>923</v>
      </c>
      <c r="I386" s="11" t="str">
        <f t="shared" si="6"/>
        <v>Both specific and outpatient hours</v>
      </c>
    </row>
    <row r="387" spans="1:9" ht="12.75" customHeight="1" thickBot="1">
      <c r="B387" s="17"/>
      <c r="C387" s="7"/>
      <c r="I387" s="11">
        <f t="shared" ref="I387:I448" si="7">C387</f>
        <v>0</v>
      </c>
    </row>
    <row r="388" spans="1:9" ht="12.75" customHeight="1">
      <c r="A388" s="16" t="s">
        <v>2322</v>
      </c>
      <c r="B388" s="17">
        <v>1</v>
      </c>
      <c r="C388" s="54" t="s">
        <v>909</v>
      </c>
      <c r="I388" s="11" t="str">
        <f t="shared" si="7"/>
        <v>Only in facility</v>
      </c>
    </row>
    <row r="389" spans="1:9" ht="12.75" customHeight="1">
      <c r="A389" s="16" t="s">
        <v>2322</v>
      </c>
      <c r="B389" s="17">
        <v>2</v>
      </c>
      <c r="C389" s="55" t="s">
        <v>910</v>
      </c>
      <c r="I389" s="11" t="str">
        <f t="shared" si="7"/>
        <v>Only in community</v>
      </c>
    </row>
    <row r="390" spans="1:9" ht="12.75" customHeight="1">
      <c r="A390" s="16" t="s">
        <v>2322</v>
      </c>
      <c r="B390" s="17">
        <v>3</v>
      </c>
      <c r="C390" s="55" t="s">
        <v>911</v>
      </c>
      <c r="I390" s="11" t="str">
        <f t="shared" si="7"/>
        <v>Both in facility and community</v>
      </c>
    </row>
    <row r="391" spans="1:9" ht="12.75" customHeight="1">
      <c r="B391" s="17"/>
      <c r="C391" s="7"/>
      <c r="I391" s="11">
        <f t="shared" si="7"/>
        <v>0</v>
      </c>
    </row>
    <row r="392" spans="1:9" ht="12.75" customHeight="1">
      <c r="A392" s="16" t="s">
        <v>924</v>
      </c>
      <c r="B392" s="17">
        <v>1</v>
      </c>
      <c r="C392" s="17" t="s">
        <v>925</v>
      </c>
      <c r="I392" s="11" t="str">
        <f t="shared" si="7"/>
        <v>Diagnosis services only</v>
      </c>
    </row>
    <row r="393" spans="1:9" ht="12.75" customHeight="1">
      <c r="A393" s="16" t="s">
        <v>926</v>
      </c>
      <c r="B393" s="17">
        <v>2</v>
      </c>
      <c r="C393" s="17" t="s">
        <v>927</v>
      </c>
      <c r="I393" s="11" t="str">
        <f t="shared" si="7"/>
        <v>Treatment services only</v>
      </c>
    </row>
    <row r="394" spans="1:9" ht="12.75" customHeight="1">
      <c r="A394" s="16" t="s">
        <v>928</v>
      </c>
      <c r="B394" s="17">
        <v>3</v>
      </c>
      <c r="C394" s="17" t="s">
        <v>929</v>
      </c>
      <c r="I394" s="11" t="str">
        <f t="shared" si="7"/>
        <v>Both diagnosis and treatment services</v>
      </c>
    </row>
    <row r="395" spans="1:9" ht="12.75" customHeight="1">
      <c r="A395" s="16" t="s">
        <v>930</v>
      </c>
      <c r="B395" s="17">
        <v>4</v>
      </c>
      <c r="C395" s="17" t="s">
        <v>931</v>
      </c>
      <c r="I395" s="11" t="str">
        <f t="shared" si="7"/>
        <v>None</v>
      </c>
    </row>
    <row r="396" spans="1:9" ht="12.75" customHeight="1">
      <c r="B396" s="17"/>
      <c r="C396" s="7"/>
      <c r="I396" s="11">
        <f t="shared" si="7"/>
        <v>0</v>
      </c>
    </row>
    <row r="397" spans="1:9" ht="12.75" customHeight="1">
      <c r="A397" s="16" t="s">
        <v>932</v>
      </c>
      <c r="B397" s="17">
        <v>1</v>
      </c>
      <c r="C397" s="17" t="s">
        <v>933</v>
      </c>
      <c r="I397" s="11" t="str">
        <f t="shared" si="7"/>
        <v>Health Facility Staff</v>
      </c>
    </row>
    <row r="398" spans="1:9" ht="12.75" customHeight="1">
      <c r="A398" s="16" t="s">
        <v>934</v>
      </c>
      <c r="B398" s="17">
        <v>2</v>
      </c>
      <c r="C398" s="17" t="s">
        <v>935</v>
      </c>
      <c r="I398" s="11" t="str">
        <f t="shared" si="7"/>
        <v>Community health worker</v>
      </c>
    </row>
    <row r="399" spans="1:9" ht="12.75" customHeight="1">
      <c r="A399" s="16" t="s">
        <v>936</v>
      </c>
      <c r="B399" s="17">
        <v>3</v>
      </c>
      <c r="C399" s="17" t="s">
        <v>4126</v>
      </c>
      <c r="I399" s="11" t="str">
        <f t="shared" si="7"/>
        <v>Classified employee (TB/Leprosy Inspector)</v>
      </c>
    </row>
    <row r="400" spans="1:9" ht="12.75" customHeight="1">
      <c r="A400" s="16" t="s">
        <v>937</v>
      </c>
      <c r="B400" s="17">
        <v>96</v>
      </c>
      <c r="C400" s="17" t="s">
        <v>938</v>
      </c>
      <c r="I400" s="11" t="str">
        <f t="shared" si="7"/>
        <v>Other, specify:</v>
      </c>
    </row>
    <row r="401" spans="1:9" ht="12.75" customHeight="1">
      <c r="B401" s="17"/>
      <c r="C401" s="7"/>
      <c r="I401" s="11">
        <f t="shared" si="7"/>
        <v>0</v>
      </c>
    </row>
    <row r="402" spans="1:9" ht="12.75" customHeight="1">
      <c r="A402" s="16" t="s">
        <v>939</v>
      </c>
      <c r="B402" s="17">
        <v>1</v>
      </c>
      <c r="C402" s="17" t="s">
        <v>940</v>
      </c>
      <c r="I402" s="11" t="str">
        <f t="shared" si="7"/>
        <v>Given to patient to bring for next visit</v>
      </c>
    </row>
    <row r="403" spans="1:9" ht="12.75" customHeight="1">
      <c r="A403" s="16" t="s">
        <v>941</v>
      </c>
      <c r="B403" s="17">
        <v>2</v>
      </c>
      <c r="C403" s="17" t="s">
        <v>942</v>
      </c>
      <c r="I403" s="11" t="str">
        <f t="shared" si="7"/>
        <v>Kept at facility</v>
      </c>
    </row>
    <row r="404" spans="1:9" ht="12.75" customHeight="1">
      <c r="A404" s="16" t="s">
        <v>943</v>
      </c>
      <c r="B404" s="17">
        <v>3</v>
      </c>
      <c r="C404" s="17" t="s">
        <v>944</v>
      </c>
      <c r="I404" s="11" t="str">
        <f t="shared" si="7"/>
        <v>One copy given to patient and one kept at facility</v>
      </c>
    </row>
    <row r="405" spans="1:9" ht="12.75" customHeight="1">
      <c r="A405" s="16" t="s">
        <v>945</v>
      </c>
      <c r="B405" s="17">
        <v>96</v>
      </c>
      <c r="C405" s="17" t="s">
        <v>946</v>
      </c>
      <c r="I405" s="11" t="str">
        <f t="shared" si="7"/>
        <v>Other, specify:</v>
      </c>
    </row>
    <row r="406" spans="1:9" ht="12.75" customHeight="1">
      <c r="B406" s="17"/>
      <c r="C406" s="7"/>
      <c r="I406" s="11">
        <f t="shared" si="7"/>
        <v>0</v>
      </c>
    </row>
    <row r="407" spans="1:9" ht="12.75" customHeight="1">
      <c r="A407" s="16" t="s">
        <v>947</v>
      </c>
      <c r="B407" s="17">
        <v>1</v>
      </c>
      <c r="C407" s="19" t="s">
        <v>5399</v>
      </c>
      <c r="D407" s="19"/>
      <c r="I407" s="11" t="str">
        <f t="shared" si="7"/>
        <v>&lt;small&gt;SEEN, FULLY COMPLETED&lt;small&gt;</v>
      </c>
    </row>
    <row r="408" spans="1:9" ht="12.75" customHeight="1">
      <c r="A408" s="16" t="s">
        <v>948</v>
      </c>
      <c r="B408" s="17">
        <v>2</v>
      </c>
      <c r="C408" s="19" t="s">
        <v>5400</v>
      </c>
      <c r="D408" s="19"/>
      <c r="I408" s="11" t="str">
        <f t="shared" si="7"/>
        <v>&lt;small&gt;SEEN, NOT COMPLETE&lt;/small&gt;</v>
      </c>
    </row>
    <row r="409" spans="1:9" ht="12.75" customHeight="1">
      <c r="A409" s="16" t="s">
        <v>949</v>
      </c>
      <c r="B409" s="17">
        <v>3</v>
      </c>
      <c r="C409" s="19" t="s">
        <v>5401</v>
      </c>
      <c r="D409" s="19"/>
      <c r="I409" s="11" t="str">
        <f t="shared" si="7"/>
        <v>&lt;small&gt;NOT SEEN&lt;/small&gt;</v>
      </c>
    </row>
    <row r="410" spans="1:9" ht="12.75" customHeight="1">
      <c r="B410" s="17"/>
      <c r="C410" s="7"/>
      <c r="I410" s="11">
        <f t="shared" si="7"/>
        <v>0</v>
      </c>
    </row>
    <row r="411" spans="1:9" ht="12.75" customHeight="1">
      <c r="A411" s="16" t="s">
        <v>950</v>
      </c>
      <c r="B411" s="17">
        <v>1</v>
      </c>
      <c r="C411" s="56" t="s">
        <v>951</v>
      </c>
      <c r="I411" s="11" t="str">
        <f t="shared" si="7"/>
        <v>In-facility</v>
      </c>
    </row>
    <row r="412" spans="1:9" ht="12.75" customHeight="1">
      <c r="A412" s="16" t="s">
        <v>952</v>
      </c>
      <c r="B412" s="17">
        <v>2</v>
      </c>
      <c r="C412" s="56" t="s">
        <v>953</v>
      </c>
      <c r="I412" s="11" t="str">
        <f t="shared" si="7"/>
        <v>Outreach</v>
      </c>
    </row>
    <row r="413" spans="1:9" ht="12.75" customHeight="1" thickBot="1">
      <c r="B413" s="17"/>
      <c r="C413" s="57"/>
      <c r="I413" s="11">
        <f t="shared" si="7"/>
        <v>0</v>
      </c>
    </row>
    <row r="414" spans="1:9" ht="12.75" customHeight="1">
      <c r="A414" s="16" t="s">
        <v>1053</v>
      </c>
      <c r="B414" s="17">
        <v>1</v>
      </c>
      <c r="C414" s="58" t="s">
        <v>1054</v>
      </c>
      <c r="I414" s="11" t="str">
        <f t="shared" si="7"/>
        <v>Wholesale</v>
      </c>
    </row>
    <row r="415" spans="1:9" ht="12.75" customHeight="1">
      <c r="A415" s="16" t="s">
        <v>1053</v>
      </c>
      <c r="B415" s="17">
        <v>2</v>
      </c>
      <c r="C415" s="59" t="s">
        <v>1055</v>
      </c>
      <c r="I415" s="11" t="str">
        <f t="shared" si="7"/>
        <v>Retail</v>
      </c>
    </row>
    <row r="416" spans="1:9" ht="12.75" customHeight="1" thickBot="1">
      <c r="B416" s="17"/>
      <c r="C416" s="7"/>
      <c r="I416" s="11">
        <f t="shared" si="7"/>
        <v>0</v>
      </c>
    </row>
    <row r="417" spans="1:9" ht="12.75" customHeight="1">
      <c r="A417" s="16" t="s">
        <v>1058</v>
      </c>
      <c r="B417" s="17">
        <v>1</v>
      </c>
      <c r="C417" s="58" t="s">
        <v>1056</v>
      </c>
      <c r="I417" s="11" t="str">
        <f t="shared" si="7"/>
        <v>HAS FEES</v>
      </c>
    </row>
    <row r="418" spans="1:9" ht="12.75" customHeight="1" thickBot="1">
      <c r="A418" s="16" t="s">
        <v>1058</v>
      </c>
      <c r="B418" s="17">
        <v>2</v>
      </c>
      <c r="C418" s="60" t="s">
        <v>1057</v>
      </c>
      <c r="I418" s="11" t="str">
        <f t="shared" si="7"/>
        <v>NO FEES AT ALL</v>
      </c>
    </row>
    <row r="419" spans="1:9" ht="12.75" customHeight="1" thickBot="1">
      <c r="B419" s="17"/>
      <c r="C419" s="7"/>
      <c r="I419" s="11">
        <f t="shared" si="7"/>
        <v>0</v>
      </c>
    </row>
    <row r="420" spans="1:9" ht="12.75" customHeight="1">
      <c r="A420" s="16" t="s">
        <v>1059</v>
      </c>
      <c r="B420" s="17">
        <v>1</v>
      </c>
      <c r="C420" s="61" t="s">
        <v>1060</v>
      </c>
      <c r="I420" s="11" t="str">
        <f t="shared" si="7"/>
        <v>Public</v>
      </c>
    </row>
    <row r="421" spans="1:9" ht="12.75" customHeight="1">
      <c r="A421" s="16" t="s">
        <v>1059</v>
      </c>
      <c r="B421" s="17">
        <v>2</v>
      </c>
      <c r="C421" s="62" t="s">
        <v>1061</v>
      </c>
      <c r="I421" s="11" t="str">
        <f t="shared" si="7"/>
        <v>Private</v>
      </c>
    </row>
    <row r="422" spans="1:9" ht="12.75" customHeight="1" thickBot="1">
      <c r="A422" s="16" t="s">
        <v>1059</v>
      </c>
      <c r="B422" s="17">
        <v>3</v>
      </c>
      <c r="C422" s="63" t="s">
        <v>1062</v>
      </c>
      <c r="I422" s="11" t="str">
        <f t="shared" si="7"/>
        <v>Both</v>
      </c>
    </row>
    <row r="423" spans="1:9" ht="12.75" customHeight="1">
      <c r="B423" s="17"/>
      <c r="C423" s="7"/>
      <c r="I423" s="11">
        <f t="shared" si="7"/>
        <v>0</v>
      </c>
    </row>
    <row r="424" spans="1:9" ht="12.75" customHeight="1">
      <c r="A424" s="16" t="s">
        <v>1068</v>
      </c>
      <c r="B424" s="17">
        <v>1</v>
      </c>
      <c r="C424" s="64" t="s">
        <v>1069</v>
      </c>
      <c r="I424" s="11" t="str">
        <f t="shared" si="7"/>
        <v>You stress their responsibilities and standards.</v>
      </c>
    </row>
    <row r="425" spans="1:9" ht="12.75" customHeight="1">
      <c r="A425" s="16" t="s">
        <v>1068</v>
      </c>
      <c r="B425" s="17">
        <v>2</v>
      </c>
      <c r="C425" s="65" t="s">
        <v>1070</v>
      </c>
      <c r="I425" s="11" t="str">
        <f t="shared" si="7"/>
        <v>You take no particular additional action.</v>
      </c>
    </row>
    <row r="426" spans="1:9" ht="12.75" customHeight="1">
      <c r="A426" s="16" t="s">
        <v>1068</v>
      </c>
      <c r="B426" s="17">
        <v>3</v>
      </c>
      <c r="C426" s="65" t="s">
        <v>1071</v>
      </c>
      <c r="I426" s="11" t="str">
        <f t="shared" si="7"/>
        <v>You give positive feedback and make staff feel involved in the achievements.</v>
      </c>
    </row>
    <row r="427" spans="1:9" ht="12.75" customHeight="1">
      <c r="A427" s="16" t="s">
        <v>1068</v>
      </c>
      <c r="B427" s="17">
        <v>4</v>
      </c>
      <c r="C427" s="66" t="s">
        <v>1072</v>
      </c>
      <c r="I427" s="11" t="str">
        <f t="shared" si="7"/>
        <v>You emphasize the importance of deadlines and tasks.</v>
      </c>
    </row>
    <row r="428" spans="1:9" ht="12.75" customHeight="1">
      <c r="B428" s="17"/>
      <c r="C428" s="7"/>
      <c r="I428" s="11">
        <f t="shared" si="7"/>
        <v>0</v>
      </c>
    </row>
    <row r="429" spans="1:9" ht="12.75" customHeight="1">
      <c r="A429" s="16" t="s">
        <v>1073</v>
      </c>
      <c r="B429" s="17">
        <v>1</v>
      </c>
      <c r="C429" s="67" t="s">
        <v>1074</v>
      </c>
      <c r="I429" s="11" t="str">
        <f t="shared" si="7"/>
        <v>You call a meeting and together try to solve the problem.</v>
      </c>
    </row>
    <row r="430" spans="1:9" ht="12.75" customHeight="1">
      <c r="A430" s="16" t="s">
        <v>1073</v>
      </c>
      <c r="B430" s="17">
        <v>2</v>
      </c>
      <c r="C430" s="68" t="s">
        <v>1075</v>
      </c>
      <c r="I430" s="11" t="str">
        <f t="shared" si="7"/>
        <v>You let your staff address this problem on their own.</v>
      </c>
    </row>
    <row r="431" spans="1:9" ht="12.75" customHeight="1">
      <c r="A431" s="16" t="s">
        <v>1073</v>
      </c>
      <c r="B431" s="17">
        <v>3</v>
      </c>
      <c r="C431" s="68" t="s">
        <v>1076</v>
      </c>
      <c r="I431" s="11" t="str">
        <f t="shared" si="7"/>
        <v>You give them direction and instructions on how to solve the problem.</v>
      </c>
    </row>
    <row r="432" spans="1:9" ht="12.75" customHeight="1">
      <c r="A432" s="16" t="s">
        <v>1073</v>
      </c>
      <c r="B432" s="17">
        <v>4</v>
      </c>
      <c r="C432" s="69" t="s">
        <v>1077</v>
      </c>
      <c r="I432" s="11" t="str">
        <f t="shared" si="7"/>
        <v>You encourage the group to solve the problem on their own, and you are available when needed to discuss.</v>
      </c>
    </row>
    <row r="433" spans="1:9" ht="12.75" customHeight="1">
      <c r="B433" s="17"/>
      <c r="C433" s="7"/>
      <c r="I433" s="11">
        <f t="shared" si="7"/>
        <v>0</v>
      </c>
    </row>
    <row r="434" spans="1:9" ht="12.75" customHeight="1">
      <c r="A434" s="16" t="s">
        <v>1078</v>
      </c>
      <c r="B434" s="17">
        <v>1</v>
      </c>
      <c r="C434" s="67" t="s">
        <v>1079</v>
      </c>
      <c r="I434" s="11" t="str">
        <f t="shared" si="7"/>
        <v xml:space="preserve">You collaborate with your staff to develop the needed changes. </v>
      </c>
    </row>
    <row r="435" spans="1:9" ht="12.75" customHeight="1">
      <c r="A435" s="16" t="s">
        <v>1078</v>
      </c>
      <c r="B435" s="17">
        <v>2</v>
      </c>
      <c r="C435" s="68" t="s">
        <v>1080</v>
      </c>
      <c r="I435" s="11" t="str">
        <f t="shared" si="7"/>
        <v xml:space="preserve">You announce your vision for the changes and implement a clear plan. </v>
      </c>
    </row>
    <row r="436" spans="1:9" ht="12.75" customHeight="1">
      <c r="A436" s="16" t="s">
        <v>1078</v>
      </c>
      <c r="B436" s="17">
        <v>3</v>
      </c>
      <c r="C436" s="68" t="s">
        <v>1081</v>
      </c>
      <c r="I436" s="11" t="str">
        <f t="shared" si="7"/>
        <v>You ask your staff to develop and implement their own plan for change.</v>
      </c>
    </row>
    <row r="437" spans="1:9" ht="12.75" customHeight="1">
      <c r="A437" s="16" t="s">
        <v>1078</v>
      </c>
      <c r="B437" s="17">
        <v>4</v>
      </c>
      <c r="C437" s="69" t="s">
        <v>1082</v>
      </c>
      <c r="I437" s="11" t="str">
        <f t="shared" si="7"/>
        <v>You consult with your staff, but direct the changes yourself.</v>
      </c>
    </row>
    <row r="438" spans="1:9" ht="12.75" customHeight="1">
      <c r="B438" s="17"/>
      <c r="C438" s="7"/>
      <c r="I438" s="11">
        <f t="shared" si="7"/>
        <v>0</v>
      </c>
    </row>
    <row r="439" spans="1:9" ht="12.75" customHeight="1">
      <c r="B439" s="17"/>
      <c r="C439" s="7"/>
      <c r="I439" s="11">
        <f t="shared" si="7"/>
        <v>0</v>
      </c>
    </row>
    <row r="440" spans="1:9" ht="12.75" customHeight="1">
      <c r="A440" s="16" t="s">
        <v>1083</v>
      </c>
      <c r="B440" s="17">
        <v>1</v>
      </c>
      <c r="C440" s="67" t="s">
        <v>1085</v>
      </c>
      <c r="I440" s="11" t="str">
        <f t="shared" si="7"/>
        <v>You ask your staff to rethink their direction and goals and come up with a plan together.</v>
      </c>
    </row>
    <row r="441" spans="1:9" ht="12.75" customHeight="1">
      <c r="A441" s="16" t="s">
        <v>1083</v>
      </c>
      <c r="B441" s="17">
        <v>2</v>
      </c>
      <c r="C441" s="68" t="s">
        <v>1086</v>
      </c>
      <c r="I441" s="11" t="str">
        <f t="shared" si="7"/>
        <v>You ask for suggestions from your staff on what to do, and you formulate a specific plan to meet objectives.</v>
      </c>
    </row>
    <row r="442" spans="1:9" ht="12.75" customHeight="1">
      <c r="A442" s="16" t="s">
        <v>1083</v>
      </c>
      <c r="B442" s="17">
        <v>3</v>
      </c>
      <c r="C442" s="68" t="s">
        <v>1087</v>
      </c>
      <c r="I442" s="11" t="str">
        <f t="shared" si="7"/>
        <v>You redefine goals clearly and supervise whether these are being met closely.</v>
      </c>
    </row>
    <row r="443" spans="1:9" ht="12.75" customHeight="1">
      <c r="A443" s="16" t="s">
        <v>1083</v>
      </c>
      <c r="B443" s="17">
        <v>4</v>
      </c>
      <c r="C443" s="69" t="s">
        <v>1088</v>
      </c>
      <c r="I443" s="11" t="str">
        <f t="shared" si="7"/>
        <v>You allow your staff freedom to set their own goals and do not push them.</v>
      </c>
    </row>
    <row r="444" spans="1:9" ht="12.75" customHeight="1">
      <c r="B444" s="17"/>
      <c r="C444" s="7"/>
      <c r="I444" s="11">
        <f t="shared" si="7"/>
        <v>0</v>
      </c>
    </row>
    <row r="445" spans="1:9" ht="12.75" customHeight="1" thickBot="1">
      <c r="A445" s="16" t="s">
        <v>1084</v>
      </c>
      <c r="B445" s="17">
        <v>1</v>
      </c>
      <c r="C445" s="70" t="s">
        <v>1089</v>
      </c>
      <c r="I445" s="11" t="str">
        <f t="shared" si="7"/>
        <v>You discuss ideas as a group and identify how to work better together.</v>
      </c>
    </row>
    <row r="446" spans="1:9" ht="12.75" customHeight="1" thickBot="1">
      <c r="A446" s="16" t="s">
        <v>1084</v>
      </c>
      <c r="B446" s="17">
        <v>2</v>
      </c>
      <c r="C446" s="71" t="s">
        <v>1090</v>
      </c>
      <c r="I446" s="11" t="str">
        <f t="shared" si="7"/>
        <v>You let your staff work out their issues on their own.</v>
      </c>
    </row>
    <row r="447" spans="1:9" ht="12.75" customHeight="1" thickBot="1">
      <c r="A447" s="16" t="s">
        <v>1084</v>
      </c>
      <c r="B447" s="17">
        <v>3</v>
      </c>
      <c r="C447" s="71" t="s">
        <v>1091</v>
      </c>
      <c r="I447" s="11" t="str">
        <f t="shared" si="7"/>
        <v>You act quickly and decisively to get the team back on track.</v>
      </c>
    </row>
    <row r="448" spans="1:9" ht="12.75" customHeight="1" thickBot="1">
      <c r="A448" s="16" t="s">
        <v>1084</v>
      </c>
      <c r="B448" s="17">
        <v>4</v>
      </c>
      <c r="C448" s="72" t="s">
        <v>1092</v>
      </c>
      <c r="I448" s="11" t="str">
        <f t="shared" si="7"/>
        <v>You make yourself available to discuss any issues and support your team to work out their own problems.</v>
      </c>
    </row>
    <row r="449" spans="1:11" ht="12.75" customHeight="1">
      <c r="B449" s="17"/>
      <c r="C449" s="7"/>
      <c r="I449" s="11"/>
    </row>
    <row r="450" spans="1:11" ht="12.75" customHeight="1">
      <c r="A450" s="16" t="s">
        <v>3014</v>
      </c>
      <c r="B450" s="17">
        <v>1</v>
      </c>
      <c r="C450" s="17">
        <v>1</v>
      </c>
      <c r="I450" s="227" t="s">
        <v>6826</v>
      </c>
      <c r="J450" s="227"/>
      <c r="K450" s="227"/>
    </row>
    <row r="451" spans="1:11" ht="12.75" customHeight="1">
      <c r="A451" s="16" t="s">
        <v>3014</v>
      </c>
      <c r="B451" s="17">
        <v>2</v>
      </c>
      <c r="C451" s="17">
        <v>2</v>
      </c>
      <c r="I451" s="228" t="s">
        <v>6827</v>
      </c>
      <c r="J451" s="228"/>
      <c r="K451" s="228"/>
    </row>
    <row r="452" spans="1:11" ht="12.75" customHeight="1">
      <c r="A452" s="16" t="s">
        <v>3014</v>
      </c>
      <c r="B452" s="17">
        <v>3</v>
      </c>
      <c r="C452" s="17">
        <v>3</v>
      </c>
      <c r="I452" s="225" t="s">
        <v>6828</v>
      </c>
      <c r="J452" s="226"/>
      <c r="K452" s="226"/>
    </row>
    <row r="453" spans="1:11" ht="12.75" customHeight="1">
      <c r="A453" s="16" t="s">
        <v>3014</v>
      </c>
      <c r="B453" s="17">
        <v>4</v>
      </c>
      <c r="C453" s="17">
        <v>4</v>
      </c>
      <c r="I453" s="227" t="s">
        <v>6829</v>
      </c>
      <c r="J453" s="227"/>
      <c r="K453" s="227"/>
    </row>
    <row r="454" spans="1:11" ht="12.75" customHeight="1">
      <c r="A454" s="16" t="s">
        <v>3014</v>
      </c>
      <c r="B454" s="17">
        <v>5</v>
      </c>
      <c r="C454" s="17">
        <v>5</v>
      </c>
      <c r="I454" s="229" t="s">
        <v>486</v>
      </c>
      <c r="J454" s="229"/>
      <c r="K454" s="229"/>
    </row>
    <row r="455" spans="1:11" ht="12.75" customHeight="1" thickBot="1">
      <c r="I455" s="11"/>
    </row>
    <row r="456" spans="1:11" ht="12.75" customHeight="1">
      <c r="A456" s="16" t="s">
        <v>1096</v>
      </c>
      <c r="B456" s="17">
        <v>1</v>
      </c>
      <c r="C456" s="73" t="s">
        <v>612</v>
      </c>
      <c r="I456" s="11" t="str">
        <f t="shared" ref="I456:I514" si="8">C456</f>
        <v>YES, SEEN</v>
      </c>
    </row>
    <row r="457" spans="1:11" ht="12.75" customHeight="1">
      <c r="A457" s="16" t="s">
        <v>1096</v>
      </c>
      <c r="B457" s="17">
        <v>2</v>
      </c>
      <c r="C457" s="74" t="s">
        <v>614</v>
      </c>
      <c r="I457" s="11" t="str">
        <f t="shared" si="8"/>
        <v>YES, NOT SEEN</v>
      </c>
    </row>
    <row r="458" spans="1:11" ht="12.75" customHeight="1" thickBot="1">
      <c r="A458" s="16" t="s">
        <v>1096</v>
      </c>
      <c r="B458" s="17">
        <v>0</v>
      </c>
      <c r="C458" s="75" t="s">
        <v>493</v>
      </c>
      <c r="I458" s="11" t="str">
        <f t="shared" si="8"/>
        <v>NO</v>
      </c>
    </row>
    <row r="459" spans="1:11" ht="12.75" customHeight="1" thickBot="1">
      <c r="B459" s="17"/>
      <c r="C459" s="7"/>
      <c r="I459" s="11">
        <f t="shared" si="8"/>
        <v>0</v>
      </c>
    </row>
    <row r="460" spans="1:11" ht="12.75" customHeight="1">
      <c r="A460" s="10" t="s">
        <v>3015</v>
      </c>
      <c r="B460" s="17">
        <v>1</v>
      </c>
      <c r="C460" s="76" t="s">
        <v>1093</v>
      </c>
      <c r="I460" s="11" t="str">
        <f t="shared" si="8"/>
        <v>YES, PUBLICLY POSTED</v>
      </c>
    </row>
    <row r="461" spans="1:11" ht="12.75" customHeight="1">
      <c r="A461" s="10" t="s">
        <v>3015</v>
      </c>
      <c r="B461" s="17">
        <v>2</v>
      </c>
      <c r="C461" s="74" t="s">
        <v>1094</v>
      </c>
      <c r="I461" s="11" t="str">
        <f t="shared" si="8"/>
        <v>YES, NOT POSTED</v>
      </c>
    </row>
    <row r="462" spans="1:11" ht="12.75" customHeight="1" thickBot="1">
      <c r="A462" s="10" t="s">
        <v>3015</v>
      </c>
      <c r="B462" s="17">
        <v>0</v>
      </c>
      <c r="C462" s="77" t="s">
        <v>1095</v>
      </c>
      <c r="I462" s="11" t="str">
        <f t="shared" si="8"/>
        <v>NO, NOT POSTED</v>
      </c>
    </row>
    <row r="463" spans="1:11" ht="12.75" customHeight="1">
      <c r="B463" s="17"/>
      <c r="C463" s="119"/>
      <c r="I463" s="11">
        <f t="shared" si="8"/>
        <v>0</v>
      </c>
    </row>
    <row r="464" spans="1:11" ht="12.75" customHeight="1" thickBot="1">
      <c r="B464" s="17"/>
      <c r="C464" s="7"/>
      <c r="I464" s="11">
        <f t="shared" si="8"/>
        <v>0</v>
      </c>
    </row>
    <row r="465" spans="1:9" ht="12.75" customHeight="1">
      <c r="A465" s="10" t="s">
        <v>3016</v>
      </c>
      <c r="B465" s="17">
        <v>1</v>
      </c>
      <c r="C465" s="78" t="s">
        <v>886</v>
      </c>
      <c r="I465" s="11" t="str">
        <f t="shared" si="8"/>
        <v>SEEN</v>
      </c>
    </row>
    <row r="466" spans="1:9" ht="12.75" customHeight="1" thickBot="1">
      <c r="A466" s="10" t="s">
        <v>3016</v>
      </c>
      <c r="B466" s="17">
        <v>0</v>
      </c>
      <c r="C466" s="79" t="s">
        <v>888</v>
      </c>
      <c r="I466" s="11" t="str">
        <f t="shared" si="8"/>
        <v>NOT SEEN</v>
      </c>
    </row>
    <row r="467" spans="1:9" ht="12.75" customHeight="1" thickBot="1">
      <c r="B467" s="17"/>
      <c r="C467" s="7"/>
      <c r="I467" s="11">
        <f t="shared" si="8"/>
        <v>0</v>
      </c>
    </row>
    <row r="468" spans="1:9" ht="12.75" customHeight="1">
      <c r="A468" s="10" t="s">
        <v>3017</v>
      </c>
      <c r="B468" s="17">
        <v>1</v>
      </c>
      <c r="C468" s="80" t="s">
        <v>1442</v>
      </c>
      <c r="D468" s="28"/>
      <c r="I468" s="11" t="str">
        <f t="shared" si="8"/>
        <v>Separate outpatient room</v>
      </c>
    </row>
    <row r="469" spans="1:9" ht="12.75" customHeight="1">
      <c r="A469" s="10" t="s">
        <v>3017</v>
      </c>
      <c r="B469" s="17">
        <v>2</v>
      </c>
      <c r="C469" s="81" t="s">
        <v>853</v>
      </c>
      <c r="D469" s="82"/>
      <c r="I469" s="11" t="str">
        <f t="shared" si="8"/>
        <v>Room that is also used for other activities</v>
      </c>
    </row>
    <row r="470" spans="1:9" ht="12.75" customHeight="1" thickBot="1">
      <c r="A470" s="10" t="s">
        <v>3017</v>
      </c>
      <c r="B470" s="17">
        <v>96</v>
      </c>
      <c r="C470" s="83" t="s">
        <v>1443</v>
      </c>
      <c r="D470" s="84"/>
      <c r="I470" s="11" t="str">
        <f t="shared" si="8"/>
        <v xml:space="preserve">Other, specify: </v>
      </c>
    </row>
    <row r="471" spans="1:9" ht="12.75" customHeight="1" thickBot="1">
      <c r="B471" s="17"/>
      <c r="C471" s="7"/>
      <c r="I471" s="11">
        <f t="shared" si="8"/>
        <v>0</v>
      </c>
    </row>
    <row r="472" spans="1:9" ht="12.75" customHeight="1">
      <c r="A472" s="10" t="s">
        <v>3018</v>
      </c>
      <c r="B472" s="17">
        <v>1</v>
      </c>
      <c r="C472" s="80" t="s">
        <v>1444</v>
      </c>
      <c r="D472" s="28"/>
      <c r="I472" s="11" t="str">
        <f t="shared" si="8"/>
        <v>Separate sterilization room</v>
      </c>
    </row>
    <row r="473" spans="1:9" ht="12.75" customHeight="1">
      <c r="A473" s="10" t="s">
        <v>3018</v>
      </c>
      <c r="B473" s="17">
        <v>2</v>
      </c>
      <c r="C473" s="81" t="s">
        <v>853</v>
      </c>
      <c r="D473" s="30"/>
      <c r="I473" s="11" t="str">
        <f t="shared" si="8"/>
        <v>Room that is also used for other activities</v>
      </c>
    </row>
    <row r="474" spans="1:9" ht="12.75" customHeight="1" thickBot="1">
      <c r="A474" s="10" t="s">
        <v>3018</v>
      </c>
      <c r="B474" s="17">
        <v>96</v>
      </c>
      <c r="C474" s="83" t="s">
        <v>1443</v>
      </c>
      <c r="D474" s="31"/>
      <c r="I474" s="11" t="str">
        <f t="shared" si="8"/>
        <v xml:space="preserve">Other, specify: </v>
      </c>
    </row>
    <row r="475" spans="1:9" ht="12.75" customHeight="1" thickBot="1">
      <c r="B475" s="17"/>
      <c r="C475" s="7"/>
      <c r="I475" s="11">
        <f t="shared" si="8"/>
        <v>0</v>
      </c>
    </row>
    <row r="476" spans="1:9" ht="12.75" customHeight="1">
      <c r="A476" s="10" t="s">
        <v>3019</v>
      </c>
      <c r="B476" s="17">
        <v>1</v>
      </c>
      <c r="C476" s="80" t="s">
        <v>1445</v>
      </c>
      <c r="D476" s="28"/>
      <c r="I476" s="11" t="str">
        <f t="shared" si="8"/>
        <v>Separate vaccination room</v>
      </c>
    </row>
    <row r="477" spans="1:9" ht="12.75" customHeight="1">
      <c r="A477" s="10" t="s">
        <v>3019</v>
      </c>
      <c r="B477" s="17">
        <v>2</v>
      </c>
      <c r="C477" s="81" t="s">
        <v>853</v>
      </c>
      <c r="D477" s="82"/>
      <c r="I477" s="11" t="str">
        <f t="shared" si="8"/>
        <v>Room that is also used for other activities</v>
      </c>
    </row>
    <row r="478" spans="1:9" ht="12.75" customHeight="1" thickBot="1">
      <c r="A478" s="10" t="s">
        <v>3019</v>
      </c>
      <c r="B478" s="17">
        <v>96</v>
      </c>
      <c r="C478" s="83" t="s">
        <v>35</v>
      </c>
      <c r="D478" s="84"/>
      <c r="I478" s="11" t="str">
        <f t="shared" si="8"/>
        <v>Other, specify:</v>
      </c>
    </row>
    <row r="479" spans="1:9" ht="12.75" customHeight="1" thickBot="1">
      <c r="B479" s="17"/>
      <c r="C479" s="7"/>
      <c r="I479" s="11">
        <f t="shared" si="8"/>
        <v>0</v>
      </c>
    </row>
    <row r="480" spans="1:9" ht="12.75" customHeight="1">
      <c r="A480" s="10" t="s">
        <v>3020</v>
      </c>
      <c r="B480" s="17">
        <v>1</v>
      </c>
      <c r="C480" s="85" t="s">
        <v>1446</v>
      </c>
      <c r="D480" s="86"/>
      <c r="I480" s="11" t="str">
        <f t="shared" si="8"/>
        <v>Separate antenatal care room</v>
      </c>
    </row>
    <row r="481" spans="1:9" ht="12.75" customHeight="1">
      <c r="A481" s="10" t="s">
        <v>3020</v>
      </c>
      <c r="B481" s="17">
        <v>2</v>
      </c>
      <c r="C481" s="87" t="s">
        <v>853</v>
      </c>
      <c r="D481" s="88"/>
      <c r="I481" s="11" t="str">
        <f t="shared" si="8"/>
        <v>Room that is also used for other activities</v>
      </c>
    </row>
    <row r="482" spans="1:9" ht="12.75" customHeight="1" thickBot="1">
      <c r="A482" s="10" t="s">
        <v>3020</v>
      </c>
      <c r="B482" s="17">
        <v>96</v>
      </c>
      <c r="C482" s="89" t="s">
        <v>1443</v>
      </c>
      <c r="D482" s="90"/>
      <c r="I482" s="11" t="str">
        <f t="shared" si="8"/>
        <v xml:space="preserve">Other, specify: </v>
      </c>
    </row>
    <row r="483" spans="1:9" ht="12.75" customHeight="1" thickBot="1">
      <c r="B483" s="17"/>
      <c r="C483" s="7"/>
      <c r="I483" s="11">
        <f t="shared" si="8"/>
        <v>0</v>
      </c>
    </row>
    <row r="484" spans="1:9" ht="12.75" customHeight="1">
      <c r="A484" s="10" t="s">
        <v>3021</v>
      </c>
      <c r="B484" s="17">
        <v>1</v>
      </c>
      <c r="C484" s="85" t="s">
        <v>1447</v>
      </c>
      <c r="D484" s="86"/>
      <c r="I484" s="11" t="str">
        <f t="shared" si="8"/>
        <v>Separate delivery/neonatal care room</v>
      </c>
    </row>
    <row r="485" spans="1:9" ht="12.75" customHeight="1">
      <c r="A485" s="10" t="s">
        <v>3021</v>
      </c>
      <c r="B485" s="17">
        <v>2</v>
      </c>
      <c r="C485" s="87" t="s">
        <v>853</v>
      </c>
      <c r="D485" s="88"/>
      <c r="I485" s="11" t="str">
        <f t="shared" si="8"/>
        <v>Room that is also used for other activities</v>
      </c>
    </row>
    <row r="486" spans="1:9" ht="12.75" customHeight="1" thickBot="1">
      <c r="A486" s="10" t="s">
        <v>3021</v>
      </c>
      <c r="B486" s="17">
        <v>96</v>
      </c>
      <c r="C486" s="89" t="s">
        <v>35</v>
      </c>
      <c r="D486" s="90"/>
      <c r="I486" s="11" t="str">
        <f t="shared" si="8"/>
        <v>Other, specify:</v>
      </c>
    </row>
    <row r="487" spans="1:9" ht="12.75" customHeight="1" thickBot="1">
      <c r="B487" s="17"/>
      <c r="C487" s="7"/>
      <c r="I487" s="11">
        <f t="shared" si="8"/>
        <v>0</v>
      </c>
    </row>
    <row r="488" spans="1:9" ht="12.75" customHeight="1">
      <c r="A488" s="10" t="s">
        <v>3022</v>
      </c>
      <c r="B488" s="17">
        <v>1</v>
      </c>
      <c r="C488" s="91" t="s">
        <v>612</v>
      </c>
      <c r="I488" s="11" t="str">
        <f t="shared" si="8"/>
        <v>YES, SEEN</v>
      </c>
    </row>
    <row r="489" spans="1:9" ht="12.75" customHeight="1">
      <c r="A489" s="10" t="s">
        <v>3022</v>
      </c>
      <c r="B489" s="17">
        <v>2</v>
      </c>
      <c r="C489" s="92" t="s">
        <v>614</v>
      </c>
      <c r="I489" s="11" t="str">
        <f t="shared" si="8"/>
        <v>YES, NOT SEEN</v>
      </c>
    </row>
    <row r="490" spans="1:9" ht="12.75" customHeight="1" thickBot="1">
      <c r="A490" s="10" t="s">
        <v>3022</v>
      </c>
      <c r="B490" s="17">
        <v>3</v>
      </c>
      <c r="C490" s="89" t="s">
        <v>1448</v>
      </c>
      <c r="I490" s="11" t="str">
        <f t="shared" si="8"/>
        <v>NO, THERE IS NO SUCH PLACE</v>
      </c>
    </row>
    <row r="491" spans="1:9" ht="12.75" customHeight="1" thickBot="1">
      <c r="B491" s="17"/>
      <c r="C491" s="7"/>
      <c r="I491" s="11">
        <f t="shared" si="8"/>
        <v>0</v>
      </c>
    </row>
    <row r="492" spans="1:9" ht="12.75" customHeight="1">
      <c r="A492" s="10" t="s">
        <v>3023</v>
      </c>
      <c r="B492" s="17">
        <v>1</v>
      </c>
      <c r="C492" s="91" t="s">
        <v>1449</v>
      </c>
      <c r="I492" s="11" t="str">
        <f t="shared" si="8"/>
        <v>Only to store and dispense drugs</v>
      </c>
    </row>
    <row r="493" spans="1:9" ht="12.75" customHeight="1">
      <c r="A493" s="10" t="s">
        <v>3023</v>
      </c>
      <c r="B493" s="17">
        <v>2</v>
      </c>
      <c r="C493" s="93" t="s">
        <v>1450</v>
      </c>
      <c r="I493" s="11" t="str">
        <f t="shared" si="8"/>
        <v>Also serves for other purposes</v>
      </c>
    </row>
    <row r="494" spans="1:9" ht="12.75" customHeight="1" thickBot="1">
      <c r="B494" s="17"/>
      <c r="C494" s="7"/>
      <c r="I494" s="11">
        <f t="shared" si="8"/>
        <v>0</v>
      </c>
    </row>
    <row r="495" spans="1:9" ht="12.75" customHeight="1">
      <c r="A495" s="10" t="s">
        <v>3024</v>
      </c>
      <c r="B495" s="17">
        <v>1</v>
      </c>
      <c r="C495" s="94" t="s">
        <v>1451</v>
      </c>
      <c r="I495" s="11" t="str">
        <f t="shared" si="8"/>
        <v>CLEAN</v>
      </c>
    </row>
    <row r="496" spans="1:9" ht="12.75" customHeight="1">
      <c r="A496" s="10" t="s">
        <v>3024</v>
      </c>
      <c r="B496" s="17">
        <v>2</v>
      </c>
      <c r="C496" s="95" t="s">
        <v>1452</v>
      </c>
      <c r="I496" s="11" t="str">
        <f t="shared" si="8"/>
        <v>PARTIALLY DIRTY</v>
      </c>
    </row>
    <row r="497" spans="1:9" ht="12.75" customHeight="1" thickBot="1">
      <c r="A497" s="10" t="s">
        <v>3024</v>
      </c>
      <c r="B497" s="17">
        <v>3</v>
      </c>
      <c r="C497" s="96" t="s">
        <v>1453</v>
      </c>
      <c r="I497" s="11" t="str">
        <f t="shared" si="8"/>
        <v>DIRTY</v>
      </c>
    </row>
    <row r="498" spans="1:9" ht="12.75" customHeight="1" thickBot="1">
      <c r="B498" s="17"/>
      <c r="C498" s="7"/>
      <c r="I498" s="11">
        <f t="shared" si="8"/>
        <v>0</v>
      </c>
    </row>
    <row r="499" spans="1:9" ht="12.75" customHeight="1">
      <c r="A499" s="10" t="s">
        <v>3025</v>
      </c>
      <c r="B499" s="17">
        <v>1</v>
      </c>
      <c r="C499" s="80" t="s">
        <v>1454</v>
      </c>
      <c r="D499" s="28"/>
      <c r="E499" s="28"/>
      <c r="I499" s="11" t="str">
        <f t="shared" si="8"/>
        <v>DRY, NO TRACES OF WATER INFILTRATION</v>
      </c>
    </row>
    <row r="500" spans="1:9" ht="12.75" customHeight="1">
      <c r="A500" s="10" t="s">
        <v>3025</v>
      </c>
      <c r="B500" s="17">
        <v>2</v>
      </c>
      <c r="C500" s="81" t="s">
        <v>1455</v>
      </c>
      <c r="D500" s="82"/>
      <c r="E500" s="82"/>
      <c r="I500" s="11" t="str">
        <f t="shared" si="8"/>
        <v>DRY BUT THERE ARE TRACES OF WATER INFILTRATION</v>
      </c>
    </row>
    <row r="501" spans="1:9" ht="12.75" customHeight="1">
      <c r="A501" s="10" t="s">
        <v>3025</v>
      </c>
      <c r="B501" s="17">
        <v>3</v>
      </c>
      <c r="C501" s="97" t="s">
        <v>1456</v>
      </c>
      <c r="D501" s="98"/>
      <c r="E501" s="98"/>
      <c r="I501" s="11" t="str">
        <f t="shared" si="8"/>
        <v>THERE IS WETNESS / WATER</v>
      </c>
    </row>
    <row r="502" spans="1:9" ht="12.75" customHeight="1" thickBot="1">
      <c r="B502" s="17"/>
      <c r="C502" s="7"/>
      <c r="I502" s="11">
        <f t="shared" si="8"/>
        <v>0</v>
      </c>
    </row>
    <row r="503" spans="1:9" ht="12.75" customHeight="1">
      <c r="A503" s="10" t="s">
        <v>3026</v>
      </c>
      <c r="B503" s="17">
        <v>1</v>
      </c>
      <c r="C503" s="94" t="s">
        <v>1457</v>
      </c>
      <c r="I503" s="11" t="str">
        <f t="shared" si="8"/>
        <v>WINDOWS COVERED</v>
      </c>
    </row>
    <row r="504" spans="1:9" ht="12.75" customHeight="1">
      <c r="A504" s="10" t="s">
        <v>3026</v>
      </c>
      <c r="B504" s="17">
        <v>2</v>
      </c>
      <c r="C504" s="97" t="s">
        <v>1458</v>
      </c>
      <c r="I504" s="11" t="str">
        <f t="shared" si="8"/>
        <v>WINDOWS NOT COVERED</v>
      </c>
    </row>
    <row r="505" spans="1:9" ht="12.75" customHeight="1" thickBot="1">
      <c r="A505" s="10" t="s">
        <v>3026</v>
      </c>
      <c r="B505" s="17">
        <v>3</v>
      </c>
      <c r="C505" s="96" t="s">
        <v>1459</v>
      </c>
      <c r="I505" s="11" t="str">
        <f t="shared" si="8"/>
        <v>NO WINDOWS</v>
      </c>
    </row>
    <row r="506" spans="1:9" ht="12.75" customHeight="1" thickBot="1">
      <c r="B506" s="17"/>
      <c r="C506" s="7"/>
      <c r="I506" s="11">
        <f t="shared" si="8"/>
        <v>0</v>
      </c>
    </row>
    <row r="507" spans="1:9" ht="12.75" customHeight="1">
      <c r="A507" s="10" t="s">
        <v>3027</v>
      </c>
      <c r="B507" s="17">
        <v>1</v>
      </c>
      <c r="C507" s="99" t="s">
        <v>1550</v>
      </c>
      <c r="I507" s="11" t="str">
        <f t="shared" si="8"/>
        <v>Central Statistical Office (CSO)</v>
      </c>
    </row>
    <row r="508" spans="1:9" ht="12.75" customHeight="1">
      <c r="A508" s="10" t="s">
        <v>3027</v>
      </c>
      <c r="B508" s="17">
        <v>2</v>
      </c>
      <c r="C508" s="100" t="s">
        <v>1551</v>
      </c>
      <c r="I508" s="11" t="str">
        <f t="shared" si="8"/>
        <v>Facility headcount</v>
      </c>
    </row>
    <row r="509" spans="1:9" ht="12.75" customHeight="1">
      <c r="B509" s="17"/>
      <c r="C509" s="7"/>
      <c r="I509" s="11">
        <f t="shared" si="8"/>
        <v>0</v>
      </c>
    </row>
    <row r="510" spans="1:9" ht="12.75" customHeight="1">
      <c r="A510" s="10" t="s">
        <v>4526</v>
      </c>
      <c r="B510" s="17">
        <v>1</v>
      </c>
      <c r="C510" s="232" t="s">
        <v>2440</v>
      </c>
      <c r="D510" s="232"/>
      <c r="E510" s="232"/>
      <c r="F510" s="233"/>
      <c r="I510" s="11" t="str">
        <f t="shared" si="8"/>
        <v>MOHSW / REGIONAL HEALTH MANAGEMENT TEAM</v>
      </c>
    </row>
    <row r="511" spans="1:9" ht="12.75" customHeight="1">
      <c r="A511" s="10" t="s">
        <v>4526</v>
      </c>
      <c r="B511" s="17">
        <v>2</v>
      </c>
      <c r="C511" s="232" t="s">
        <v>541</v>
      </c>
      <c r="D511" s="232"/>
      <c r="E511" s="232"/>
      <c r="F511" s="233"/>
      <c r="I511" s="11" t="str">
        <f t="shared" si="8"/>
        <v>USER FEES</v>
      </c>
    </row>
    <row r="512" spans="1:9" ht="12.75" customHeight="1">
      <c r="A512" s="10" t="s">
        <v>4526</v>
      </c>
      <c r="B512" s="17">
        <v>3</v>
      </c>
      <c r="C512" s="234" t="s">
        <v>543</v>
      </c>
      <c r="D512" s="234"/>
      <c r="E512" s="234"/>
      <c r="F512" s="235"/>
      <c r="I512" s="11" t="str">
        <f t="shared" si="8"/>
        <v>DRUG SALES</v>
      </c>
    </row>
    <row r="513" spans="1:9" ht="12.75" customHeight="1">
      <c r="A513" s="10" t="s">
        <v>4526</v>
      </c>
      <c r="B513" s="17">
        <v>4</v>
      </c>
      <c r="C513" s="234" t="s">
        <v>545</v>
      </c>
      <c r="D513" s="234"/>
      <c r="E513" s="234"/>
      <c r="F513" s="235"/>
      <c r="I513" s="11" t="str">
        <f t="shared" si="8"/>
        <v>FAITH BASED ORGANIZATIONS</v>
      </c>
    </row>
    <row r="514" spans="1:9" ht="12.75" customHeight="1">
      <c r="A514" s="10" t="s">
        <v>4526</v>
      </c>
      <c r="B514" s="17">
        <v>5</v>
      </c>
      <c r="C514" s="234" t="s">
        <v>547</v>
      </c>
      <c r="D514" s="234"/>
      <c r="E514" s="234"/>
      <c r="F514" s="235"/>
      <c r="I514" s="11" t="str">
        <f t="shared" si="8"/>
        <v>PRIVATE COMPANY</v>
      </c>
    </row>
    <row r="515" spans="1:9" ht="12.75" customHeight="1">
      <c r="A515" s="10" t="s">
        <v>4526</v>
      </c>
      <c r="B515" s="17">
        <v>6</v>
      </c>
      <c r="C515" s="234" t="s">
        <v>549</v>
      </c>
      <c r="D515" s="234"/>
      <c r="E515" s="234"/>
      <c r="F515" s="235"/>
      <c r="I515" s="11" t="str">
        <f t="shared" ref="I515:I575" si="9">C515</f>
        <v>DONOR</v>
      </c>
    </row>
    <row r="516" spans="1:9" ht="12.75" customHeight="1">
      <c r="A516" s="10" t="s">
        <v>4526</v>
      </c>
      <c r="B516" s="17">
        <v>7</v>
      </c>
      <c r="C516" s="234" t="s">
        <v>551</v>
      </c>
      <c r="D516" s="234"/>
      <c r="E516" s="234"/>
      <c r="F516" s="235"/>
      <c r="I516" s="11" t="str">
        <f t="shared" si="9"/>
        <v>INSURANCE PAYMENTS</v>
      </c>
    </row>
    <row r="517" spans="1:9" ht="12.75" customHeight="1">
      <c r="A517" s="10" t="s">
        <v>4526</v>
      </c>
      <c r="B517" s="17">
        <v>96</v>
      </c>
      <c r="C517" s="236" t="s">
        <v>2441</v>
      </c>
      <c r="D517" s="236"/>
      <c r="E517" s="236"/>
      <c r="F517" s="237"/>
      <c r="I517" s="11" t="str">
        <f t="shared" si="9"/>
        <v>OTHER,  SPECIFY:</v>
      </c>
    </row>
    <row r="518" spans="1:9" ht="12.75" customHeight="1">
      <c r="B518" s="17"/>
      <c r="C518" s="7"/>
      <c r="I518" s="11">
        <f t="shared" si="9"/>
        <v>0</v>
      </c>
    </row>
    <row r="519" spans="1:9" ht="12.75" customHeight="1">
      <c r="A519" s="10" t="s">
        <v>2454</v>
      </c>
      <c r="B519" s="17">
        <v>1</v>
      </c>
      <c r="C519" s="7" t="s">
        <v>2455</v>
      </c>
      <c r="I519" s="11" t="str">
        <f t="shared" si="9"/>
        <v>All Staff</v>
      </c>
    </row>
    <row r="520" spans="1:9" ht="12.75" customHeight="1">
      <c r="A520" s="10" t="s">
        <v>2454</v>
      </c>
      <c r="B520" s="17">
        <v>2</v>
      </c>
      <c r="C520" s="7" t="s">
        <v>2456</v>
      </c>
      <c r="I520" s="11" t="str">
        <f t="shared" si="9"/>
        <v>All Medical Staff</v>
      </c>
    </row>
    <row r="521" spans="1:9" ht="12.75" customHeight="1">
      <c r="A521" s="10" t="s">
        <v>2454</v>
      </c>
      <c r="B521" s="17">
        <v>3</v>
      </c>
      <c r="C521" s="7" t="s">
        <v>2457</v>
      </c>
      <c r="I521" s="11" t="str">
        <f t="shared" si="9"/>
        <v>All Permanent Technical Staff (eg, contract staff not eligible)</v>
      </c>
    </row>
    <row r="522" spans="1:9" ht="12.75" customHeight="1">
      <c r="A522" s="10" t="s">
        <v>2454</v>
      </c>
      <c r="B522" s="17">
        <v>4</v>
      </c>
      <c r="C522" s="7" t="s">
        <v>2458</v>
      </c>
      <c r="I522" s="11" t="str">
        <f t="shared" si="9"/>
        <v>Staff performing MCH services</v>
      </c>
    </row>
    <row r="523" spans="1:9" ht="12.75" customHeight="1">
      <c r="A523" s="10" t="s">
        <v>2454</v>
      </c>
      <c r="B523" s="17">
        <v>5</v>
      </c>
      <c r="C523" s="7" t="s">
        <v>3568</v>
      </c>
      <c r="I523" s="11" t="str">
        <f t="shared" si="9"/>
        <v>Staff performing deliveries</v>
      </c>
    </row>
    <row r="524" spans="1:9" ht="12.75" customHeight="1">
      <c r="A524" s="10" t="s">
        <v>2454</v>
      </c>
      <c r="B524" s="17">
        <v>6</v>
      </c>
      <c r="C524" s="7" t="s">
        <v>2459</v>
      </c>
      <c r="I524" s="11" t="str">
        <f t="shared" si="9"/>
        <v>Staff providing care for Under-5's</v>
      </c>
    </row>
    <row r="525" spans="1:9" ht="12.75" customHeight="1">
      <c r="A525" s="10" t="s">
        <v>2454</v>
      </c>
      <c r="B525" s="17">
        <v>96</v>
      </c>
      <c r="C525" s="7" t="s">
        <v>2589</v>
      </c>
      <c r="I525" s="11" t="str">
        <f t="shared" si="9"/>
        <v>Other, specify</v>
      </c>
    </row>
    <row r="526" spans="1:9" ht="12.75" customHeight="1">
      <c r="B526" s="17"/>
      <c r="C526" s="7"/>
      <c r="I526" s="11">
        <f t="shared" si="9"/>
        <v>0</v>
      </c>
    </row>
    <row r="527" spans="1:9" ht="12.75" customHeight="1">
      <c r="A527" s="10" t="s">
        <v>2479</v>
      </c>
      <c r="B527" s="17">
        <v>1</v>
      </c>
      <c r="C527" s="7" t="s">
        <v>2477</v>
      </c>
      <c r="I527" s="11" t="str">
        <f t="shared" si="9"/>
        <v>Appointed Centrally</v>
      </c>
    </row>
    <row r="528" spans="1:9" ht="12.75" customHeight="1">
      <c r="A528" s="10" t="s">
        <v>2479</v>
      </c>
      <c r="B528" s="17">
        <v>2</v>
      </c>
      <c r="C528" s="7" t="s">
        <v>2478</v>
      </c>
      <c r="I528" s="11" t="str">
        <f t="shared" si="9"/>
        <v>Contracted Locally</v>
      </c>
    </row>
    <row r="529" spans="1:9" ht="12.75" customHeight="1">
      <c r="B529" s="17"/>
      <c r="C529" s="7"/>
      <c r="I529" s="11">
        <f t="shared" si="9"/>
        <v>0</v>
      </c>
    </row>
    <row r="530" spans="1:9" ht="12.75" customHeight="1">
      <c r="A530" s="10" t="s">
        <v>2521</v>
      </c>
      <c r="B530" s="17">
        <v>1</v>
      </c>
      <c r="C530" s="7" t="s">
        <v>492</v>
      </c>
      <c r="I530" s="11" t="str">
        <f t="shared" si="9"/>
        <v>YES</v>
      </c>
    </row>
    <row r="531" spans="1:9" ht="12.75" customHeight="1">
      <c r="A531" s="10" t="s">
        <v>2521</v>
      </c>
      <c r="B531" s="17">
        <v>2</v>
      </c>
      <c r="C531" s="7" t="s">
        <v>493</v>
      </c>
      <c r="I531" s="11" t="str">
        <f t="shared" si="9"/>
        <v>NO</v>
      </c>
    </row>
    <row r="532" spans="1:9" ht="12.75" customHeight="1">
      <c r="A532" s="10" t="s">
        <v>2521</v>
      </c>
      <c r="B532" s="17">
        <v>-98</v>
      </c>
      <c r="C532" s="7" t="s">
        <v>2522</v>
      </c>
      <c r="I532" s="11" t="str">
        <f t="shared" si="9"/>
        <v>NOT APPLICABLE, NO X-RAY</v>
      </c>
    </row>
    <row r="533" spans="1:9" ht="12.75" customHeight="1" thickBot="1">
      <c r="B533" s="17"/>
      <c r="C533" s="7"/>
      <c r="I533" s="11">
        <f t="shared" si="9"/>
        <v>0</v>
      </c>
    </row>
    <row r="534" spans="1:9" ht="12.75" customHeight="1">
      <c r="A534" s="16" t="s">
        <v>2526</v>
      </c>
      <c r="B534" s="17">
        <v>1</v>
      </c>
      <c r="C534" s="73" t="s">
        <v>612</v>
      </c>
      <c r="I534" s="11" t="str">
        <f t="shared" si="9"/>
        <v>YES, SEEN</v>
      </c>
    </row>
    <row r="535" spans="1:9" ht="12.75" customHeight="1">
      <c r="A535" s="16" t="s">
        <v>2526</v>
      </c>
      <c r="B535" s="17">
        <v>2</v>
      </c>
      <c r="C535" s="74" t="s">
        <v>614</v>
      </c>
      <c r="I535" s="11" t="str">
        <f t="shared" si="9"/>
        <v>YES, NOT SEEN</v>
      </c>
    </row>
    <row r="536" spans="1:9" ht="12.75" customHeight="1" thickBot="1">
      <c r="A536" s="16" t="s">
        <v>2526</v>
      </c>
      <c r="B536" s="17">
        <v>3</v>
      </c>
      <c r="C536" s="75" t="s">
        <v>1095</v>
      </c>
      <c r="I536" s="11" t="str">
        <f t="shared" si="9"/>
        <v>NO, NOT POSTED</v>
      </c>
    </row>
    <row r="537" spans="1:9" ht="12.75" customHeight="1" thickBot="1">
      <c r="B537" s="17"/>
      <c r="C537" s="7"/>
      <c r="I537" s="11">
        <f t="shared" si="9"/>
        <v>0</v>
      </c>
    </row>
    <row r="538" spans="1:9" ht="12.75" customHeight="1">
      <c r="A538" s="16" t="s">
        <v>2527</v>
      </c>
      <c r="B538" s="17">
        <v>1</v>
      </c>
      <c r="C538" s="73" t="s">
        <v>612</v>
      </c>
      <c r="I538" s="11" t="str">
        <f t="shared" si="9"/>
        <v>YES, SEEN</v>
      </c>
    </row>
    <row r="539" spans="1:9" ht="12.75" customHeight="1">
      <c r="A539" s="16" t="s">
        <v>2527</v>
      </c>
      <c r="B539" s="17">
        <v>2</v>
      </c>
      <c r="C539" s="74" t="s">
        <v>614</v>
      </c>
      <c r="I539" s="11" t="str">
        <f t="shared" si="9"/>
        <v>YES, NOT SEEN</v>
      </c>
    </row>
    <row r="540" spans="1:9" ht="12.75" customHeight="1" thickBot="1">
      <c r="A540" s="16" t="s">
        <v>2527</v>
      </c>
      <c r="B540" s="17">
        <v>3</v>
      </c>
      <c r="C540" s="75" t="s">
        <v>1095</v>
      </c>
      <c r="I540" s="11" t="str">
        <f t="shared" si="9"/>
        <v>NO, NOT POSTED</v>
      </c>
    </row>
    <row r="541" spans="1:9" ht="12.75" customHeight="1">
      <c r="A541" s="16" t="s">
        <v>2527</v>
      </c>
      <c r="B541" s="17">
        <v>-98</v>
      </c>
      <c r="C541" s="7" t="s">
        <v>3053</v>
      </c>
      <c r="I541" s="11" t="str">
        <f t="shared" si="9"/>
        <v>NOT APPLICABLE, NO IN-PATIENT SERVICES</v>
      </c>
    </row>
    <row r="542" spans="1:9" ht="12.75" customHeight="1">
      <c r="B542" s="17"/>
      <c r="C542" s="7"/>
      <c r="I542" s="11">
        <f t="shared" si="9"/>
        <v>0</v>
      </c>
    </row>
    <row r="543" spans="1:9" ht="12.75" customHeight="1">
      <c r="A543" s="16" t="s">
        <v>2531</v>
      </c>
      <c r="B543" s="17">
        <v>1</v>
      </c>
      <c r="C543" s="7" t="s">
        <v>2554</v>
      </c>
      <c r="I543" s="11" t="str">
        <f t="shared" si="9"/>
        <v>BEING USED</v>
      </c>
    </row>
    <row r="544" spans="1:9" ht="12.75" customHeight="1">
      <c r="A544" s="16" t="s">
        <v>2531</v>
      </c>
      <c r="B544" s="17">
        <v>2</v>
      </c>
      <c r="C544" s="7" t="s">
        <v>2555</v>
      </c>
      <c r="I544" s="11" t="str">
        <f t="shared" si="9"/>
        <v>NOT BEING USE</v>
      </c>
    </row>
    <row r="545" spans="1:9" ht="12.75" customHeight="1">
      <c r="B545" s="17"/>
      <c r="C545" s="7"/>
      <c r="I545" s="11">
        <f t="shared" si="9"/>
        <v>0</v>
      </c>
    </row>
    <row r="546" spans="1:9" ht="12.75" customHeight="1">
      <c r="A546" s="16" t="s">
        <v>2556</v>
      </c>
      <c r="B546" s="17">
        <v>1</v>
      </c>
      <c r="C546" s="7" t="s">
        <v>2557</v>
      </c>
      <c r="I546" s="11" t="str">
        <f t="shared" si="9"/>
        <v>MENTIONED</v>
      </c>
    </row>
    <row r="547" spans="1:9" ht="12.75" customHeight="1">
      <c r="A547" s="16" t="s">
        <v>2556</v>
      </c>
      <c r="B547" s="17">
        <v>2</v>
      </c>
      <c r="C547" s="7" t="s">
        <v>2558</v>
      </c>
      <c r="I547" s="11" t="str">
        <f t="shared" si="9"/>
        <v>NOT MENTIONED</v>
      </c>
    </row>
    <row r="548" spans="1:9" ht="12.75" customHeight="1">
      <c r="B548" s="17"/>
      <c r="C548" s="7"/>
      <c r="I548" s="11">
        <f t="shared" si="9"/>
        <v>0</v>
      </c>
    </row>
    <row r="549" spans="1:9" ht="12.75" customHeight="1">
      <c r="A549" s="16" t="s">
        <v>2573</v>
      </c>
      <c r="B549" s="17">
        <v>1</v>
      </c>
      <c r="C549" s="7" t="s">
        <v>2574</v>
      </c>
      <c r="I549" s="11" t="str">
        <f t="shared" si="9"/>
        <v>PRIORITY</v>
      </c>
    </row>
    <row r="550" spans="1:9" ht="12.75" customHeight="1">
      <c r="A550" s="16" t="s">
        <v>2573</v>
      </c>
      <c r="B550" s="17">
        <v>2</v>
      </c>
      <c r="C550" s="7" t="s">
        <v>2575</v>
      </c>
      <c r="I550" s="11" t="str">
        <f t="shared" si="9"/>
        <v>NOT PRIORITY</v>
      </c>
    </row>
    <row r="551" spans="1:9" ht="12.75" customHeight="1">
      <c r="B551" s="17"/>
      <c r="C551" s="7"/>
      <c r="I551" s="11">
        <f t="shared" si="9"/>
        <v>0</v>
      </c>
    </row>
    <row r="552" spans="1:9" ht="12.75" customHeight="1">
      <c r="A552" s="16" t="s">
        <v>2581</v>
      </c>
      <c r="B552" s="17">
        <v>1</v>
      </c>
      <c r="C552" s="7" t="s">
        <v>2580</v>
      </c>
      <c r="I552" s="11" t="str">
        <f t="shared" si="9"/>
        <v>HAS</v>
      </c>
    </row>
    <row r="553" spans="1:9" ht="12.75" customHeight="1">
      <c r="A553" s="16" t="s">
        <v>2581</v>
      </c>
      <c r="B553" s="17">
        <v>0</v>
      </c>
      <c r="C553" s="7" t="s">
        <v>3614</v>
      </c>
      <c r="I553" s="11" t="str">
        <f t="shared" si="9"/>
        <v>NOT HAVE</v>
      </c>
    </row>
    <row r="554" spans="1:9" ht="12.75" customHeight="1">
      <c r="B554" s="17"/>
      <c r="C554" s="7"/>
      <c r="I554" s="11">
        <f t="shared" si="9"/>
        <v>0</v>
      </c>
    </row>
    <row r="555" spans="1:9" ht="12.75" customHeight="1">
      <c r="B555" s="17"/>
      <c r="C555" s="7"/>
      <c r="I555" s="11">
        <f t="shared" si="9"/>
        <v>0</v>
      </c>
    </row>
    <row r="556" spans="1:9" ht="12.75" customHeight="1">
      <c r="A556" s="10" t="s">
        <v>2807</v>
      </c>
      <c r="B556" s="17">
        <v>1</v>
      </c>
      <c r="C556" s="7" t="s">
        <v>2808</v>
      </c>
      <c r="I556" s="11" t="str">
        <f t="shared" si="9"/>
        <v>YES, ALL</v>
      </c>
    </row>
    <row r="557" spans="1:9" ht="12.75" customHeight="1">
      <c r="A557" s="10" t="s">
        <v>2807</v>
      </c>
      <c r="B557" s="17">
        <v>2</v>
      </c>
      <c r="C557" s="7" t="s">
        <v>2809</v>
      </c>
      <c r="I557" s="11" t="str">
        <f t="shared" si="9"/>
        <v>YES, SOME</v>
      </c>
    </row>
    <row r="558" spans="1:9" ht="12.75" customHeight="1">
      <c r="A558" s="10" t="s">
        <v>2807</v>
      </c>
      <c r="B558" s="17">
        <v>0</v>
      </c>
      <c r="C558" s="7" t="s">
        <v>493</v>
      </c>
      <c r="I558" s="11" t="str">
        <f t="shared" si="9"/>
        <v>NO</v>
      </c>
    </row>
    <row r="559" spans="1:9" ht="12.75" customHeight="1">
      <c r="A559" s="10" t="s">
        <v>2807</v>
      </c>
      <c r="B559" s="17">
        <v>-98</v>
      </c>
      <c r="C559" s="7" t="s">
        <v>2810</v>
      </c>
      <c r="I559" s="11" t="str">
        <f t="shared" si="9"/>
        <v>NOT APPLICABLE, NO VISITS</v>
      </c>
    </row>
    <row r="560" spans="1:9" ht="12.75" customHeight="1">
      <c r="B560" s="17"/>
      <c r="C560" s="7"/>
      <c r="I560" s="11">
        <f t="shared" si="9"/>
        <v>0</v>
      </c>
    </row>
    <row r="561" spans="1:9" ht="12.75" customHeight="1">
      <c r="A561" s="10" t="s">
        <v>3040</v>
      </c>
      <c r="B561" s="17">
        <v>1</v>
      </c>
      <c r="C561" s="7" t="s">
        <v>492</v>
      </c>
      <c r="I561" s="11" t="str">
        <f t="shared" si="9"/>
        <v>YES</v>
      </c>
    </row>
    <row r="562" spans="1:9" ht="12.75" customHeight="1">
      <c r="A562" s="10" t="s">
        <v>3040</v>
      </c>
      <c r="B562" s="17">
        <v>2</v>
      </c>
      <c r="C562" s="7" t="s">
        <v>493</v>
      </c>
      <c r="I562" s="11" t="str">
        <f t="shared" si="9"/>
        <v>NO</v>
      </c>
    </row>
    <row r="563" spans="1:9" ht="12.75" customHeight="1">
      <c r="A563" s="10" t="s">
        <v>3040</v>
      </c>
      <c r="B563" s="17">
        <v>-98</v>
      </c>
      <c r="C563" s="7" t="s">
        <v>3414</v>
      </c>
      <c r="D563" s="7"/>
      <c r="I563" s="11" t="str">
        <f t="shared" si="9"/>
        <v>NOT APPLICABLE, NO LABORATORY</v>
      </c>
    </row>
    <row r="564" spans="1:9" ht="12.75" customHeight="1">
      <c r="B564" s="17"/>
      <c r="C564" s="7"/>
      <c r="I564" s="11">
        <f t="shared" si="9"/>
        <v>0</v>
      </c>
    </row>
    <row r="565" spans="1:9" ht="12.75" customHeight="1">
      <c r="B565" s="17"/>
      <c r="C565" s="7"/>
      <c r="I565" s="11">
        <f t="shared" si="9"/>
        <v>0</v>
      </c>
    </row>
    <row r="566" spans="1:9" ht="12.75" customHeight="1">
      <c r="A566" s="10" t="s">
        <v>3045</v>
      </c>
      <c r="B566" s="17">
        <v>1</v>
      </c>
      <c r="C566" s="17" t="s">
        <v>3046</v>
      </c>
      <c r="I566" s="11" t="str">
        <f t="shared" si="9"/>
        <v>You do nothing as the staff have to just understand that this situation can't change.</v>
      </c>
    </row>
    <row r="567" spans="1:9" ht="12.75" customHeight="1">
      <c r="A567" s="10" t="s">
        <v>3045</v>
      </c>
      <c r="B567" s="17">
        <v>2</v>
      </c>
      <c r="C567" s="17" t="s">
        <v>3047</v>
      </c>
      <c r="I567" s="11" t="str">
        <f t="shared" si="9"/>
        <v>You call a meeting with all staff to explain the situation.</v>
      </c>
    </row>
    <row r="568" spans="1:9" ht="12.75" customHeight="1">
      <c r="A568" s="10" t="s">
        <v>3045</v>
      </c>
      <c r="B568" s="17">
        <v>3</v>
      </c>
      <c r="C568" s="17" t="s">
        <v>3048</v>
      </c>
      <c r="I568" s="11" t="str">
        <f t="shared" si="9"/>
        <v>You discipline the staff who are complaining most about this.</v>
      </c>
    </row>
    <row r="569" spans="1:9" ht="12.75" customHeight="1">
      <c r="A569" s="10" t="s">
        <v>3045</v>
      </c>
      <c r="B569" s="17">
        <v>4</v>
      </c>
      <c r="C569" s="17" t="s">
        <v>3049</v>
      </c>
      <c r="I569" s="11" t="str">
        <f t="shared" si="9"/>
        <v>You call a meeting with all staff to discuss possible alternatives to the existing situation.</v>
      </c>
    </row>
    <row r="570" spans="1:9" ht="12.75" customHeight="1">
      <c r="B570" s="17"/>
      <c r="C570" s="7"/>
      <c r="I570" s="11">
        <f t="shared" si="9"/>
        <v>0</v>
      </c>
    </row>
    <row r="571" spans="1:9" ht="12.75" customHeight="1">
      <c r="A571" s="10" t="s">
        <v>3100</v>
      </c>
      <c r="B571" s="17">
        <v>1</v>
      </c>
      <c r="C571" s="7" t="s">
        <v>3097</v>
      </c>
      <c r="I571" s="11" t="str">
        <f t="shared" si="9"/>
        <v>Doctor/medical officer</v>
      </c>
    </row>
    <row r="572" spans="1:9" ht="12.75" customHeight="1">
      <c r="A572" s="10" t="s">
        <v>3100</v>
      </c>
      <c r="B572" s="17">
        <v>2</v>
      </c>
      <c r="C572" s="7" t="s">
        <v>497</v>
      </c>
      <c r="I572" s="11" t="str">
        <f t="shared" si="9"/>
        <v>Clinical officer</v>
      </c>
    </row>
    <row r="573" spans="1:9" ht="12.75" customHeight="1">
      <c r="A573" s="10" t="s">
        <v>3100</v>
      </c>
      <c r="B573" s="17">
        <v>3</v>
      </c>
      <c r="C573" s="7" t="s">
        <v>3098</v>
      </c>
      <c r="I573" s="11" t="str">
        <f t="shared" si="9"/>
        <v>Midwife (including all types)</v>
      </c>
    </row>
    <row r="574" spans="1:9" ht="12.75" customHeight="1">
      <c r="A574" s="10" t="s">
        <v>3100</v>
      </c>
      <c r="B574" s="17">
        <v>4</v>
      </c>
      <c r="C574" s="7" t="s">
        <v>3099</v>
      </c>
      <c r="I574" s="11" t="str">
        <f t="shared" si="9"/>
        <v>Nurse (including all types)</v>
      </c>
    </row>
    <row r="575" spans="1:9" ht="12.75" customHeight="1">
      <c r="A575" s="10" t="s">
        <v>3100</v>
      </c>
      <c r="B575" s="17">
        <v>96</v>
      </c>
      <c r="C575" s="7" t="s">
        <v>2589</v>
      </c>
      <c r="I575" s="11" t="str">
        <f t="shared" si="9"/>
        <v>Other, specify</v>
      </c>
    </row>
    <row r="576" spans="1:9" ht="12.75" customHeight="1">
      <c r="B576" s="17"/>
      <c r="C576" s="7"/>
      <c r="I576" s="11"/>
    </row>
    <row r="577" spans="1:9" ht="12.75" customHeight="1">
      <c r="A577" s="10" t="s">
        <v>3110</v>
      </c>
      <c r="B577" s="17">
        <v>1</v>
      </c>
      <c r="C577" s="103" t="s">
        <v>3141</v>
      </c>
      <c r="I577" s="11" t="s">
        <v>4890</v>
      </c>
    </row>
    <row r="578" spans="1:9" ht="12.75" customHeight="1">
      <c r="A578" s="10" t="s">
        <v>3110</v>
      </c>
      <c r="B578" s="17">
        <v>2</v>
      </c>
      <c r="C578" s="7" t="s">
        <v>3111</v>
      </c>
      <c r="I578" s="11" t="s">
        <v>6819</v>
      </c>
    </row>
    <row r="579" spans="1:9" ht="12.75" customHeight="1">
      <c r="A579" s="10" t="s">
        <v>3110</v>
      </c>
      <c r="B579" s="17">
        <v>3</v>
      </c>
      <c r="C579" s="10" t="s">
        <v>742</v>
      </c>
      <c r="I579" s="11" t="s">
        <v>6820</v>
      </c>
    </row>
    <row r="580" spans="1:9" ht="12.75" customHeight="1">
      <c r="A580" s="10" t="s">
        <v>3110</v>
      </c>
      <c r="B580" s="17">
        <v>4</v>
      </c>
      <c r="C580" s="7" t="s">
        <v>744</v>
      </c>
      <c r="I580" s="11" t="s">
        <v>6821</v>
      </c>
    </row>
    <row r="581" spans="1:9" ht="12.75" customHeight="1">
      <c r="A581" s="10" t="s">
        <v>3110</v>
      </c>
      <c r="B581" s="17">
        <v>5</v>
      </c>
      <c r="C581" s="7" t="s">
        <v>3112</v>
      </c>
      <c r="I581" s="11" t="s">
        <v>6822</v>
      </c>
    </row>
    <row r="582" spans="1:9" ht="12.75" customHeight="1">
      <c r="A582" s="10" t="s">
        <v>3110</v>
      </c>
      <c r="B582" s="17">
        <v>6</v>
      </c>
      <c r="C582" s="7" t="s">
        <v>3114</v>
      </c>
      <c r="I582" s="11" t="s">
        <v>6823</v>
      </c>
    </row>
    <row r="583" spans="1:9" ht="12.75" customHeight="1">
      <c r="A583" s="10" t="s">
        <v>3110</v>
      </c>
      <c r="B583" s="17">
        <v>7</v>
      </c>
      <c r="C583" s="7" t="s">
        <v>3113</v>
      </c>
      <c r="I583" s="11" t="s">
        <v>6824</v>
      </c>
    </row>
    <row r="584" spans="1:9" ht="12.75" customHeight="1">
      <c r="A584" s="10" t="s">
        <v>3110</v>
      </c>
      <c r="B584" s="17">
        <v>96</v>
      </c>
      <c r="C584" s="7" t="s">
        <v>35</v>
      </c>
      <c r="I584" s="11" t="s">
        <v>6825</v>
      </c>
    </row>
    <row r="585" spans="1:9" ht="12.75" customHeight="1">
      <c r="B585" s="17"/>
      <c r="C585" s="7"/>
      <c r="I585" s="11"/>
    </row>
    <row r="586" spans="1:9" ht="12.75" customHeight="1">
      <c r="B586" s="17"/>
      <c r="C586" s="7"/>
      <c r="I586" s="11"/>
    </row>
    <row r="587" spans="1:9" ht="12.75" customHeight="1">
      <c r="A587" s="10" t="s">
        <v>4635</v>
      </c>
      <c r="B587" s="17">
        <v>1</v>
      </c>
      <c r="C587" s="238" t="s">
        <v>4636</v>
      </c>
      <c r="D587" s="239"/>
      <c r="I587" s="11" t="str">
        <f t="shared" ref="I587:I591" si="10">C587</f>
        <v>Yes: The facility has a complaint/suggestion box</v>
      </c>
    </row>
    <row r="588" spans="1:9" ht="12.75" customHeight="1">
      <c r="A588" s="10" t="s">
        <v>4635</v>
      </c>
      <c r="B588" s="17">
        <v>2</v>
      </c>
      <c r="C588" s="238" t="s">
        <v>4637</v>
      </c>
      <c r="D588" s="239"/>
      <c r="I588" s="11" t="str">
        <f t="shared" si="10"/>
        <v>Yes, the facility conducts client surveys</v>
      </c>
    </row>
    <row r="589" spans="1:9" ht="12.75" customHeight="1">
      <c r="A589" s="10" t="s">
        <v>4635</v>
      </c>
      <c r="B589" s="17">
        <v>3</v>
      </c>
      <c r="C589" s="238" t="s">
        <v>4638</v>
      </c>
      <c r="D589" s="239"/>
      <c r="I589" s="11" t="str">
        <f t="shared" si="10"/>
        <v>Yes, The facility solicits feedback through another option {SPECIFY}</v>
      </c>
    </row>
    <row r="590" spans="1:9" ht="12.75" customHeight="1">
      <c r="A590" s="10" t="s">
        <v>4635</v>
      </c>
      <c r="B590" s="17">
        <v>0</v>
      </c>
      <c r="C590" s="230" t="s">
        <v>493</v>
      </c>
      <c r="D590" s="231"/>
      <c r="I590" s="11" t="str">
        <f t="shared" si="10"/>
        <v>NO</v>
      </c>
    </row>
    <row r="591" spans="1:9" ht="12.75" customHeight="1">
      <c r="B591" s="17"/>
      <c r="C591" s="7"/>
      <c r="I591" s="11">
        <f t="shared" si="10"/>
        <v>0</v>
      </c>
    </row>
    <row r="592" spans="1:9" ht="12.75" customHeight="1">
      <c r="B592" s="17"/>
      <c r="C592" s="7"/>
    </row>
    <row r="593" spans="2:3" ht="12.75" customHeight="1">
      <c r="B593" s="17"/>
      <c r="C593" s="7"/>
    </row>
    <row r="594" spans="2:3" ht="12.75" customHeight="1">
      <c r="B594" s="17"/>
      <c r="C594" s="7"/>
    </row>
    <row r="595" spans="2:3" ht="12.75" customHeight="1">
      <c r="B595" s="17"/>
      <c r="C595" s="7"/>
    </row>
    <row r="596" spans="2:3" ht="12.75" customHeight="1">
      <c r="B596" s="17"/>
      <c r="C596" s="7"/>
    </row>
    <row r="597" spans="2:3" ht="12.75" customHeight="1">
      <c r="B597" s="17"/>
      <c r="C597" s="7"/>
    </row>
    <row r="598" spans="2:3" ht="12.75" customHeight="1">
      <c r="B598" s="17"/>
      <c r="C598" s="7"/>
    </row>
    <row r="599" spans="2:3" ht="12.75" customHeight="1">
      <c r="B599" s="17"/>
      <c r="C599" s="7"/>
    </row>
    <row r="600" spans="2:3" ht="12.75" customHeight="1">
      <c r="B600" s="17"/>
      <c r="C600" s="7"/>
    </row>
    <row r="601" spans="2:3" ht="12.75" customHeight="1">
      <c r="B601" s="17"/>
      <c r="C601" s="7"/>
    </row>
    <row r="602" spans="2:3" ht="12.75" customHeight="1">
      <c r="B602" s="17"/>
      <c r="C602" s="7"/>
    </row>
    <row r="603" spans="2:3" ht="12.75" customHeight="1">
      <c r="B603" s="17"/>
      <c r="C603" s="7"/>
    </row>
    <row r="604" spans="2:3" ht="12.75" customHeight="1">
      <c r="B604" s="17"/>
      <c r="C604" s="7"/>
    </row>
    <row r="605" spans="2:3" ht="12.75" customHeight="1">
      <c r="B605" s="17"/>
      <c r="C605" s="7"/>
    </row>
    <row r="606" spans="2:3" ht="12.75" customHeight="1">
      <c r="B606" s="17"/>
      <c r="C606" s="7"/>
    </row>
    <row r="607" spans="2:3" ht="12.75" customHeight="1">
      <c r="B607" s="17"/>
      <c r="C607" s="7"/>
    </row>
    <row r="608" spans="2:3" ht="12.75" customHeight="1">
      <c r="B608" s="17"/>
      <c r="C608" s="7"/>
    </row>
    <row r="609" spans="2:3" ht="12.75" customHeight="1">
      <c r="B609" s="17"/>
      <c r="C609" s="7"/>
    </row>
    <row r="610" spans="2:3" ht="12.75" customHeight="1">
      <c r="B610" s="17"/>
      <c r="C610" s="7"/>
    </row>
    <row r="611" spans="2:3" ht="12.75" customHeight="1">
      <c r="B611" s="17"/>
      <c r="C611" s="7"/>
    </row>
    <row r="612" spans="2:3" ht="12.75" customHeight="1">
      <c r="B612" s="17"/>
      <c r="C612" s="7"/>
    </row>
    <row r="613" spans="2:3" ht="12.75" customHeight="1">
      <c r="B613" s="17"/>
      <c r="C613" s="7"/>
    </row>
    <row r="614" spans="2:3" ht="12.75" customHeight="1">
      <c r="B614" s="17"/>
      <c r="C614" s="7"/>
    </row>
    <row r="615" spans="2:3" ht="12.75" customHeight="1">
      <c r="B615" s="17"/>
      <c r="C615" s="7"/>
    </row>
    <row r="616" spans="2:3" ht="12.75" customHeight="1">
      <c r="B616" s="17"/>
      <c r="C616" s="7"/>
    </row>
    <row r="617" spans="2:3" ht="12.75" customHeight="1">
      <c r="B617" s="17"/>
      <c r="C617" s="7"/>
    </row>
    <row r="618" spans="2:3" ht="12.75" customHeight="1">
      <c r="B618" s="17"/>
      <c r="C618" s="7"/>
    </row>
    <row r="619" spans="2:3" ht="12.75" customHeight="1">
      <c r="B619" s="17"/>
      <c r="C619" s="7"/>
    </row>
    <row r="620" spans="2:3" ht="12.75" customHeight="1">
      <c r="B620" s="17"/>
      <c r="C620" s="7"/>
    </row>
    <row r="621" spans="2:3" ht="12.75" customHeight="1">
      <c r="B621" s="17"/>
      <c r="C621" s="7"/>
    </row>
    <row r="622" spans="2:3" ht="12.75" customHeight="1">
      <c r="B622" s="17"/>
      <c r="C622" s="7"/>
    </row>
    <row r="623" spans="2:3" ht="12.75" customHeight="1">
      <c r="B623" s="17"/>
      <c r="C623" s="7"/>
    </row>
    <row r="624" spans="2:3" ht="12.75" customHeight="1">
      <c r="B624" s="17"/>
      <c r="C624" s="7"/>
    </row>
    <row r="625" spans="2:3" ht="12.75" customHeight="1">
      <c r="B625" s="17"/>
      <c r="C625" s="7"/>
    </row>
    <row r="626" spans="2:3" ht="12.75" customHeight="1">
      <c r="B626" s="17"/>
      <c r="C626" s="7"/>
    </row>
    <row r="627" spans="2:3" ht="12.75" customHeight="1">
      <c r="B627" s="17"/>
      <c r="C627" s="7"/>
    </row>
    <row r="628" spans="2:3" ht="12.75" customHeight="1">
      <c r="B628" s="17"/>
      <c r="C628" s="7"/>
    </row>
    <row r="629" spans="2:3" ht="12.75" customHeight="1">
      <c r="B629" s="17"/>
      <c r="C629" s="7"/>
    </row>
    <row r="630" spans="2:3" ht="12.75" customHeight="1">
      <c r="B630" s="17"/>
      <c r="C630" s="7"/>
    </row>
    <row r="631" spans="2:3" ht="12.75" customHeight="1">
      <c r="B631" s="17"/>
      <c r="C631" s="7"/>
    </row>
    <row r="632" spans="2:3" ht="12.75" customHeight="1">
      <c r="B632" s="17"/>
      <c r="C632" s="7"/>
    </row>
    <row r="633" spans="2:3" ht="12.75" customHeight="1">
      <c r="B633" s="17"/>
      <c r="C633" s="7"/>
    </row>
    <row r="634" spans="2:3" ht="12.75" customHeight="1">
      <c r="B634" s="17"/>
      <c r="C634" s="7"/>
    </row>
    <row r="635" spans="2:3" ht="12.75" customHeight="1">
      <c r="B635" s="17"/>
      <c r="C635" s="7"/>
    </row>
    <row r="636" spans="2:3" ht="12.75" customHeight="1">
      <c r="B636" s="17"/>
      <c r="C636" s="7"/>
    </row>
    <row r="637" spans="2:3" ht="12.75" customHeight="1">
      <c r="B637" s="17"/>
      <c r="C637" s="7"/>
    </row>
    <row r="638" spans="2:3" ht="12.75" customHeight="1">
      <c r="B638" s="17"/>
      <c r="C638" s="7"/>
    </row>
    <row r="639" spans="2:3" ht="12.75" customHeight="1">
      <c r="B639" s="17"/>
      <c r="C639" s="7"/>
    </row>
    <row r="640" spans="2:3" ht="12.75" customHeight="1">
      <c r="B640" s="17"/>
      <c r="C640" s="7"/>
    </row>
    <row r="641" spans="2:3" ht="12.75" customHeight="1">
      <c r="B641" s="17"/>
      <c r="C641" s="7"/>
    </row>
    <row r="642" spans="2:3" ht="12.75" customHeight="1">
      <c r="B642" s="17"/>
      <c r="C642" s="7"/>
    </row>
    <row r="643" spans="2:3" ht="12.75" customHeight="1">
      <c r="B643" s="17"/>
      <c r="C643" s="7"/>
    </row>
    <row r="644" spans="2:3" ht="12.75" customHeight="1">
      <c r="B644" s="17"/>
      <c r="C644" s="7"/>
    </row>
    <row r="645" spans="2:3" ht="12.75" customHeight="1">
      <c r="B645" s="17"/>
      <c r="C645" s="7"/>
    </row>
    <row r="646" spans="2:3" ht="12.75" customHeight="1">
      <c r="B646" s="17"/>
      <c r="C646" s="7"/>
    </row>
    <row r="647" spans="2:3" ht="12.75" customHeight="1">
      <c r="B647" s="17"/>
      <c r="C647" s="7"/>
    </row>
    <row r="648" spans="2:3" ht="12.75" customHeight="1">
      <c r="B648" s="17"/>
      <c r="C648" s="7"/>
    </row>
    <row r="649" spans="2:3" ht="12.75" customHeight="1">
      <c r="B649" s="17"/>
      <c r="C649" s="7"/>
    </row>
    <row r="650" spans="2:3" ht="12.75" customHeight="1">
      <c r="B650" s="17"/>
      <c r="C650" s="7"/>
    </row>
    <row r="651" spans="2:3" ht="12.75" customHeight="1">
      <c r="B651" s="17"/>
      <c r="C651" s="7"/>
    </row>
    <row r="652" spans="2:3" ht="12.75" customHeight="1">
      <c r="B652" s="17"/>
      <c r="C652" s="7"/>
    </row>
    <row r="653" spans="2:3" ht="12.75" customHeight="1">
      <c r="B653" s="17"/>
      <c r="C653" s="7"/>
    </row>
    <row r="654" spans="2:3" ht="12.75" customHeight="1">
      <c r="B654" s="17"/>
      <c r="C654" s="7"/>
    </row>
    <row r="655" spans="2:3" ht="12.75" customHeight="1">
      <c r="B655" s="17"/>
      <c r="C655" s="7"/>
    </row>
    <row r="656" spans="2:3" ht="12.75" customHeight="1">
      <c r="B656" s="17"/>
      <c r="C656" s="7"/>
    </row>
    <row r="657" spans="2:3" ht="12.75" customHeight="1">
      <c r="B657" s="17"/>
      <c r="C657" s="7"/>
    </row>
    <row r="658" spans="2:3" ht="12.75" customHeight="1">
      <c r="B658" s="17"/>
      <c r="C658" s="7"/>
    </row>
    <row r="659" spans="2:3" ht="12.75" customHeight="1">
      <c r="B659" s="17"/>
      <c r="C659" s="7"/>
    </row>
    <row r="660" spans="2:3" ht="12.75" customHeight="1">
      <c r="B660" s="17"/>
      <c r="C660" s="7"/>
    </row>
    <row r="661" spans="2:3" ht="12.75" customHeight="1">
      <c r="B661" s="17"/>
      <c r="C661" s="7"/>
    </row>
    <row r="662" spans="2:3" ht="12.75" customHeight="1">
      <c r="B662" s="17"/>
      <c r="C662" s="7"/>
    </row>
    <row r="663" spans="2:3" ht="12.75" customHeight="1">
      <c r="B663" s="17"/>
      <c r="C663" s="7"/>
    </row>
    <row r="664" spans="2:3" ht="12.75" customHeight="1">
      <c r="B664" s="17"/>
      <c r="C664" s="7"/>
    </row>
    <row r="665" spans="2:3" ht="12.75" customHeight="1">
      <c r="B665" s="17"/>
      <c r="C665" s="7"/>
    </row>
    <row r="666" spans="2:3" ht="12.75" customHeight="1">
      <c r="B666" s="17"/>
      <c r="C666" s="7"/>
    </row>
    <row r="667" spans="2:3" ht="12.75" customHeight="1">
      <c r="B667" s="17"/>
      <c r="C667" s="7"/>
    </row>
    <row r="668" spans="2:3" ht="12.75" customHeight="1">
      <c r="B668" s="17"/>
      <c r="C668" s="7"/>
    </row>
    <row r="669" spans="2:3" ht="12.75" customHeight="1">
      <c r="B669" s="17"/>
      <c r="C669" s="7"/>
    </row>
    <row r="670" spans="2:3" ht="12.75" customHeight="1">
      <c r="B670" s="17"/>
      <c r="C670" s="7"/>
    </row>
    <row r="671" spans="2:3" ht="12.75" customHeight="1">
      <c r="B671" s="17"/>
      <c r="C671" s="7"/>
    </row>
    <row r="672" spans="2:3" ht="12.75" customHeight="1">
      <c r="B672" s="17"/>
      <c r="C672" s="7"/>
    </row>
    <row r="673" spans="2:3" ht="12.75" customHeight="1">
      <c r="B673" s="17"/>
      <c r="C673" s="7"/>
    </row>
    <row r="674" spans="2:3" ht="12.75" customHeight="1">
      <c r="B674" s="17"/>
      <c r="C674" s="7"/>
    </row>
    <row r="675" spans="2:3" ht="12.75" customHeight="1">
      <c r="B675" s="17"/>
      <c r="C675" s="7"/>
    </row>
    <row r="676" spans="2:3" ht="12.75" customHeight="1">
      <c r="B676" s="17"/>
      <c r="C676" s="7"/>
    </row>
    <row r="677" spans="2:3" ht="12.75" customHeight="1">
      <c r="B677" s="17"/>
      <c r="C677" s="7"/>
    </row>
    <row r="678" spans="2:3" ht="12.75" customHeight="1">
      <c r="B678" s="17"/>
      <c r="C678" s="7"/>
    </row>
    <row r="679" spans="2:3" ht="12.75" customHeight="1">
      <c r="B679" s="17"/>
      <c r="C679" s="7"/>
    </row>
    <row r="680" spans="2:3" ht="12.75" customHeight="1">
      <c r="B680" s="17"/>
      <c r="C680" s="7"/>
    </row>
    <row r="681" spans="2:3" ht="12.75" customHeight="1">
      <c r="B681" s="17"/>
      <c r="C681" s="7"/>
    </row>
    <row r="682" spans="2:3" ht="12.75" customHeight="1">
      <c r="B682" s="17"/>
      <c r="C682" s="7"/>
    </row>
    <row r="683" spans="2:3" ht="12.75" customHeight="1">
      <c r="B683" s="17"/>
      <c r="C683" s="7"/>
    </row>
    <row r="684" spans="2:3" ht="12.75" customHeight="1">
      <c r="B684" s="17"/>
      <c r="C684" s="7"/>
    </row>
    <row r="685" spans="2:3" ht="12.75" customHeight="1">
      <c r="B685" s="17"/>
      <c r="C685" s="7"/>
    </row>
    <row r="686" spans="2:3" ht="12.75" customHeight="1">
      <c r="B686" s="17"/>
      <c r="C686" s="7"/>
    </row>
    <row r="687" spans="2:3" ht="12.75" customHeight="1">
      <c r="B687" s="17"/>
      <c r="C687" s="7"/>
    </row>
    <row r="688" spans="2:3" ht="12.75" customHeight="1">
      <c r="B688" s="17"/>
      <c r="C688" s="7"/>
    </row>
    <row r="689" spans="2:3" ht="12.75" customHeight="1">
      <c r="B689" s="17"/>
      <c r="C689" s="7"/>
    </row>
    <row r="690" spans="2:3" ht="12.75" customHeight="1">
      <c r="B690" s="17"/>
      <c r="C690" s="7"/>
    </row>
    <row r="691" spans="2:3" ht="12.75" customHeight="1">
      <c r="B691" s="17"/>
      <c r="C691" s="7"/>
    </row>
    <row r="692" spans="2:3" ht="12.75" customHeight="1">
      <c r="B692" s="17"/>
      <c r="C692" s="7"/>
    </row>
    <row r="693" spans="2:3" ht="12.75" customHeight="1">
      <c r="B693" s="17"/>
      <c r="C693" s="7"/>
    </row>
    <row r="694" spans="2:3" ht="12.75" customHeight="1">
      <c r="B694" s="17"/>
      <c r="C694" s="7"/>
    </row>
    <row r="695" spans="2:3" ht="12.75" customHeight="1">
      <c r="B695" s="17"/>
      <c r="C695" s="7"/>
    </row>
    <row r="696" spans="2:3" ht="12.75" customHeight="1">
      <c r="B696" s="17"/>
      <c r="C696" s="7"/>
    </row>
    <row r="697" spans="2:3" ht="12.75" customHeight="1">
      <c r="B697" s="17"/>
      <c r="C697" s="7"/>
    </row>
    <row r="698" spans="2:3" ht="12.75" customHeight="1">
      <c r="B698" s="17"/>
      <c r="C698" s="7"/>
    </row>
    <row r="699" spans="2:3" ht="12.75" customHeight="1">
      <c r="B699" s="17"/>
      <c r="C699" s="7"/>
    </row>
    <row r="700" spans="2:3" ht="12.75" customHeight="1">
      <c r="B700" s="17"/>
      <c r="C700" s="7"/>
    </row>
    <row r="701" spans="2:3" ht="12.75" customHeight="1">
      <c r="B701" s="17"/>
      <c r="C701" s="7"/>
    </row>
    <row r="702" spans="2:3" ht="12.75" customHeight="1">
      <c r="B702" s="17"/>
      <c r="C702" s="7"/>
    </row>
    <row r="703" spans="2:3" ht="12.75" customHeight="1">
      <c r="B703" s="17"/>
      <c r="C703" s="7"/>
    </row>
    <row r="704" spans="2:3" ht="12.75" customHeight="1">
      <c r="B704" s="17"/>
      <c r="C704" s="7"/>
    </row>
    <row r="705" spans="2:3" ht="12.75" customHeight="1">
      <c r="B705" s="17"/>
      <c r="C705" s="7"/>
    </row>
    <row r="706" spans="2:3" ht="12.75" customHeight="1">
      <c r="B706" s="17"/>
      <c r="C706" s="7"/>
    </row>
    <row r="707" spans="2:3" ht="12.75" customHeight="1">
      <c r="B707" s="17"/>
      <c r="C707" s="7"/>
    </row>
    <row r="708" spans="2:3" ht="12.75" customHeight="1">
      <c r="B708" s="17"/>
      <c r="C708" s="7"/>
    </row>
    <row r="709" spans="2:3" ht="12.75" customHeight="1">
      <c r="B709" s="17"/>
      <c r="C709" s="7"/>
    </row>
    <row r="710" spans="2:3" ht="12.75" customHeight="1">
      <c r="B710" s="17"/>
      <c r="C710" s="7"/>
    </row>
    <row r="711" spans="2:3" ht="12.75" customHeight="1">
      <c r="B711" s="17"/>
      <c r="C711" s="7"/>
    </row>
    <row r="712" spans="2:3" ht="12.75" customHeight="1">
      <c r="B712" s="17"/>
      <c r="C712" s="7"/>
    </row>
    <row r="713" spans="2:3" ht="12.75" customHeight="1">
      <c r="B713" s="17"/>
      <c r="C713" s="7"/>
    </row>
    <row r="714" spans="2:3" ht="12.75" customHeight="1">
      <c r="B714" s="17"/>
      <c r="C714" s="7"/>
    </row>
    <row r="715" spans="2:3" ht="12.75" customHeight="1">
      <c r="B715" s="17"/>
      <c r="C715" s="7"/>
    </row>
    <row r="716" spans="2:3" ht="12.75" customHeight="1">
      <c r="B716" s="17"/>
      <c r="C716" s="7"/>
    </row>
    <row r="717" spans="2:3" ht="12.75" customHeight="1">
      <c r="B717" s="17"/>
      <c r="C717" s="7"/>
    </row>
    <row r="718" spans="2:3" ht="12.75" customHeight="1">
      <c r="B718" s="17"/>
      <c r="C718" s="7"/>
    </row>
    <row r="719" spans="2:3" ht="12.75" customHeight="1">
      <c r="B719" s="17"/>
      <c r="C719" s="7"/>
    </row>
    <row r="720" spans="2:3" ht="12.75" customHeight="1">
      <c r="B720" s="17"/>
      <c r="C720" s="7"/>
    </row>
    <row r="721" spans="2:3" ht="12.75" customHeight="1">
      <c r="B721" s="17"/>
      <c r="C721" s="7"/>
    </row>
    <row r="722" spans="2:3" ht="12.75" customHeight="1">
      <c r="B722" s="17"/>
      <c r="C722" s="7"/>
    </row>
    <row r="723" spans="2:3" ht="12.75" customHeight="1">
      <c r="B723" s="17"/>
      <c r="C723" s="7"/>
    </row>
    <row r="724" spans="2:3" ht="12.75" customHeight="1">
      <c r="B724" s="17"/>
      <c r="C724" s="7"/>
    </row>
    <row r="725" spans="2:3" ht="12.75" customHeight="1">
      <c r="B725" s="17"/>
      <c r="C725" s="7"/>
    </row>
    <row r="726" spans="2:3" ht="12.75" customHeight="1">
      <c r="B726" s="17"/>
      <c r="C726" s="7"/>
    </row>
    <row r="727" spans="2:3" ht="12.75" customHeight="1">
      <c r="B727" s="17"/>
      <c r="C727" s="7"/>
    </row>
    <row r="728" spans="2:3" ht="12.75" customHeight="1">
      <c r="B728" s="17"/>
      <c r="C728" s="7"/>
    </row>
    <row r="729" spans="2:3" ht="12.75" customHeight="1">
      <c r="B729" s="17"/>
      <c r="C729" s="7"/>
    </row>
    <row r="730" spans="2:3" ht="12.75" customHeight="1">
      <c r="B730" s="17"/>
      <c r="C730" s="7"/>
    </row>
    <row r="731" spans="2:3" ht="12.75" customHeight="1">
      <c r="B731" s="17"/>
      <c r="C731" s="7"/>
    </row>
    <row r="732" spans="2:3" ht="12.75" customHeight="1">
      <c r="B732" s="17"/>
      <c r="C732" s="7"/>
    </row>
    <row r="733" spans="2:3" ht="12.75" customHeight="1">
      <c r="B733" s="17"/>
      <c r="C733" s="7"/>
    </row>
    <row r="734" spans="2:3" ht="12.75" customHeight="1">
      <c r="B734" s="17"/>
      <c r="C734" s="7"/>
    </row>
    <row r="735" spans="2:3" ht="12.75" customHeight="1">
      <c r="B735" s="17"/>
      <c r="C735" s="7"/>
    </row>
    <row r="736" spans="2:3" ht="12.75" customHeight="1">
      <c r="B736" s="17"/>
      <c r="C736" s="7"/>
    </row>
    <row r="737" spans="2:3" ht="12.75" customHeight="1">
      <c r="B737" s="17"/>
      <c r="C737" s="7"/>
    </row>
    <row r="738" spans="2:3" ht="12.75" customHeight="1">
      <c r="B738" s="17"/>
      <c r="C738" s="7"/>
    </row>
    <row r="739" spans="2:3" ht="12.75" customHeight="1">
      <c r="B739" s="17"/>
      <c r="C739" s="7"/>
    </row>
    <row r="740" spans="2:3" ht="12.75" customHeight="1">
      <c r="B740" s="17"/>
      <c r="C740" s="7"/>
    </row>
    <row r="741" spans="2:3" ht="12.75" customHeight="1">
      <c r="B741" s="17"/>
      <c r="C741" s="7"/>
    </row>
    <row r="742" spans="2:3" ht="12.75" customHeight="1">
      <c r="B742" s="17"/>
      <c r="C742" s="7"/>
    </row>
    <row r="743" spans="2:3" ht="12.75" customHeight="1">
      <c r="B743" s="17"/>
      <c r="C743" s="7"/>
    </row>
    <row r="744" spans="2:3" ht="12.75" customHeight="1">
      <c r="B744" s="17"/>
      <c r="C744" s="7"/>
    </row>
    <row r="745" spans="2:3" ht="12.75" customHeight="1">
      <c r="B745" s="17"/>
      <c r="C745" s="7"/>
    </row>
    <row r="746" spans="2:3" ht="12.75" customHeight="1">
      <c r="B746" s="17"/>
      <c r="C746" s="7"/>
    </row>
    <row r="747" spans="2:3" ht="12.75" customHeight="1">
      <c r="B747" s="17"/>
      <c r="C747" s="7"/>
    </row>
    <row r="748" spans="2:3" ht="12.75" customHeight="1">
      <c r="B748" s="17"/>
      <c r="C748" s="7"/>
    </row>
    <row r="749" spans="2:3" ht="12.75" customHeight="1">
      <c r="B749" s="17"/>
      <c r="C749" s="7"/>
    </row>
    <row r="750" spans="2:3" ht="12.75" customHeight="1">
      <c r="B750" s="17"/>
      <c r="C750" s="7"/>
    </row>
    <row r="751" spans="2:3" ht="12.75" customHeight="1">
      <c r="B751" s="17"/>
      <c r="C751" s="7"/>
    </row>
    <row r="752" spans="2:3" ht="12.75" customHeight="1">
      <c r="B752" s="17"/>
      <c r="C752" s="7"/>
    </row>
    <row r="753" spans="2:3" ht="12.75" customHeight="1">
      <c r="B753" s="17"/>
      <c r="C753" s="7"/>
    </row>
    <row r="754" spans="2:3" ht="12.75" customHeight="1">
      <c r="B754" s="17"/>
      <c r="C754" s="7"/>
    </row>
    <row r="755" spans="2:3" ht="12.75" customHeight="1">
      <c r="B755" s="17"/>
      <c r="C755" s="7"/>
    </row>
    <row r="756" spans="2:3" ht="12.75" customHeight="1">
      <c r="B756" s="17"/>
      <c r="C756" s="7"/>
    </row>
    <row r="757" spans="2:3" ht="12.75" customHeight="1">
      <c r="B757" s="17"/>
      <c r="C757" s="7"/>
    </row>
    <row r="758" spans="2:3" ht="12.75" customHeight="1">
      <c r="B758" s="17"/>
      <c r="C758" s="7"/>
    </row>
    <row r="759" spans="2:3" ht="12.75" customHeight="1">
      <c r="B759" s="17"/>
      <c r="C759" s="7"/>
    </row>
    <row r="760" spans="2:3" ht="12.75" customHeight="1">
      <c r="B760" s="17"/>
      <c r="C760" s="7"/>
    </row>
    <row r="761" spans="2:3" ht="12.75" customHeight="1">
      <c r="B761" s="17"/>
      <c r="C761" s="7"/>
    </row>
    <row r="762" spans="2:3" ht="12.75" customHeight="1">
      <c r="B762" s="17"/>
      <c r="C762" s="7"/>
    </row>
    <row r="763" spans="2:3" ht="12.75" customHeight="1">
      <c r="B763" s="17"/>
      <c r="C763" s="7"/>
    </row>
    <row r="764" spans="2:3" ht="12.75" customHeight="1">
      <c r="B764" s="17"/>
      <c r="C764" s="7"/>
    </row>
    <row r="765" spans="2:3" ht="12.75" customHeight="1">
      <c r="B765" s="17"/>
      <c r="C765" s="7"/>
    </row>
    <row r="766" spans="2:3" ht="12.75" customHeight="1">
      <c r="B766" s="17"/>
      <c r="C766" s="7"/>
    </row>
    <row r="767" spans="2:3" ht="12.75" customHeight="1">
      <c r="B767" s="17"/>
      <c r="C767" s="7"/>
    </row>
    <row r="768" spans="2:3" ht="12.75" customHeight="1">
      <c r="B768" s="17"/>
      <c r="C768" s="7"/>
    </row>
    <row r="769" spans="2:3" ht="12.75" customHeight="1">
      <c r="B769" s="17"/>
      <c r="C769" s="7"/>
    </row>
    <row r="770" spans="2:3" ht="12.75" customHeight="1">
      <c r="B770" s="17"/>
      <c r="C770" s="7"/>
    </row>
    <row r="771" spans="2:3" ht="12.75" customHeight="1">
      <c r="B771" s="17"/>
      <c r="C771" s="7"/>
    </row>
    <row r="772" spans="2:3" ht="12.75" customHeight="1">
      <c r="B772" s="17"/>
      <c r="C772" s="7"/>
    </row>
    <row r="773" spans="2:3" ht="12.75" customHeight="1">
      <c r="B773" s="17"/>
      <c r="C773" s="7"/>
    </row>
    <row r="774" spans="2:3" ht="12.75" customHeight="1">
      <c r="B774" s="17"/>
      <c r="C774" s="7"/>
    </row>
    <row r="775" spans="2:3" ht="12.75" customHeight="1">
      <c r="B775" s="17"/>
      <c r="C775" s="7"/>
    </row>
    <row r="776" spans="2:3" ht="12.75" customHeight="1">
      <c r="B776" s="17"/>
      <c r="C776" s="7"/>
    </row>
    <row r="777" spans="2:3" ht="12.75" customHeight="1">
      <c r="B777" s="17"/>
      <c r="C777" s="7"/>
    </row>
    <row r="778" spans="2:3" ht="12.75" customHeight="1">
      <c r="B778" s="17"/>
      <c r="C778" s="7"/>
    </row>
    <row r="779" spans="2:3" ht="12.75" customHeight="1">
      <c r="B779" s="17"/>
      <c r="C779" s="7"/>
    </row>
    <row r="780" spans="2:3" ht="12.75" customHeight="1">
      <c r="B780" s="17"/>
      <c r="C780" s="7"/>
    </row>
    <row r="781" spans="2:3" ht="12.75" customHeight="1">
      <c r="B781" s="17"/>
      <c r="C781" s="7"/>
    </row>
    <row r="782" spans="2:3" ht="12.75" customHeight="1">
      <c r="B782" s="17"/>
      <c r="C782" s="7"/>
    </row>
    <row r="783" spans="2:3" ht="12.75" customHeight="1">
      <c r="B783" s="17"/>
      <c r="C783" s="7"/>
    </row>
    <row r="784" spans="2:3" ht="12.75" customHeight="1">
      <c r="B784" s="17"/>
      <c r="C784" s="7"/>
    </row>
    <row r="785" spans="2:3" ht="12.75" customHeight="1">
      <c r="B785" s="17"/>
      <c r="C785" s="7"/>
    </row>
    <row r="786" spans="2:3" ht="12.75" customHeight="1">
      <c r="B786" s="17"/>
      <c r="C786" s="7"/>
    </row>
    <row r="787" spans="2:3" ht="12.75" customHeight="1">
      <c r="B787" s="17"/>
      <c r="C787" s="7"/>
    </row>
    <row r="788" spans="2:3" ht="12.75" customHeight="1">
      <c r="B788" s="17"/>
      <c r="C788" s="7"/>
    </row>
    <row r="789" spans="2:3" ht="12.75" customHeight="1">
      <c r="B789" s="17"/>
      <c r="C789" s="7"/>
    </row>
    <row r="790" spans="2:3" ht="12.75" customHeight="1">
      <c r="B790" s="17"/>
      <c r="C790" s="7"/>
    </row>
    <row r="791" spans="2:3" ht="12.75" customHeight="1">
      <c r="B791" s="17"/>
      <c r="C791" s="7"/>
    </row>
    <row r="792" spans="2:3" ht="12.75" customHeight="1">
      <c r="B792" s="17"/>
      <c r="C792" s="7"/>
    </row>
    <row r="793" spans="2:3" ht="12.75" customHeight="1">
      <c r="B793" s="17"/>
      <c r="C793" s="7"/>
    </row>
    <row r="794" spans="2:3" ht="12.75" customHeight="1">
      <c r="B794" s="17"/>
      <c r="C794" s="7"/>
    </row>
    <row r="795" spans="2:3" ht="12.75" customHeight="1">
      <c r="B795" s="17"/>
      <c r="C795" s="7"/>
    </row>
    <row r="796" spans="2:3" ht="12.75" customHeight="1">
      <c r="B796" s="17"/>
      <c r="C796" s="7"/>
    </row>
    <row r="797" spans="2:3" ht="12.75" customHeight="1">
      <c r="B797" s="17"/>
      <c r="C797" s="7"/>
    </row>
    <row r="798" spans="2:3" ht="12.75" customHeight="1">
      <c r="B798" s="17"/>
      <c r="C798" s="7"/>
    </row>
    <row r="799" spans="2:3" ht="12.75" customHeight="1">
      <c r="B799" s="17"/>
      <c r="C799" s="7"/>
    </row>
    <row r="800" spans="2:3" ht="12.75" customHeight="1">
      <c r="B800" s="17"/>
      <c r="C800" s="7"/>
    </row>
    <row r="801" spans="2:3" ht="12.75" customHeight="1">
      <c r="B801" s="17"/>
      <c r="C801" s="7"/>
    </row>
    <row r="802" spans="2:3" ht="12.75" customHeight="1">
      <c r="B802" s="17"/>
      <c r="C802" s="7"/>
    </row>
    <row r="803" spans="2:3" ht="12.75" customHeight="1">
      <c r="B803" s="17"/>
      <c r="C803" s="7"/>
    </row>
    <row r="804" spans="2:3" ht="12.75" customHeight="1">
      <c r="B804" s="17"/>
      <c r="C804" s="7"/>
    </row>
    <row r="805" spans="2:3" ht="12.75" customHeight="1">
      <c r="B805" s="17"/>
      <c r="C805" s="7"/>
    </row>
    <row r="806" spans="2:3" ht="12.75" customHeight="1">
      <c r="B806" s="17"/>
      <c r="C806" s="7"/>
    </row>
    <row r="807" spans="2:3" ht="12.75" customHeight="1">
      <c r="B807" s="17"/>
      <c r="C807" s="7"/>
    </row>
    <row r="808" spans="2:3" ht="12.75" customHeight="1">
      <c r="B808" s="17"/>
      <c r="C808" s="7"/>
    </row>
    <row r="809" spans="2:3" ht="12.75" customHeight="1">
      <c r="B809" s="17"/>
      <c r="C809" s="7"/>
    </row>
    <row r="810" spans="2:3" ht="12.75" customHeight="1">
      <c r="B810" s="17"/>
      <c r="C810" s="7"/>
    </row>
    <row r="811" spans="2:3" ht="12.75" customHeight="1">
      <c r="B811" s="17"/>
      <c r="C811" s="7"/>
    </row>
    <row r="812" spans="2:3" ht="12.75" customHeight="1">
      <c r="B812" s="17"/>
      <c r="C812" s="7"/>
    </row>
    <row r="813" spans="2:3" ht="12.75" customHeight="1">
      <c r="B813" s="17"/>
      <c r="C813" s="7"/>
    </row>
    <row r="814" spans="2:3" ht="12.75" customHeight="1">
      <c r="B814" s="17"/>
      <c r="C814" s="7"/>
    </row>
    <row r="815" spans="2:3" ht="12.75" customHeight="1">
      <c r="B815" s="17"/>
      <c r="C815" s="7"/>
    </row>
    <row r="816" spans="2:3" ht="12.75" customHeight="1">
      <c r="B816" s="17"/>
      <c r="C816" s="7"/>
    </row>
    <row r="817" spans="2:3" ht="12.75" customHeight="1">
      <c r="B817" s="17"/>
      <c r="C817" s="7"/>
    </row>
    <row r="818" spans="2:3" ht="12.75" customHeight="1">
      <c r="B818" s="17"/>
      <c r="C818" s="7"/>
    </row>
    <row r="819" spans="2:3" ht="12.75" customHeight="1">
      <c r="B819" s="17"/>
      <c r="C819" s="7"/>
    </row>
    <row r="820" spans="2:3" ht="12.75" customHeight="1">
      <c r="B820" s="17"/>
      <c r="C820" s="7"/>
    </row>
    <row r="821" spans="2:3" ht="12.75" customHeight="1">
      <c r="B821" s="17"/>
      <c r="C821" s="7"/>
    </row>
    <row r="822" spans="2:3" ht="12.75" customHeight="1">
      <c r="B822" s="17"/>
      <c r="C822" s="7"/>
    </row>
    <row r="823" spans="2:3" ht="12.75" customHeight="1">
      <c r="B823" s="17"/>
      <c r="C823" s="7"/>
    </row>
    <row r="824" spans="2:3" ht="12.75" customHeight="1">
      <c r="B824" s="17"/>
      <c r="C824" s="7"/>
    </row>
    <row r="825" spans="2:3" ht="12.75" customHeight="1">
      <c r="B825" s="17"/>
      <c r="C825" s="7"/>
    </row>
    <row r="826" spans="2:3" ht="12.75" customHeight="1">
      <c r="B826" s="17"/>
      <c r="C826" s="7"/>
    </row>
    <row r="827" spans="2:3" ht="12.75" customHeight="1">
      <c r="B827" s="17"/>
      <c r="C827" s="7"/>
    </row>
    <row r="828" spans="2:3" ht="12.75" customHeight="1">
      <c r="B828" s="17"/>
      <c r="C828" s="7"/>
    </row>
    <row r="829" spans="2:3" ht="12.75" customHeight="1">
      <c r="B829" s="17"/>
      <c r="C829" s="7"/>
    </row>
    <row r="830" spans="2:3" ht="12.75" customHeight="1">
      <c r="B830" s="17"/>
      <c r="C830" s="7"/>
    </row>
    <row r="831" spans="2:3" ht="12.75" customHeight="1">
      <c r="B831" s="17"/>
      <c r="C831" s="7"/>
    </row>
    <row r="832" spans="2:3" ht="12.75" customHeight="1">
      <c r="B832" s="17"/>
      <c r="C832" s="7"/>
    </row>
    <row r="833" spans="2:3" ht="12.75" customHeight="1">
      <c r="B833" s="17"/>
      <c r="C833" s="7"/>
    </row>
    <row r="834" spans="2:3" ht="12.75" customHeight="1">
      <c r="B834" s="17"/>
      <c r="C834" s="7"/>
    </row>
    <row r="835" spans="2:3" ht="12.75" customHeight="1">
      <c r="B835" s="17"/>
      <c r="C835" s="7"/>
    </row>
    <row r="836" spans="2:3" ht="12.75" customHeight="1">
      <c r="B836" s="17"/>
      <c r="C836" s="7"/>
    </row>
    <row r="837" spans="2:3" ht="12.75" customHeight="1">
      <c r="B837" s="17"/>
      <c r="C837" s="7"/>
    </row>
    <row r="838" spans="2:3" ht="12.75" customHeight="1">
      <c r="B838" s="17"/>
      <c r="C838" s="7"/>
    </row>
    <row r="839" spans="2:3" ht="12.75" customHeight="1">
      <c r="B839" s="17"/>
      <c r="C839" s="7"/>
    </row>
    <row r="840" spans="2:3" ht="12.75" customHeight="1">
      <c r="B840" s="17"/>
      <c r="C840" s="7"/>
    </row>
    <row r="841" spans="2:3" ht="12.75" customHeight="1">
      <c r="B841" s="17"/>
      <c r="C841" s="7"/>
    </row>
    <row r="842" spans="2:3" ht="12.75" customHeight="1">
      <c r="B842" s="17"/>
      <c r="C842" s="7"/>
    </row>
    <row r="843" spans="2:3" ht="12.75" customHeight="1">
      <c r="B843" s="17"/>
      <c r="C843" s="7"/>
    </row>
    <row r="844" spans="2:3" ht="12.75" customHeight="1">
      <c r="B844" s="17"/>
      <c r="C844" s="7"/>
    </row>
    <row r="845" spans="2:3" ht="12.75" customHeight="1">
      <c r="B845" s="17"/>
      <c r="C845" s="7"/>
    </row>
    <row r="846" spans="2:3" ht="12.75" customHeight="1">
      <c r="B846" s="17"/>
      <c r="C846" s="7"/>
    </row>
    <row r="847" spans="2:3" ht="12.75" customHeight="1">
      <c r="B847" s="17"/>
      <c r="C847" s="7"/>
    </row>
    <row r="848" spans="2:3" ht="12.75" customHeight="1">
      <c r="B848" s="17"/>
      <c r="C848" s="7"/>
    </row>
    <row r="849" spans="2:3" ht="12.75" customHeight="1">
      <c r="B849" s="17"/>
      <c r="C849" s="7"/>
    </row>
    <row r="850" spans="2:3" ht="12.75" customHeight="1">
      <c r="B850" s="17"/>
      <c r="C850" s="7"/>
    </row>
    <row r="851" spans="2:3" ht="12.75" customHeight="1">
      <c r="B851" s="17"/>
      <c r="C851" s="7"/>
    </row>
    <row r="852" spans="2:3" ht="12.75" customHeight="1">
      <c r="B852" s="17"/>
      <c r="C852" s="7"/>
    </row>
    <row r="853" spans="2:3" ht="12.75" customHeight="1">
      <c r="B853" s="17"/>
      <c r="C853" s="7"/>
    </row>
    <row r="854" spans="2:3" ht="12.75" customHeight="1">
      <c r="B854" s="17"/>
      <c r="C854" s="7"/>
    </row>
    <row r="855" spans="2:3" ht="12.75" customHeight="1">
      <c r="B855" s="17"/>
      <c r="C855" s="7"/>
    </row>
    <row r="856" spans="2:3" ht="12.75" customHeight="1">
      <c r="B856" s="17"/>
      <c r="C856" s="7"/>
    </row>
    <row r="857" spans="2:3" ht="12.75" customHeight="1">
      <c r="B857" s="17"/>
      <c r="C857" s="7"/>
    </row>
    <row r="858" spans="2:3" ht="12.75" customHeight="1">
      <c r="B858" s="17"/>
      <c r="C858" s="7"/>
    </row>
    <row r="859" spans="2:3" ht="12.75" customHeight="1">
      <c r="B859" s="17"/>
      <c r="C859" s="7"/>
    </row>
    <row r="860" spans="2:3" ht="12.75" customHeight="1">
      <c r="B860" s="17"/>
      <c r="C860" s="7"/>
    </row>
    <row r="861" spans="2:3" ht="12.75" customHeight="1">
      <c r="B861" s="17"/>
      <c r="C861" s="7"/>
    </row>
    <row r="862" spans="2:3" ht="12.75" customHeight="1">
      <c r="B862" s="17"/>
      <c r="C862" s="7"/>
    </row>
    <row r="863" spans="2:3" ht="12.75" customHeight="1">
      <c r="B863" s="17"/>
      <c r="C863" s="7"/>
    </row>
    <row r="864" spans="2:3" ht="12.75" customHeight="1">
      <c r="B864" s="17"/>
      <c r="C864" s="7"/>
    </row>
    <row r="865" spans="2:3" ht="12.75" customHeight="1">
      <c r="B865" s="17"/>
      <c r="C865" s="7"/>
    </row>
    <row r="866" spans="2:3" ht="12.75" customHeight="1">
      <c r="B866" s="17"/>
      <c r="C866" s="7"/>
    </row>
    <row r="867" spans="2:3" ht="12.75" customHeight="1">
      <c r="B867" s="17"/>
      <c r="C867" s="7"/>
    </row>
    <row r="868" spans="2:3" ht="12.75" customHeight="1">
      <c r="B868" s="17"/>
      <c r="C868" s="7"/>
    </row>
    <row r="869" spans="2:3" ht="12.75" customHeight="1">
      <c r="B869" s="17"/>
      <c r="C869" s="7"/>
    </row>
    <row r="870" spans="2:3" ht="12.75" customHeight="1">
      <c r="B870" s="17"/>
      <c r="C870" s="7"/>
    </row>
    <row r="871" spans="2:3" ht="12.75" customHeight="1">
      <c r="B871" s="17"/>
      <c r="C871" s="7"/>
    </row>
    <row r="872" spans="2:3" ht="12.75" customHeight="1">
      <c r="B872" s="17"/>
      <c r="C872" s="7"/>
    </row>
    <row r="873" spans="2:3" ht="12.75" customHeight="1">
      <c r="B873" s="17"/>
      <c r="C873" s="7"/>
    </row>
    <row r="874" spans="2:3" ht="12.75" customHeight="1">
      <c r="B874" s="17"/>
      <c r="C874" s="7"/>
    </row>
    <row r="875" spans="2:3" ht="12.75" customHeight="1">
      <c r="B875" s="17"/>
      <c r="C875" s="7"/>
    </row>
    <row r="876" spans="2:3" ht="12.75" customHeight="1">
      <c r="B876" s="17"/>
      <c r="C876" s="7"/>
    </row>
    <row r="877" spans="2:3" ht="12.75" customHeight="1">
      <c r="B877" s="17"/>
      <c r="C877" s="7"/>
    </row>
    <row r="878" spans="2:3" ht="12.75" customHeight="1">
      <c r="B878" s="17"/>
      <c r="C878" s="7"/>
    </row>
    <row r="879" spans="2:3" ht="12.75" customHeight="1">
      <c r="B879" s="17"/>
      <c r="C879" s="7"/>
    </row>
    <row r="880" spans="2:3" ht="12.75" customHeight="1">
      <c r="B880" s="17"/>
      <c r="C880" s="7"/>
    </row>
    <row r="881" spans="2:3" ht="12.75" customHeight="1">
      <c r="B881" s="17"/>
      <c r="C881" s="7"/>
    </row>
    <row r="882" spans="2:3" ht="12.75" customHeight="1">
      <c r="B882" s="17"/>
      <c r="C882" s="7"/>
    </row>
    <row r="883" spans="2:3" ht="12.75" customHeight="1">
      <c r="B883" s="17"/>
      <c r="C883" s="7"/>
    </row>
    <row r="884" spans="2:3" ht="12.75" customHeight="1">
      <c r="B884" s="17"/>
      <c r="C884" s="7"/>
    </row>
    <row r="885" spans="2:3" ht="12.75" customHeight="1">
      <c r="B885" s="17"/>
      <c r="C885" s="7"/>
    </row>
    <row r="886" spans="2:3" ht="12.75" customHeight="1">
      <c r="B886" s="17"/>
      <c r="C886" s="7"/>
    </row>
    <row r="887" spans="2:3" ht="12.75" customHeight="1">
      <c r="B887" s="17"/>
      <c r="C887" s="7"/>
    </row>
    <row r="888" spans="2:3" ht="12.75" customHeight="1">
      <c r="B888" s="17"/>
      <c r="C888" s="7"/>
    </row>
    <row r="889" spans="2:3" ht="12.75" customHeight="1">
      <c r="B889" s="17"/>
      <c r="C889" s="7"/>
    </row>
    <row r="890" spans="2:3" ht="12.75" customHeight="1">
      <c r="B890" s="17"/>
      <c r="C890" s="7"/>
    </row>
    <row r="891" spans="2:3" ht="12.75" customHeight="1">
      <c r="B891" s="17"/>
      <c r="C891" s="7"/>
    </row>
    <row r="892" spans="2:3" ht="12.75" customHeight="1">
      <c r="B892" s="17"/>
      <c r="C892" s="7"/>
    </row>
    <row r="893" spans="2:3" ht="12.75" customHeight="1">
      <c r="B893" s="17"/>
      <c r="C893" s="7"/>
    </row>
    <row r="894" spans="2:3" ht="12.75" customHeight="1">
      <c r="B894" s="17"/>
      <c r="C894" s="7"/>
    </row>
    <row r="895" spans="2:3" ht="12.75" customHeight="1">
      <c r="B895" s="17"/>
      <c r="C895" s="7"/>
    </row>
    <row r="896" spans="2:3" ht="12.75" customHeight="1">
      <c r="B896" s="17"/>
      <c r="C896" s="7"/>
    </row>
    <row r="897" spans="2:3" ht="12.75" customHeight="1">
      <c r="B897" s="17"/>
      <c r="C897" s="7"/>
    </row>
    <row r="898" spans="2:3" ht="12.75" customHeight="1">
      <c r="B898" s="17"/>
      <c r="C898" s="7"/>
    </row>
    <row r="899" spans="2:3" ht="12.75" customHeight="1">
      <c r="B899" s="17"/>
      <c r="C899" s="7"/>
    </row>
    <row r="900" spans="2:3" ht="12.75" customHeight="1">
      <c r="B900" s="17"/>
      <c r="C900" s="7"/>
    </row>
    <row r="901" spans="2:3" ht="12.75" customHeight="1">
      <c r="B901" s="17"/>
      <c r="C901" s="7"/>
    </row>
    <row r="902" spans="2:3" ht="12.75" customHeight="1">
      <c r="B902" s="17"/>
      <c r="C902" s="7"/>
    </row>
    <row r="903" spans="2:3" ht="12.75" customHeight="1">
      <c r="B903" s="17"/>
      <c r="C903" s="7"/>
    </row>
    <row r="904" spans="2:3" ht="12.75" customHeight="1">
      <c r="B904" s="17"/>
      <c r="C904" s="7"/>
    </row>
    <row r="905" spans="2:3" ht="12.75" customHeight="1">
      <c r="B905" s="17"/>
      <c r="C905" s="7"/>
    </row>
    <row r="906" spans="2:3" ht="12.75" customHeight="1">
      <c r="B906" s="17"/>
      <c r="C906" s="7"/>
    </row>
    <row r="907" spans="2:3" ht="12.75" customHeight="1">
      <c r="B907" s="17"/>
      <c r="C907" s="7"/>
    </row>
    <row r="908" spans="2:3" ht="12.75" customHeight="1">
      <c r="B908" s="17"/>
      <c r="C908" s="7"/>
    </row>
    <row r="909" spans="2:3" ht="12.75" customHeight="1">
      <c r="B909" s="17"/>
      <c r="C909" s="7"/>
    </row>
    <row r="910" spans="2:3" ht="12.75" customHeight="1">
      <c r="B910" s="17"/>
      <c r="C910" s="7"/>
    </row>
    <row r="911" spans="2:3" ht="12.75" customHeight="1">
      <c r="B911" s="17"/>
      <c r="C911" s="7"/>
    </row>
    <row r="912" spans="2:3" ht="12.75" customHeight="1">
      <c r="B912" s="17"/>
      <c r="C912" s="7"/>
    </row>
    <row r="913" spans="2:3" ht="12.75" customHeight="1">
      <c r="B913" s="17"/>
      <c r="C913" s="7"/>
    </row>
    <row r="914" spans="2:3" ht="12.75" customHeight="1">
      <c r="B914" s="17"/>
      <c r="C914" s="7"/>
    </row>
    <row r="915" spans="2:3" ht="12.75" customHeight="1">
      <c r="B915" s="17"/>
      <c r="C915" s="7"/>
    </row>
    <row r="916" spans="2:3" ht="12.75" customHeight="1">
      <c r="B916" s="17"/>
      <c r="C916" s="7"/>
    </row>
    <row r="917" spans="2:3" ht="12.75" customHeight="1">
      <c r="B917" s="17"/>
      <c r="C917" s="7"/>
    </row>
    <row r="918" spans="2:3" ht="12.75" customHeight="1">
      <c r="B918" s="17"/>
      <c r="C918" s="7"/>
    </row>
    <row r="919" spans="2:3" ht="12.75" customHeight="1">
      <c r="B919" s="17"/>
      <c r="C919" s="7"/>
    </row>
    <row r="920" spans="2:3" ht="12.75" customHeight="1">
      <c r="B920" s="17"/>
      <c r="C920" s="7"/>
    </row>
    <row r="921" spans="2:3" ht="12.75" customHeight="1">
      <c r="B921" s="17"/>
      <c r="C921" s="7"/>
    </row>
    <row r="922" spans="2:3" ht="12.75" customHeight="1">
      <c r="B922" s="17"/>
      <c r="C922" s="7"/>
    </row>
    <row r="923" spans="2:3" ht="12.75" customHeight="1">
      <c r="B923" s="17"/>
      <c r="C923" s="7"/>
    </row>
    <row r="924" spans="2:3" ht="12.75" customHeight="1">
      <c r="B924" s="17"/>
      <c r="C924" s="7"/>
    </row>
    <row r="925" spans="2:3" ht="12.75" customHeight="1">
      <c r="B925" s="17"/>
      <c r="C925" s="7"/>
    </row>
    <row r="926" spans="2:3" ht="12.75" customHeight="1">
      <c r="B926" s="17"/>
      <c r="C926" s="7"/>
    </row>
    <row r="927" spans="2:3" ht="12.75" customHeight="1">
      <c r="B927" s="17"/>
      <c r="C927" s="7"/>
    </row>
    <row r="928" spans="2:3" ht="12.75" customHeight="1">
      <c r="B928" s="17"/>
      <c r="C928" s="7"/>
    </row>
    <row r="929" spans="2:3" ht="12.75" customHeight="1">
      <c r="B929" s="17"/>
      <c r="C929" s="7"/>
    </row>
    <row r="930" spans="2:3" ht="12.75" customHeight="1">
      <c r="B930" s="17"/>
      <c r="C930" s="7"/>
    </row>
    <row r="931" spans="2:3" ht="12.75" customHeight="1">
      <c r="B931" s="17"/>
      <c r="C931" s="7"/>
    </row>
    <row r="932" spans="2:3" ht="12.75" customHeight="1">
      <c r="B932" s="17"/>
      <c r="C932" s="7"/>
    </row>
    <row r="933" spans="2:3" ht="12.75" customHeight="1">
      <c r="B933" s="17"/>
      <c r="C933" s="7"/>
    </row>
    <row r="934" spans="2:3" ht="12.75" customHeight="1">
      <c r="B934" s="17"/>
      <c r="C934" s="7"/>
    </row>
    <row r="935" spans="2:3" ht="12.75" customHeight="1">
      <c r="B935" s="17"/>
      <c r="C935" s="7"/>
    </row>
    <row r="936" spans="2:3" ht="12.75" customHeight="1">
      <c r="B936" s="17"/>
      <c r="C936" s="7"/>
    </row>
    <row r="937" spans="2:3" ht="12.75" customHeight="1">
      <c r="B937" s="17"/>
      <c r="C937" s="7"/>
    </row>
    <row r="938" spans="2:3" ht="12.75" customHeight="1">
      <c r="B938" s="17"/>
      <c r="C938" s="7"/>
    </row>
    <row r="939" spans="2:3" ht="12.75" customHeight="1">
      <c r="B939" s="17"/>
      <c r="C939" s="7"/>
    </row>
    <row r="940" spans="2:3" ht="12.75" customHeight="1">
      <c r="B940" s="17"/>
      <c r="C940" s="7"/>
    </row>
    <row r="941" spans="2:3" ht="12.75" customHeight="1">
      <c r="B941" s="17"/>
      <c r="C941" s="7"/>
    </row>
    <row r="942" spans="2:3" ht="12.75" customHeight="1">
      <c r="B942" s="17"/>
      <c r="C942" s="7"/>
    </row>
    <row r="943" spans="2:3" ht="12.75" customHeight="1">
      <c r="B943" s="17"/>
      <c r="C943" s="7"/>
    </row>
    <row r="944" spans="2:3" ht="12.75" customHeight="1">
      <c r="B944" s="17"/>
      <c r="C944" s="7"/>
    </row>
    <row r="945" spans="2:3" ht="12.75" customHeight="1">
      <c r="B945" s="17"/>
      <c r="C945" s="7"/>
    </row>
    <row r="946" spans="2:3" ht="12.75" customHeight="1">
      <c r="B946" s="17"/>
      <c r="C946" s="7"/>
    </row>
    <row r="947" spans="2:3" ht="12.75" customHeight="1">
      <c r="B947" s="17"/>
      <c r="C947" s="7"/>
    </row>
    <row r="948" spans="2:3" ht="12.75" customHeight="1">
      <c r="B948" s="17"/>
      <c r="C948" s="7"/>
    </row>
    <row r="949" spans="2:3" ht="12.75" customHeight="1">
      <c r="B949" s="17"/>
      <c r="C949" s="7"/>
    </row>
    <row r="950" spans="2:3" ht="12.75" customHeight="1">
      <c r="B950" s="17"/>
      <c r="C950" s="7"/>
    </row>
    <row r="951" spans="2:3" ht="12.75" customHeight="1">
      <c r="B951" s="17"/>
      <c r="C951" s="7"/>
    </row>
    <row r="952" spans="2:3" ht="12.75" customHeight="1">
      <c r="B952" s="17"/>
      <c r="C952" s="7"/>
    </row>
    <row r="953" spans="2:3" ht="12.75" customHeight="1">
      <c r="B953" s="17"/>
      <c r="C953" s="7"/>
    </row>
    <row r="954" spans="2:3" ht="12.75" customHeight="1">
      <c r="B954" s="17"/>
      <c r="C954" s="7"/>
    </row>
    <row r="955" spans="2:3" ht="12.75" customHeight="1">
      <c r="B955" s="17"/>
      <c r="C955" s="7"/>
    </row>
    <row r="956" spans="2:3" ht="12.75" customHeight="1">
      <c r="B956" s="17"/>
      <c r="C956" s="7"/>
    </row>
    <row r="957" spans="2:3" ht="12.75" customHeight="1">
      <c r="B957" s="17"/>
      <c r="C957" s="7"/>
    </row>
    <row r="958" spans="2:3" ht="12.75" customHeight="1">
      <c r="B958" s="17"/>
      <c r="C958" s="7"/>
    </row>
    <row r="959" spans="2:3" ht="12.75" customHeight="1">
      <c r="B959" s="17"/>
      <c r="C959" s="7"/>
    </row>
    <row r="960" spans="2:3" ht="12.75" customHeight="1">
      <c r="B960" s="17"/>
      <c r="C960" s="7"/>
    </row>
    <row r="961" spans="2:3" ht="12.75" customHeight="1">
      <c r="B961" s="17"/>
      <c r="C961" s="7"/>
    </row>
    <row r="962" spans="2:3" ht="12.75" customHeight="1">
      <c r="B962" s="17"/>
      <c r="C962" s="7"/>
    </row>
    <row r="963" spans="2:3" ht="12.75" customHeight="1">
      <c r="B963" s="17"/>
      <c r="C963" s="7"/>
    </row>
    <row r="964" spans="2:3" ht="12.75" customHeight="1">
      <c r="B964" s="17"/>
      <c r="C964" s="7"/>
    </row>
    <row r="965" spans="2:3" ht="12.75" customHeight="1">
      <c r="B965" s="17"/>
      <c r="C965" s="7"/>
    </row>
    <row r="966" spans="2:3" ht="12.75" customHeight="1">
      <c r="B966" s="17"/>
      <c r="C966" s="7"/>
    </row>
    <row r="967" spans="2:3" ht="12.75" customHeight="1">
      <c r="B967" s="17"/>
      <c r="C967" s="7"/>
    </row>
    <row r="968" spans="2:3" ht="12.75" customHeight="1">
      <c r="B968" s="17"/>
      <c r="C968" s="7"/>
    </row>
    <row r="969" spans="2:3" ht="12.75" customHeight="1">
      <c r="B969" s="17"/>
      <c r="C969" s="7"/>
    </row>
    <row r="970" spans="2:3" ht="12.75" customHeight="1">
      <c r="B970" s="17"/>
      <c r="C970" s="7"/>
    </row>
    <row r="971" spans="2:3" ht="12.75" customHeight="1">
      <c r="B971" s="17"/>
      <c r="C971" s="7"/>
    </row>
    <row r="972" spans="2:3" ht="12.75" customHeight="1">
      <c r="B972" s="17"/>
      <c r="C972" s="7"/>
    </row>
    <row r="973" spans="2:3" ht="12.75" customHeight="1">
      <c r="B973" s="17"/>
      <c r="C973" s="7"/>
    </row>
    <row r="974" spans="2:3" ht="12.75" customHeight="1">
      <c r="B974" s="17"/>
      <c r="C974" s="7"/>
    </row>
    <row r="975" spans="2:3" ht="12.75" customHeight="1">
      <c r="B975" s="17"/>
      <c r="C975" s="7"/>
    </row>
    <row r="976" spans="2:3" ht="12.75" customHeight="1">
      <c r="B976" s="17"/>
      <c r="C976" s="7"/>
    </row>
    <row r="977" spans="2:3" ht="12.75" customHeight="1">
      <c r="B977" s="17"/>
      <c r="C977" s="7"/>
    </row>
    <row r="978" spans="2:3" ht="12.75" customHeight="1">
      <c r="B978" s="17"/>
      <c r="C978" s="7"/>
    </row>
    <row r="979" spans="2:3" ht="12.75" customHeight="1">
      <c r="B979" s="17"/>
      <c r="C979" s="7"/>
    </row>
    <row r="980" spans="2:3" ht="12.75" customHeight="1">
      <c r="B980" s="17"/>
      <c r="C980" s="7"/>
    </row>
    <row r="981" spans="2:3" ht="12.75" customHeight="1">
      <c r="B981" s="17"/>
      <c r="C981" s="7"/>
    </row>
    <row r="982" spans="2:3" ht="12.75" customHeight="1">
      <c r="B982" s="17"/>
      <c r="C982" s="7"/>
    </row>
    <row r="983" spans="2:3" ht="12.75" customHeight="1">
      <c r="B983" s="17"/>
      <c r="C983" s="7"/>
    </row>
    <row r="984" spans="2:3" ht="12.75" customHeight="1">
      <c r="B984" s="17"/>
      <c r="C984" s="7"/>
    </row>
    <row r="985" spans="2:3" ht="12.75" customHeight="1">
      <c r="B985" s="17"/>
      <c r="C985" s="7"/>
    </row>
    <row r="986" spans="2:3" ht="12.75" customHeight="1">
      <c r="B986" s="17"/>
      <c r="C986" s="7"/>
    </row>
    <row r="987" spans="2:3" ht="12.75" customHeight="1">
      <c r="B987" s="17"/>
      <c r="C987" s="7"/>
    </row>
    <row r="988" spans="2:3" ht="12.75" customHeight="1">
      <c r="B988" s="17"/>
      <c r="C988" s="7"/>
    </row>
    <row r="989" spans="2:3" ht="12.75" customHeight="1">
      <c r="B989" s="17"/>
      <c r="C989" s="7"/>
    </row>
    <row r="990" spans="2:3" ht="12.75" customHeight="1">
      <c r="B990" s="17"/>
      <c r="C990" s="7"/>
    </row>
    <row r="991" spans="2:3" ht="12.75" customHeight="1">
      <c r="B991" s="17"/>
      <c r="C991" s="7"/>
    </row>
    <row r="992" spans="2:3" ht="12.75" customHeight="1">
      <c r="B992" s="17"/>
      <c r="C992" s="7"/>
    </row>
    <row r="993" spans="2:3" ht="12.75" customHeight="1">
      <c r="B993" s="17"/>
      <c r="C993" s="7"/>
    </row>
    <row r="994" spans="2:3" ht="12.75" customHeight="1">
      <c r="B994" s="17"/>
      <c r="C994" s="7"/>
    </row>
    <row r="995" spans="2:3" ht="12.75" customHeight="1">
      <c r="B995" s="17"/>
      <c r="C995" s="7"/>
    </row>
    <row r="996" spans="2:3" ht="12.75" customHeight="1">
      <c r="B996" s="17"/>
      <c r="C996" s="7"/>
    </row>
    <row r="997" spans="2:3" ht="12.75" customHeight="1">
      <c r="B997" s="17"/>
      <c r="C997" s="7"/>
    </row>
    <row r="998" spans="2:3" ht="12.75" customHeight="1">
      <c r="B998" s="17"/>
      <c r="C998" s="7"/>
    </row>
    <row r="999" spans="2:3" ht="12.75" customHeight="1">
      <c r="B999" s="17"/>
      <c r="C999" s="7"/>
    </row>
    <row r="1000" spans="2:3" ht="12.75" customHeight="1">
      <c r="B1000" s="17"/>
      <c r="C1000" s="7"/>
    </row>
    <row r="1001" spans="2:3" ht="12.75" customHeight="1">
      <c r="B1001" s="17"/>
      <c r="C1001" s="7"/>
    </row>
    <row r="1002" spans="2:3" ht="12.75" customHeight="1">
      <c r="B1002" s="17"/>
      <c r="C1002" s="7"/>
    </row>
    <row r="1003" spans="2:3" ht="12.75" customHeight="1">
      <c r="B1003" s="17"/>
      <c r="C1003" s="7"/>
    </row>
    <row r="1004" spans="2:3" ht="12.75" customHeight="1">
      <c r="B1004" s="17"/>
      <c r="C1004" s="7"/>
    </row>
    <row r="1005" spans="2:3" ht="12.75" customHeight="1">
      <c r="B1005" s="17"/>
      <c r="C1005" s="7"/>
    </row>
    <row r="1006" spans="2:3" ht="12.75" customHeight="1">
      <c r="B1006" s="17"/>
      <c r="C1006" s="7"/>
    </row>
    <row r="1007" spans="2:3" ht="12.75" customHeight="1">
      <c r="B1007" s="17"/>
      <c r="C1007" s="7"/>
    </row>
    <row r="1008" spans="2:3" ht="12.75" customHeight="1">
      <c r="B1008" s="17"/>
      <c r="C1008" s="7"/>
    </row>
    <row r="1009" spans="2:3" ht="12.75" customHeight="1">
      <c r="B1009" s="17"/>
      <c r="C1009" s="7"/>
    </row>
    <row r="1010" spans="2:3" ht="12.75" customHeight="1">
      <c r="B1010" s="17"/>
      <c r="C1010" s="7"/>
    </row>
    <row r="1011" spans="2:3" ht="12.75" customHeight="1">
      <c r="B1011" s="17"/>
      <c r="C1011" s="7"/>
    </row>
    <row r="1012" spans="2:3" ht="12.75" customHeight="1">
      <c r="B1012" s="17"/>
      <c r="C1012" s="7"/>
    </row>
    <row r="1013" spans="2:3" ht="12.75" customHeight="1">
      <c r="B1013" s="17"/>
      <c r="C1013" s="7"/>
    </row>
    <row r="1014" spans="2:3" ht="12.75" customHeight="1">
      <c r="B1014" s="17"/>
      <c r="C1014" s="7"/>
    </row>
    <row r="1015" spans="2:3" ht="12.75" customHeight="1">
      <c r="B1015" s="17"/>
      <c r="C1015" s="7"/>
    </row>
    <row r="1016" spans="2:3" ht="12.75" customHeight="1">
      <c r="B1016" s="17"/>
      <c r="C1016" s="7"/>
    </row>
    <row r="1017" spans="2:3" ht="12.75" customHeight="1">
      <c r="B1017" s="17"/>
      <c r="C1017" s="7"/>
    </row>
    <row r="1018" spans="2:3" ht="12.75" customHeight="1">
      <c r="B1018" s="17"/>
      <c r="C1018" s="7"/>
    </row>
    <row r="1019" spans="2:3" ht="12.75" customHeight="1">
      <c r="B1019" s="17"/>
      <c r="C1019" s="7"/>
    </row>
    <row r="1020" spans="2:3" ht="12.75" customHeight="1">
      <c r="B1020" s="17"/>
      <c r="C1020" s="7"/>
    </row>
    <row r="1021" spans="2:3" ht="12.75" customHeight="1">
      <c r="B1021" s="17"/>
      <c r="C1021" s="7"/>
    </row>
    <row r="1022" spans="2:3" ht="12.75" customHeight="1">
      <c r="B1022" s="17"/>
      <c r="C1022" s="7"/>
    </row>
    <row r="1023" spans="2:3" ht="12.75" customHeight="1">
      <c r="B1023" s="17"/>
      <c r="C1023" s="7"/>
    </row>
    <row r="1024" spans="2:3" ht="12.75" customHeight="1">
      <c r="B1024" s="17"/>
      <c r="C1024" s="7"/>
    </row>
    <row r="1025" spans="2:3" ht="12.75" customHeight="1">
      <c r="B1025" s="17"/>
      <c r="C1025" s="7"/>
    </row>
    <row r="1026" spans="2:3" ht="12.75" customHeight="1">
      <c r="B1026" s="17"/>
      <c r="C1026" s="7"/>
    </row>
    <row r="1027" spans="2:3" ht="12.75" customHeight="1">
      <c r="B1027" s="17"/>
      <c r="C1027" s="7"/>
    </row>
    <row r="1028" spans="2:3" ht="12.75" customHeight="1">
      <c r="B1028" s="17"/>
      <c r="C1028" s="7"/>
    </row>
    <row r="1029" spans="2:3" ht="12.75" customHeight="1">
      <c r="B1029" s="17"/>
      <c r="C1029" s="7"/>
    </row>
    <row r="1030" spans="2:3" ht="12.75" customHeight="1">
      <c r="B1030" s="17"/>
      <c r="C1030" s="7"/>
    </row>
    <row r="1031" spans="2:3" ht="12.75" customHeight="1">
      <c r="B1031" s="17"/>
      <c r="C1031" s="7"/>
    </row>
    <row r="1032" spans="2:3" ht="12.75" customHeight="1">
      <c r="B1032" s="17"/>
      <c r="C1032" s="7"/>
    </row>
    <row r="1033" spans="2:3" ht="12.75" customHeight="1">
      <c r="B1033" s="17"/>
      <c r="C1033" s="7"/>
    </row>
    <row r="1034" spans="2:3" ht="12.75" customHeight="1">
      <c r="B1034" s="17"/>
      <c r="C1034" s="7"/>
    </row>
    <row r="1035" spans="2:3" ht="12.75" customHeight="1">
      <c r="B1035" s="17"/>
      <c r="C1035" s="7"/>
    </row>
    <row r="1036" spans="2:3" ht="12.75" customHeight="1">
      <c r="B1036" s="17"/>
      <c r="C1036" s="7"/>
    </row>
    <row r="1037" spans="2:3" ht="12.75" customHeight="1">
      <c r="B1037" s="17"/>
      <c r="C1037" s="7"/>
    </row>
    <row r="1038" spans="2:3" ht="12.75" customHeight="1">
      <c r="B1038" s="17"/>
      <c r="C1038" s="7"/>
    </row>
    <row r="1039" spans="2:3" ht="12.75" customHeight="1">
      <c r="B1039" s="17"/>
      <c r="C1039" s="7"/>
    </row>
    <row r="1040" spans="2:3" ht="12.75" customHeight="1">
      <c r="B1040" s="17"/>
      <c r="C1040" s="7"/>
    </row>
    <row r="1041" spans="2:3" ht="12.75" customHeight="1">
      <c r="B1041" s="17"/>
      <c r="C1041" s="7"/>
    </row>
    <row r="1042" spans="2:3" ht="12.75" customHeight="1">
      <c r="B1042" s="17"/>
      <c r="C1042" s="7"/>
    </row>
    <row r="1043" spans="2:3" ht="12.75" customHeight="1">
      <c r="B1043" s="17"/>
      <c r="C1043" s="7"/>
    </row>
    <row r="1044" spans="2:3" ht="12.75" customHeight="1">
      <c r="B1044" s="17"/>
      <c r="C1044" s="7"/>
    </row>
  </sheetData>
  <mergeCells count="16">
    <mergeCell ref="I450:K450"/>
    <mergeCell ref="I451:K451"/>
    <mergeCell ref="I453:K453"/>
    <mergeCell ref="I454:K454"/>
    <mergeCell ref="C590:D590"/>
    <mergeCell ref="C510:F510"/>
    <mergeCell ref="C511:F511"/>
    <mergeCell ref="C512:F512"/>
    <mergeCell ref="C513:F513"/>
    <mergeCell ref="C514:F514"/>
    <mergeCell ref="C515:F515"/>
    <mergeCell ref="C516:F516"/>
    <mergeCell ref="C517:F517"/>
    <mergeCell ref="C587:D587"/>
    <mergeCell ref="C588:D588"/>
    <mergeCell ref="C589:D589"/>
  </mergeCells>
  <phoneticPr fontId="5"/>
  <conditionalFormatting sqref="C13:C30">
    <cfRule type="duplicateValues" dxfId="9" priority="10"/>
  </conditionalFormatting>
  <conditionalFormatting sqref="I1">
    <cfRule type="expression" dxfId="8" priority="1">
      <formula>AND($S$1="disabled",$S1="yes")</formula>
    </cfRule>
    <cfRule type="expression" dxfId="7" priority="2">
      <formula xml:space="preserve"> AND($A1 = "begin group",$X1 = "section")</formula>
    </cfRule>
    <cfRule type="expression" dxfId="6" priority="3">
      <formula>AND($A1 = "end group", $X1 = "section")</formula>
    </cfRule>
    <cfRule type="expression" dxfId="5" priority="4">
      <formula xml:space="preserve"> AND($A1="begin group",$X1="gg")</formula>
    </cfRule>
    <cfRule type="expression" dxfId="4" priority="5">
      <formula xml:space="preserve"> AND($A1 = "end group",$X1 = "gg")</formula>
    </cfRule>
    <cfRule type="expression" dxfId="3" priority="6">
      <formula>AND($A1="begin group",$X1="ggg")</formula>
    </cfRule>
    <cfRule type="expression" dxfId="2" priority="7">
      <formula>AND($A1="end group",$X1="ggg")</formula>
    </cfRule>
    <cfRule type="expression" dxfId="1" priority="8">
      <formula>AND($A1 = "begin repeat",$X1 = "rr")</formula>
    </cfRule>
    <cfRule type="expression" dxfId="0" priority="9">
      <formula>AND($A1 = "end repeat", $X1 = "rr")</formula>
    </cfRule>
  </conditionalFormatting>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abSelected="1" topLeftCell="B1" workbookViewId="0">
      <selection activeCell="F13" sqref="F13"/>
    </sheetView>
  </sheetViews>
  <sheetFormatPr defaultColWidth="8.85546875" defaultRowHeight="12.75"/>
  <cols>
    <col min="1" max="1" width="66.85546875" customWidth="1"/>
    <col min="2" max="2" width="40.140625" bestFit="1" customWidth="1"/>
    <col min="3" max="3" width="11" bestFit="1" customWidth="1"/>
    <col min="4" max="4" width="31.7109375" customWidth="1"/>
    <col min="5" max="5" width="11.5703125" bestFit="1" customWidth="1"/>
    <col min="6" max="6" width="15.7109375" bestFit="1" customWidth="1"/>
    <col min="7" max="7" width="18.28515625" bestFit="1" customWidth="1"/>
    <col min="8" max="8" width="11.7109375" bestFit="1" customWidth="1"/>
  </cols>
  <sheetData>
    <row r="1" spans="1:8" ht="15.75">
      <c r="A1" s="3" t="s">
        <v>1543</v>
      </c>
      <c r="B1" s="4" t="s">
        <v>1544</v>
      </c>
      <c r="C1" s="4" t="s">
        <v>1545</v>
      </c>
      <c r="D1" s="3" t="s">
        <v>2770</v>
      </c>
      <c r="E1" s="3" t="s">
        <v>1546</v>
      </c>
      <c r="F1" s="5" t="s">
        <v>1547</v>
      </c>
      <c r="G1" s="6" t="s">
        <v>1548</v>
      </c>
      <c r="H1" s="6" t="s">
        <v>1549</v>
      </c>
    </row>
    <row r="2" spans="1:8">
      <c r="A2" s="1" t="str">
        <f ca="1">CONCATENATE("[GAMBIA] Endline F1 - Health Facility Assessment-Test", " (G",H2," v",C2,")")</f>
        <v>[GAMBIA] Endline F1 - Health Facility Assessment-Test (G15 v1804100823)</v>
      </c>
      <c r="B2" s="1" t="str">
        <f>CONCATENATE("GAMBIA_EL_F1_HF_TEST_G",H2)</f>
        <v>GAMBIA_EL_F1_HF_TEST_G15</v>
      </c>
      <c r="C2" t="str">
        <f ca="1">TEXT(YEAR(NOW())-2000, "00") &amp; TEXT(MONTH(NOW()), "00") &amp; TEXT(DAY(NOW()), "00") &amp; TEXT(HOUR(NOW()), "00") &amp; TEXT(MINUTE(NOW()), "00")</f>
        <v>1804100823</v>
      </c>
      <c r="D2" t="s">
        <v>5283</v>
      </c>
      <c r="G2" s="1" t="s">
        <v>2771</v>
      </c>
      <c r="H2">
        <v>15</v>
      </c>
    </row>
    <row r="3" spans="1:8">
      <c r="A3" s="1"/>
      <c r="B3" s="1"/>
    </row>
  </sheetData>
  <phoneticPr fontId="5"/>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133"/>
  <sheetViews>
    <sheetView workbookViewId="0">
      <selection activeCell="E1" sqref="E1"/>
    </sheetView>
  </sheetViews>
  <sheetFormatPr defaultRowHeight="12.75"/>
  <cols>
    <col min="1" max="1" width="10.42578125" customWidth="1"/>
    <col min="2" max="2" width="13.7109375" customWidth="1"/>
    <col min="3" max="3" width="13.42578125" customWidth="1"/>
    <col min="4" max="4" width="14.85546875" customWidth="1"/>
    <col min="5" max="5" width="18.42578125" customWidth="1"/>
    <col min="6" max="6" width="13.42578125" customWidth="1"/>
    <col min="7" max="7" width="17.42578125" bestFit="1" customWidth="1"/>
    <col min="8" max="8" width="10.85546875" bestFit="1" customWidth="1"/>
    <col min="9" max="9" width="14.28515625" customWidth="1"/>
    <col min="10" max="10" width="23.5703125" customWidth="1"/>
    <col min="11" max="11" width="16.140625" customWidth="1"/>
    <col min="12" max="12" width="15.140625" customWidth="1"/>
    <col min="13" max="13" width="22.42578125" customWidth="1"/>
    <col min="14" max="14" width="19.5703125" customWidth="1"/>
    <col min="15" max="15" width="21.28515625" customWidth="1"/>
    <col min="16" max="16" width="31" bestFit="1" customWidth="1"/>
    <col min="17" max="17" width="15.5703125" customWidth="1"/>
  </cols>
  <sheetData>
    <row r="1" spans="1:17">
      <c r="A1" t="s">
        <v>4335</v>
      </c>
      <c r="B1" t="s">
        <v>4248</v>
      </c>
      <c r="C1" t="s">
        <v>4247</v>
      </c>
      <c r="D1" t="s">
        <v>4336</v>
      </c>
      <c r="E1" t="s">
        <v>4337</v>
      </c>
      <c r="F1" t="s">
        <v>5285</v>
      </c>
      <c r="G1" t="s">
        <v>5286</v>
      </c>
      <c r="H1" t="s">
        <v>5459</v>
      </c>
      <c r="I1" t="s">
        <v>2704</v>
      </c>
      <c r="J1" t="s">
        <v>2697</v>
      </c>
      <c r="K1" t="s">
        <v>2706</v>
      </c>
      <c r="L1" t="s">
        <v>2707</v>
      </c>
      <c r="M1" t="s">
        <v>5460</v>
      </c>
      <c r="N1" t="s">
        <v>5461</v>
      </c>
      <c r="O1" t="s">
        <v>2705</v>
      </c>
      <c r="P1" t="s">
        <v>2698</v>
      </c>
      <c r="Q1" t="s">
        <v>5462</v>
      </c>
    </row>
    <row r="2" spans="1:17">
      <c r="A2">
        <v>1</v>
      </c>
      <c r="B2">
        <v>3</v>
      </c>
      <c r="C2" t="s">
        <v>5463</v>
      </c>
      <c r="D2">
        <v>1</v>
      </c>
      <c r="E2" t="s">
        <v>4374</v>
      </c>
      <c r="F2">
        <v>1</v>
      </c>
      <c r="G2" t="s">
        <v>4375</v>
      </c>
      <c r="H2" t="s">
        <v>5464</v>
      </c>
      <c r="I2">
        <v>1</v>
      </c>
      <c r="J2" t="s">
        <v>5465</v>
      </c>
      <c r="K2">
        <v>1</v>
      </c>
      <c r="L2">
        <v>51203</v>
      </c>
      <c r="M2">
        <v>1</v>
      </c>
      <c r="N2">
        <v>5102</v>
      </c>
      <c r="O2">
        <v>1</v>
      </c>
      <c r="P2" t="s">
        <v>5466</v>
      </c>
      <c r="Q2">
        <v>51201</v>
      </c>
    </row>
    <row r="3" spans="1:17">
      <c r="A3">
        <v>2</v>
      </c>
      <c r="B3">
        <v>3</v>
      </c>
      <c r="C3" t="s">
        <v>5463</v>
      </c>
      <c r="D3">
        <v>1</v>
      </c>
      <c r="E3" t="s">
        <v>4374</v>
      </c>
      <c r="F3">
        <v>1</v>
      </c>
      <c r="G3" t="s">
        <v>4375</v>
      </c>
      <c r="H3" t="s">
        <v>5464</v>
      </c>
      <c r="I3">
        <v>1</v>
      </c>
      <c r="J3" t="s">
        <v>5465</v>
      </c>
      <c r="K3">
        <v>2</v>
      </c>
      <c r="L3">
        <v>51204</v>
      </c>
      <c r="M3">
        <v>2</v>
      </c>
      <c r="N3">
        <v>5104</v>
      </c>
      <c r="O3">
        <v>1</v>
      </c>
      <c r="P3" t="s">
        <v>5466</v>
      </c>
      <c r="Q3">
        <v>51201</v>
      </c>
    </row>
    <row r="4" spans="1:17">
      <c r="A4">
        <v>3</v>
      </c>
      <c r="B4">
        <v>3</v>
      </c>
      <c r="C4" t="s">
        <v>5463</v>
      </c>
      <c r="D4">
        <v>1</v>
      </c>
      <c r="E4" t="s">
        <v>4374</v>
      </c>
      <c r="F4">
        <v>1</v>
      </c>
      <c r="G4" t="s">
        <v>4375</v>
      </c>
      <c r="H4" t="s">
        <v>5464</v>
      </c>
      <c r="I4">
        <v>1</v>
      </c>
      <c r="J4" t="s">
        <v>5465</v>
      </c>
      <c r="K4">
        <v>3</v>
      </c>
      <c r="L4">
        <v>51134</v>
      </c>
      <c r="M4">
        <v>3</v>
      </c>
      <c r="N4">
        <v>3701</v>
      </c>
      <c r="O4">
        <v>2</v>
      </c>
      <c r="P4" t="s">
        <v>5467</v>
      </c>
      <c r="Q4">
        <v>51101</v>
      </c>
    </row>
    <row r="5" spans="1:17">
      <c r="A5">
        <v>4</v>
      </c>
      <c r="B5">
        <v>3</v>
      </c>
      <c r="C5" t="s">
        <v>5463</v>
      </c>
      <c r="D5">
        <v>1</v>
      </c>
      <c r="E5" t="s">
        <v>4374</v>
      </c>
      <c r="F5">
        <v>1</v>
      </c>
      <c r="G5" t="s">
        <v>4375</v>
      </c>
      <c r="H5" t="s">
        <v>5464</v>
      </c>
      <c r="I5">
        <v>1</v>
      </c>
      <c r="J5" t="s">
        <v>5465</v>
      </c>
      <c r="K5">
        <v>4</v>
      </c>
      <c r="L5">
        <v>51213</v>
      </c>
      <c r="M5">
        <v>4</v>
      </c>
      <c r="N5">
        <v>6901</v>
      </c>
      <c r="O5">
        <v>3</v>
      </c>
      <c r="P5" t="s">
        <v>5468</v>
      </c>
      <c r="Q5">
        <v>51233</v>
      </c>
    </row>
    <row r="6" spans="1:17">
      <c r="A6">
        <v>5</v>
      </c>
      <c r="B6">
        <v>3</v>
      </c>
      <c r="C6" t="s">
        <v>5463</v>
      </c>
      <c r="D6">
        <v>1</v>
      </c>
      <c r="E6" t="s">
        <v>4374</v>
      </c>
      <c r="F6">
        <v>1</v>
      </c>
      <c r="G6" t="s">
        <v>4375</v>
      </c>
      <c r="H6" t="s">
        <v>5464</v>
      </c>
      <c r="I6">
        <v>1</v>
      </c>
      <c r="J6" t="s">
        <v>5465</v>
      </c>
      <c r="K6">
        <v>5</v>
      </c>
      <c r="L6">
        <v>51123</v>
      </c>
      <c r="M6">
        <v>5</v>
      </c>
      <c r="N6">
        <v>4801</v>
      </c>
      <c r="O6">
        <v>4</v>
      </c>
      <c r="P6" t="s">
        <v>5469</v>
      </c>
      <c r="Q6">
        <v>51117</v>
      </c>
    </row>
    <row r="7" spans="1:17">
      <c r="A7">
        <v>6</v>
      </c>
      <c r="B7">
        <v>3</v>
      </c>
      <c r="C7" t="s">
        <v>5463</v>
      </c>
      <c r="D7">
        <v>1</v>
      </c>
      <c r="E7" t="s">
        <v>4374</v>
      </c>
      <c r="F7">
        <v>1</v>
      </c>
      <c r="G7" t="s">
        <v>4375</v>
      </c>
      <c r="H7" t="s">
        <v>5464</v>
      </c>
      <c r="I7">
        <v>1</v>
      </c>
      <c r="J7" t="s">
        <v>5465</v>
      </c>
      <c r="K7">
        <v>6</v>
      </c>
      <c r="L7">
        <v>51132</v>
      </c>
      <c r="M7">
        <v>6</v>
      </c>
      <c r="N7">
        <v>4901</v>
      </c>
      <c r="O7">
        <v>5</v>
      </c>
      <c r="P7" t="s">
        <v>5470</v>
      </c>
      <c r="Q7">
        <v>51118</v>
      </c>
    </row>
    <row r="8" spans="1:17">
      <c r="A8">
        <v>7</v>
      </c>
      <c r="B8">
        <v>3</v>
      </c>
      <c r="C8" t="s">
        <v>5463</v>
      </c>
      <c r="D8">
        <v>2</v>
      </c>
      <c r="E8" t="s">
        <v>4381</v>
      </c>
      <c r="F8">
        <v>2</v>
      </c>
      <c r="G8" t="s">
        <v>4382</v>
      </c>
      <c r="H8" t="s">
        <v>5464</v>
      </c>
      <c r="I8">
        <v>2</v>
      </c>
      <c r="J8" t="s">
        <v>5471</v>
      </c>
      <c r="K8">
        <v>7</v>
      </c>
      <c r="L8">
        <v>50109</v>
      </c>
      <c r="M8">
        <v>7</v>
      </c>
      <c r="N8">
        <v>2005</v>
      </c>
      <c r="O8">
        <v>6</v>
      </c>
      <c r="P8" t="s">
        <v>5472</v>
      </c>
      <c r="Q8">
        <v>50129</v>
      </c>
    </row>
    <row r="9" spans="1:17">
      <c r="A9">
        <v>8</v>
      </c>
      <c r="B9">
        <v>3</v>
      </c>
      <c r="C9" t="s">
        <v>5463</v>
      </c>
      <c r="D9">
        <v>2</v>
      </c>
      <c r="E9" t="s">
        <v>4381</v>
      </c>
      <c r="F9">
        <v>2</v>
      </c>
      <c r="G9" t="s">
        <v>4382</v>
      </c>
      <c r="H9" t="s">
        <v>5464</v>
      </c>
      <c r="I9">
        <v>2</v>
      </c>
      <c r="J9" t="s">
        <v>5471</v>
      </c>
      <c r="K9">
        <v>8</v>
      </c>
      <c r="L9">
        <v>50131</v>
      </c>
      <c r="M9">
        <v>8</v>
      </c>
      <c r="N9">
        <v>2116</v>
      </c>
      <c r="O9">
        <v>7</v>
      </c>
      <c r="P9" t="s">
        <v>5473</v>
      </c>
      <c r="Q9">
        <v>50130</v>
      </c>
    </row>
    <row r="10" spans="1:17">
      <c r="A10">
        <v>9</v>
      </c>
      <c r="B10">
        <v>3</v>
      </c>
      <c r="C10" t="s">
        <v>5463</v>
      </c>
      <c r="D10">
        <v>2</v>
      </c>
      <c r="E10" t="s">
        <v>4381</v>
      </c>
      <c r="F10">
        <v>2</v>
      </c>
      <c r="G10" t="s">
        <v>4382</v>
      </c>
      <c r="H10" t="s">
        <v>5464</v>
      </c>
      <c r="I10">
        <v>2</v>
      </c>
      <c r="J10" t="s">
        <v>5471</v>
      </c>
      <c r="K10">
        <v>9</v>
      </c>
      <c r="L10">
        <v>50161</v>
      </c>
      <c r="M10">
        <v>9</v>
      </c>
      <c r="N10">
        <v>604</v>
      </c>
      <c r="O10">
        <v>8</v>
      </c>
      <c r="P10" t="s">
        <v>5474</v>
      </c>
      <c r="Q10">
        <v>50110</v>
      </c>
    </row>
    <row r="11" spans="1:17">
      <c r="A11">
        <v>10</v>
      </c>
      <c r="B11">
        <v>3</v>
      </c>
      <c r="C11" t="s">
        <v>5463</v>
      </c>
      <c r="D11">
        <v>2</v>
      </c>
      <c r="E11" t="s">
        <v>4381</v>
      </c>
      <c r="F11">
        <v>2</v>
      </c>
      <c r="G11" t="s">
        <v>4382</v>
      </c>
      <c r="H11" t="s">
        <v>5464</v>
      </c>
      <c r="I11">
        <v>2</v>
      </c>
      <c r="J11" t="s">
        <v>5471</v>
      </c>
      <c r="K11">
        <v>10</v>
      </c>
      <c r="L11">
        <v>50231</v>
      </c>
      <c r="M11">
        <v>10</v>
      </c>
      <c r="N11">
        <v>2903</v>
      </c>
      <c r="O11">
        <v>9</v>
      </c>
      <c r="P11" t="s">
        <v>5475</v>
      </c>
      <c r="Q11">
        <v>50219</v>
      </c>
    </row>
    <row r="12" spans="1:17">
      <c r="A12">
        <v>11</v>
      </c>
      <c r="B12">
        <v>3</v>
      </c>
      <c r="C12" t="s">
        <v>5463</v>
      </c>
      <c r="D12">
        <v>2</v>
      </c>
      <c r="E12" t="s">
        <v>4381</v>
      </c>
      <c r="F12">
        <v>2</v>
      </c>
      <c r="G12" t="s">
        <v>4382</v>
      </c>
      <c r="H12" t="s">
        <v>5464</v>
      </c>
      <c r="I12">
        <v>2</v>
      </c>
      <c r="J12" t="s">
        <v>5471</v>
      </c>
      <c r="K12">
        <v>11</v>
      </c>
      <c r="L12">
        <v>50218</v>
      </c>
      <c r="M12">
        <v>11</v>
      </c>
      <c r="N12">
        <v>3201</v>
      </c>
      <c r="O12">
        <v>10</v>
      </c>
      <c r="P12" t="s">
        <v>5476</v>
      </c>
      <c r="Q12">
        <v>50223</v>
      </c>
    </row>
    <row r="13" spans="1:17">
      <c r="A13">
        <v>12</v>
      </c>
      <c r="B13">
        <v>3</v>
      </c>
      <c r="C13" t="s">
        <v>5463</v>
      </c>
      <c r="D13">
        <v>2</v>
      </c>
      <c r="E13" t="s">
        <v>4381</v>
      </c>
      <c r="F13">
        <v>2</v>
      </c>
      <c r="G13" t="s">
        <v>4382</v>
      </c>
      <c r="H13" t="s">
        <v>5464</v>
      </c>
      <c r="I13">
        <v>2</v>
      </c>
      <c r="J13" t="s">
        <v>5471</v>
      </c>
      <c r="K13">
        <v>12</v>
      </c>
      <c r="L13">
        <v>50225</v>
      </c>
      <c r="M13">
        <v>12</v>
      </c>
      <c r="N13">
        <v>3302</v>
      </c>
      <c r="O13">
        <v>11</v>
      </c>
      <c r="P13" t="s">
        <v>5477</v>
      </c>
      <c r="Q13">
        <v>50225</v>
      </c>
    </row>
    <row r="14" spans="1:17">
      <c r="A14">
        <v>13</v>
      </c>
      <c r="B14">
        <v>3</v>
      </c>
      <c r="C14" t="s">
        <v>5463</v>
      </c>
      <c r="D14">
        <v>3</v>
      </c>
      <c r="E14" t="s">
        <v>4378</v>
      </c>
      <c r="F14">
        <v>3</v>
      </c>
      <c r="G14" t="s">
        <v>4379</v>
      </c>
      <c r="H14" t="s">
        <v>5464</v>
      </c>
      <c r="I14">
        <v>1</v>
      </c>
      <c r="J14" t="s">
        <v>5465</v>
      </c>
      <c r="K14">
        <v>13</v>
      </c>
      <c r="L14">
        <v>51103</v>
      </c>
      <c r="M14">
        <v>13</v>
      </c>
      <c r="N14">
        <v>4104</v>
      </c>
      <c r="O14">
        <v>12</v>
      </c>
      <c r="P14" t="s">
        <v>5478</v>
      </c>
      <c r="Q14">
        <v>51105</v>
      </c>
    </row>
    <row r="15" spans="1:17">
      <c r="A15">
        <v>14</v>
      </c>
      <c r="B15">
        <v>3</v>
      </c>
      <c r="C15" t="s">
        <v>5463</v>
      </c>
      <c r="D15">
        <v>3</v>
      </c>
      <c r="E15" t="s">
        <v>4378</v>
      </c>
      <c r="F15">
        <v>3</v>
      </c>
      <c r="G15" t="s">
        <v>4379</v>
      </c>
      <c r="H15" t="s">
        <v>5464</v>
      </c>
      <c r="I15">
        <v>1</v>
      </c>
      <c r="J15" t="s">
        <v>5465</v>
      </c>
      <c r="K15">
        <v>14</v>
      </c>
      <c r="L15">
        <v>51217</v>
      </c>
      <c r="M15">
        <v>14</v>
      </c>
      <c r="N15">
        <v>5901</v>
      </c>
      <c r="O15">
        <v>13</v>
      </c>
      <c r="P15" t="s">
        <v>5479</v>
      </c>
      <c r="Q15">
        <v>51212</v>
      </c>
    </row>
    <row r="16" spans="1:17">
      <c r="A16">
        <v>15</v>
      </c>
      <c r="B16">
        <v>3</v>
      </c>
      <c r="C16" t="s">
        <v>5463</v>
      </c>
      <c r="D16">
        <v>3</v>
      </c>
      <c r="E16" t="s">
        <v>4378</v>
      </c>
      <c r="F16">
        <v>3</v>
      </c>
      <c r="G16" t="s">
        <v>4379</v>
      </c>
      <c r="H16" t="s">
        <v>5464</v>
      </c>
      <c r="I16">
        <v>1</v>
      </c>
      <c r="J16" t="s">
        <v>5465</v>
      </c>
      <c r="K16">
        <v>15</v>
      </c>
      <c r="L16">
        <v>51215</v>
      </c>
      <c r="M16">
        <v>15</v>
      </c>
      <c r="N16">
        <v>6001</v>
      </c>
      <c r="O16">
        <v>14</v>
      </c>
      <c r="P16" t="s">
        <v>5480</v>
      </c>
      <c r="Q16">
        <v>51216</v>
      </c>
    </row>
    <row r="17" spans="1:17">
      <c r="A17">
        <v>16</v>
      </c>
      <c r="B17">
        <v>3</v>
      </c>
      <c r="C17" t="s">
        <v>5463</v>
      </c>
      <c r="D17">
        <v>3</v>
      </c>
      <c r="E17" t="s">
        <v>4378</v>
      </c>
      <c r="F17">
        <v>3</v>
      </c>
      <c r="G17" t="s">
        <v>4379</v>
      </c>
      <c r="H17" t="s">
        <v>5464</v>
      </c>
      <c r="I17">
        <v>1</v>
      </c>
      <c r="J17" t="s">
        <v>5465</v>
      </c>
      <c r="K17">
        <v>16</v>
      </c>
      <c r="L17">
        <v>51109</v>
      </c>
      <c r="M17">
        <v>16</v>
      </c>
      <c r="N17">
        <v>4401</v>
      </c>
      <c r="O17">
        <v>15</v>
      </c>
      <c r="P17" t="s">
        <v>5481</v>
      </c>
      <c r="Q17">
        <v>51113</v>
      </c>
    </row>
    <row r="18" spans="1:17">
      <c r="A18">
        <v>17</v>
      </c>
      <c r="B18">
        <v>3</v>
      </c>
      <c r="C18" t="s">
        <v>5463</v>
      </c>
      <c r="D18">
        <v>3</v>
      </c>
      <c r="E18" t="s">
        <v>4378</v>
      </c>
      <c r="F18">
        <v>3</v>
      </c>
      <c r="G18" t="s">
        <v>4379</v>
      </c>
      <c r="H18" t="s">
        <v>5464</v>
      </c>
      <c r="I18">
        <v>1</v>
      </c>
      <c r="J18" t="s">
        <v>5465</v>
      </c>
      <c r="K18">
        <v>17</v>
      </c>
      <c r="L18">
        <v>51227</v>
      </c>
      <c r="M18">
        <v>17</v>
      </c>
      <c r="N18">
        <v>6401</v>
      </c>
      <c r="O18">
        <v>16</v>
      </c>
      <c r="P18" t="s">
        <v>5482</v>
      </c>
      <c r="Q18">
        <v>51224</v>
      </c>
    </row>
    <row r="19" spans="1:17">
      <c r="A19">
        <v>18</v>
      </c>
      <c r="B19">
        <v>3</v>
      </c>
      <c r="C19" t="s">
        <v>5463</v>
      </c>
      <c r="D19">
        <v>3</v>
      </c>
      <c r="E19" t="s">
        <v>4378</v>
      </c>
      <c r="F19">
        <v>3</v>
      </c>
      <c r="G19" t="s">
        <v>4379</v>
      </c>
      <c r="H19" t="s">
        <v>5464</v>
      </c>
      <c r="I19">
        <v>1</v>
      </c>
      <c r="J19" t="s">
        <v>5465</v>
      </c>
      <c r="K19">
        <v>18</v>
      </c>
      <c r="L19">
        <v>51222</v>
      </c>
      <c r="M19">
        <v>18</v>
      </c>
      <c r="N19">
        <v>6701</v>
      </c>
      <c r="O19">
        <v>17</v>
      </c>
      <c r="P19" t="s">
        <v>5483</v>
      </c>
      <c r="Q19">
        <v>51228</v>
      </c>
    </row>
    <row r="20" spans="1:17">
      <c r="A20">
        <v>19</v>
      </c>
      <c r="B20">
        <v>3</v>
      </c>
      <c r="C20" t="s">
        <v>5463</v>
      </c>
      <c r="D20">
        <v>4</v>
      </c>
      <c r="E20" t="s">
        <v>4376</v>
      </c>
      <c r="F20">
        <v>4</v>
      </c>
      <c r="G20" t="s">
        <v>4377</v>
      </c>
      <c r="H20" t="s">
        <v>5464</v>
      </c>
      <c r="I20">
        <v>3</v>
      </c>
      <c r="J20" t="s">
        <v>5484</v>
      </c>
      <c r="K20">
        <v>19</v>
      </c>
      <c r="L20">
        <v>52111</v>
      </c>
      <c r="M20">
        <v>19</v>
      </c>
      <c r="N20">
        <v>7501</v>
      </c>
      <c r="O20">
        <v>18</v>
      </c>
      <c r="P20" t="s">
        <v>5485</v>
      </c>
      <c r="Q20">
        <v>52110</v>
      </c>
    </row>
    <row r="21" spans="1:17">
      <c r="A21">
        <v>20</v>
      </c>
      <c r="B21">
        <v>3</v>
      </c>
      <c r="C21" t="s">
        <v>5463</v>
      </c>
      <c r="D21">
        <v>4</v>
      </c>
      <c r="E21" t="s">
        <v>4376</v>
      </c>
      <c r="F21">
        <v>4</v>
      </c>
      <c r="G21" t="s">
        <v>4377</v>
      </c>
      <c r="H21" t="s">
        <v>5464</v>
      </c>
      <c r="I21">
        <v>3</v>
      </c>
      <c r="J21" t="s">
        <v>5484</v>
      </c>
      <c r="K21">
        <v>20</v>
      </c>
      <c r="L21">
        <v>52221</v>
      </c>
      <c r="M21">
        <v>20</v>
      </c>
      <c r="N21">
        <v>8502</v>
      </c>
      <c r="O21">
        <v>19</v>
      </c>
      <c r="P21" t="s">
        <v>5486</v>
      </c>
      <c r="Q21">
        <v>52207</v>
      </c>
    </row>
    <row r="22" spans="1:17">
      <c r="A22">
        <v>21</v>
      </c>
      <c r="B22">
        <v>3</v>
      </c>
      <c r="C22" t="s">
        <v>5463</v>
      </c>
      <c r="D22">
        <v>4</v>
      </c>
      <c r="E22" t="s">
        <v>4376</v>
      </c>
      <c r="F22">
        <v>4</v>
      </c>
      <c r="G22" t="s">
        <v>4377</v>
      </c>
      <c r="H22" t="s">
        <v>5464</v>
      </c>
      <c r="I22">
        <v>3</v>
      </c>
      <c r="J22" t="s">
        <v>5484</v>
      </c>
      <c r="K22">
        <v>21</v>
      </c>
      <c r="L22">
        <v>52101</v>
      </c>
      <c r="M22">
        <v>21</v>
      </c>
      <c r="N22">
        <v>7601</v>
      </c>
      <c r="O22">
        <v>20</v>
      </c>
      <c r="P22" t="s">
        <v>5487</v>
      </c>
      <c r="Q22">
        <v>52111</v>
      </c>
    </row>
    <row r="23" spans="1:17">
      <c r="A23">
        <v>22</v>
      </c>
      <c r="B23">
        <v>3</v>
      </c>
      <c r="C23" t="s">
        <v>5463</v>
      </c>
      <c r="D23">
        <v>4</v>
      </c>
      <c r="E23" t="s">
        <v>4376</v>
      </c>
      <c r="F23">
        <v>4</v>
      </c>
      <c r="G23" t="s">
        <v>4377</v>
      </c>
      <c r="H23" t="s">
        <v>5464</v>
      </c>
      <c r="I23">
        <v>3</v>
      </c>
      <c r="J23" t="s">
        <v>5484</v>
      </c>
      <c r="K23">
        <v>22</v>
      </c>
      <c r="L23">
        <v>52218</v>
      </c>
      <c r="M23">
        <v>22</v>
      </c>
      <c r="N23">
        <v>9501</v>
      </c>
      <c r="O23">
        <v>21</v>
      </c>
      <c r="P23" t="s">
        <v>5488</v>
      </c>
      <c r="Q23">
        <v>52223</v>
      </c>
    </row>
    <row r="24" spans="1:17">
      <c r="A24">
        <v>23</v>
      </c>
      <c r="B24">
        <v>3</v>
      </c>
      <c r="C24" t="s">
        <v>5463</v>
      </c>
      <c r="D24">
        <v>4</v>
      </c>
      <c r="E24" t="s">
        <v>4376</v>
      </c>
      <c r="F24">
        <v>4</v>
      </c>
      <c r="G24" t="s">
        <v>4377</v>
      </c>
      <c r="H24" t="s">
        <v>5464</v>
      </c>
      <c r="I24">
        <v>3</v>
      </c>
      <c r="J24" t="s">
        <v>5484</v>
      </c>
      <c r="K24">
        <v>23</v>
      </c>
      <c r="L24">
        <v>52207</v>
      </c>
      <c r="M24">
        <v>23</v>
      </c>
      <c r="N24">
        <v>8901</v>
      </c>
      <c r="O24">
        <v>22</v>
      </c>
      <c r="P24" t="s">
        <v>5489</v>
      </c>
      <c r="Q24">
        <v>52213</v>
      </c>
    </row>
    <row r="25" spans="1:17">
      <c r="A25">
        <v>24</v>
      </c>
      <c r="B25">
        <v>3</v>
      </c>
      <c r="C25" t="s">
        <v>5463</v>
      </c>
      <c r="D25">
        <v>4</v>
      </c>
      <c r="E25" t="s">
        <v>4376</v>
      </c>
      <c r="F25">
        <v>4</v>
      </c>
      <c r="G25" t="s">
        <v>4377</v>
      </c>
      <c r="H25" t="s">
        <v>5464</v>
      </c>
      <c r="I25">
        <v>3</v>
      </c>
      <c r="J25" t="s">
        <v>5484</v>
      </c>
      <c r="K25">
        <v>24</v>
      </c>
      <c r="L25">
        <v>52118</v>
      </c>
      <c r="M25">
        <v>24</v>
      </c>
      <c r="N25">
        <v>7803</v>
      </c>
      <c r="O25">
        <v>23</v>
      </c>
      <c r="P25" t="s">
        <v>5490</v>
      </c>
      <c r="Q25">
        <v>52114</v>
      </c>
    </row>
    <row r="26" spans="1:17">
      <c r="A26">
        <v>25</v>
      </c>
      <c r="B26">
        <v>3</v>
      </c>
      <c r="C26" t="s">
        <v>5463</v>
      </c>
      <c r="D26">
        <v>5</v>
      </c>
      <c r="E26" t="s">
        <v>4380</v>
      </c>
      <c r="F26">
        <v>5</v>
      </c>
      <c r="G26" t="s">
        <v>5491</v>
      </c>
      <c r="H26" t="s">
        <v>5464</v>
      </c>
      <c r="I26">
        <v>1</v>
      </c>
      <c r="J26" t="s">
        <v>5465</v>
      </c>
      <c r="K26">
        <v>25</v>
      </c>
      <c r="L26">
        <v>51114</v>
      </c>
      <c r="M26">
        <v>25</v>
      </c>
      <c r="N26">
        <v>3801</v>
      </c>
      <c r="O26">
        <v>24</v>
      </c>
      <c r="P26" t="s">
        <v>5492</v>
      </c>
      <c r="Q26">
        <v>51102</v>
      </c>
    </row>
    <row r="27" spans="1:17">
      <c r="A27">
        <v>26</v>
      </c>
      <c r="B27">
        <v>3</v>
      </c>
      <c r="C27" t="s">
        <v>5463</v>
      </c>
      <c r="D27">
        <v>5</v>
      </c>
      <c r="E27" t="s">
        <v>4380</v>
      </c>
      <c r="F27">
        <v>5</v>
      </c>
      <c r="G27" t="s">
        <v>5491</v>
      </c>
      <c r="H27" t="s">
        <v>5464</v>
      </c>
      <c r="I27">
        <v>1</v>
      </c>
      <c r="J27" t="s">
        <v>5465</v>
      </c>
      <c r="K27">
        <v>26</v>
      </c>
      <c r="L27">
        <v>51112</v>
      </c>
      <c r="M27">
        <v>26</v>
      </c>
      <c r="N27">
        <v>4501</v>
      </c>
      <c r="O27">
        <v>25</v>
      </c>
      <c r="P27" t="s">
        <v>5493</v>
      </c>
      <c r="Q27">
        <v>51114</v>
      </c>
    </row>
    <row r="28" spans="1:17">
      <c r="A28">
        <v>27</v>
      </c>
      <c r="B28">
        <v>3</v>
      </c>
      <c r="C28" t="s">
        <v>5463</v>
      </c>
      <c r="D28">
        <v>5</v>
      </c>
      <c r="E28" t="s">
        <v>4380</v>
      </c>
      <c r="F28">
        <v>5</v>
      </c>
      <c r="G28" t="s">
        <v>5491</v>
      </c>
      <c r="H28" t="s">
        <v>5464</v>
      </c>
      <c r="I28">
        <v>1</v>
      </c>
      <c r="J28" t="s">
        <v>5465</v>
      </c>
      <c r="K28">
        <v>27</v>
      </c>
      <c r="L28">
        <v>51111</v>
      </c>
      <c r="M28">
        <v>27</v>
      </c>
      <c r="N28">
        <v>4502</v>
      </c>
      <c r="O28">
        <v>25</v>
      </c>
      <c r="P28" t="s">
        <v>5493</v>
      </c>
      <c r="Q28">
        <v>51114</v>
      </c>
    </row>
    <row r="29" spans="1:17">
      <c r="A29">
        <v>28</v>
      </c>
      <c r="B29">
        <v>3</v>
      </c>
      <c r="C29" t="s">
        <v>5463</v>
      </c>
      <c r="D29">
        <v>5</v>
      </c>
      <c r="E29" t="s">
        <v>4380</v>
      </c>
      <c r="F29">
        <v>5</v>
      </c>
      <c r="G29" t="s">
        <v>5491</v>
      </c>
      <c r="H29" t="s">
        <v>5464</v>
      </c>
      <c r="I29">
        <v>1</v>
      </c>
      <c r="J29" t="s">
        <v>5465</v>
      </c>
      <c r="K29">
        <v>28</v>
      </c>
      <c r="L29">
        <v>51118</v>
      </c>
      <c r="M29">
        <v>28</v>
      </c>
      <c r="N29">
        <v>4602</v>
      </c>
      <c r="O29">
        <v>26</v>
      </c>
      <c r="P29" t="s">
        <v>5494</v>
      </c>
      <c r="Q29">
        <v>51115</v>
      </c>
    </row>
    <row r="30" spans="1:17">
      <c r="A30">
        <v>29</v>
      </c>
      <c r="B30">
        <v>3</v>
      </c>
      <c r="C30" t="s">
        <v>5463</v>
      </c>
      <c r="D30">
        <v>5</v>
      </c>
      <c r="E30" t="s">
        <v>4380</v>
      </c>
      <c r="F30">
        <v>5</v>
      </c>
      <c r="G30" t="s">
        <v>5491</v>
      </c>
      <c r="H30" t="s">
        <v>5464</v>
      </c>
      <c r="I30">
        <v>1</v>
      </c>
      <c r="J30" t="s">
        <v>5465</v>
      </c>
      <c r="K30">
        <v>29</v>
      </c>
      <c r="L30">
        <v>51117</v>
      </c>
      <c r="M30">
        <v>29</v>
      </c>
      <c r="N30">
        <v>4601</v>
      </c>
      <c r="O30">
        <v>27</v>
      </c>
      <c r="P30" t="s">
        <v>5495</v>
      </c>
      <c r="Q30">
        <v>51115</v>
      </c>
    </row>
    <row r="31" spans="1:17">
      <c r="A31">
        <v>30</v>
      </c>
      <c r="B31">
        <v>3</v>
      </c>
      <c r="C31" t="s">
        <v>5463</v>
      </c>
      <c r="D31">
        <v>5</v>
      </c>
      <c r="E31" t="s">
        <v>4380</v>
      </c>
      <c r="F31">
        <v>5</v>
      </c>
      <c r="G31" t="s">
        <v>5491</v>
      </c>
      <c r="H31" t="s">
        <v>5464</v>
      </c>
      <c r="I31">
        <v>1</v>
      </c>
      <c r="J31" t="s">
        <v>5465</v>
      </c>
      <c r="K31">
        <v>30</v>
      </c>
      <c r="L31">
        <v>51110</v>
      </c>
      <c r="M31">
        <v>30</v>
      </c>
      <c r="N31">
        <v>4001</v>
      </c>
      <c r="O31">
        <v>28</v>
      </c>
      <c r="P31" t="s">
        <v>5496</v>
      </c>
      <c r="Q31">
        <v>51104</v>
      </c>
    </row>
    <row r="32" spans="1:17" hidden="1">
      <c r="A32">
        <v>31</v>
      </c>
      <c r="B32">
        <v>2</v>
      </c>
      <c r="C32" t="s">
        <v>4339</v>
      </c>
      <c r="D32">
        <v>6</v>
      </c>
      <c r="E32" t="s">
        <v>4340</v>
      </c>
      <c r="F32">
        <v>6</v>
      </c>
      <c r="G32" t="s">
        <v>4341</v>
      </c>
      <c r="H32" t="s">
        <v>5497</v>
      </c>
      <c r="I32">
        <v>4</v>
      </c>
      <c r="J32" t="s">
        <v>5498</v>
      </c>
      <c r="K32">
        <v>31</v>
      </c>
      <c r="L32">
        <v>74403</v>
      </c>
      <c r="M32">
        <v>31</v>
      </c>
      <c r="N32">
        <v>21903</v>
      </c>
      <c r="O32">
        <v>29</v>
      </c>
      <c r="P32" t="s">
        <v>5499</v>
      </c>
      <c r="Q32">
        <v>74403</v>
      </c>
    </row>
    <row r="33" spans="1:17" hidden="1">
      <c r="A33">
        <v>32</v>
      </c>
      <c r="B33">
        <v>2</v>
      </c>
      <c r="C33" t="s">
        <v>4339</v>
      </c>
      <c r="D33">
        <v>6</v>
      </c>
      <c r="E33" t="s">
        <v>4340</v>
      </c>
      <c r="F33">
        <v>6</v>
      </c>
      <c r="G33" t="s">
        <v>4341</v>
      </c>
      <c r="H33" t="s">
        <v>5497</v>
      </c>
      <c r="I33">
        <v>4</v>
      </c>
      <c r="J33" t="s">
        <v>5498</v>
      </c>
      <c r="K33">
        <v>32</v>
      </c>
      <c r="L33">
        <v>74425</v>
      </c>
      <c r="M33">
        <v>32</v>
      </c>
      <c r="N33">
        <v>22001</v>
      </c>
      <c r="O33">
        <v>30</v>
      </c>
      <c r="P33" t="s">
        <v>5500</v>
      </c>
      <c r="Q33">
        <v>74404</v>
      </c>
    </row>
    <row r="34" spans="1:17" hidden="1">
      <c r="A34">
        <v>33</v>
      </c>
      <c r="B34">
        <v>2</v>
      </c>
      <c r="C34" t="s">
        <v>4339</v>
      </c>
      <c r="D34">
        <v>6</v>
      </c>
      <c r="E34" t="s">
        <v>4340</v>
      </c>
      <c r="F34">
        <v>6</v>
      </c>
      <c r="G34" t="s">
        <v>4341</v>
      </c>
      <c r="H34" t="s">
        <v>5497</v>
      </c>
      <c r="I34">
        <v>4</v>
      </c>
      <c r="J34" t="s">
        <v>5498</v>
      </c>
      <c r="K34">
        <v>33</v>
      </c>
      <c r="L34">
        <v>74308</v>
      </c>
      <c r="M34">
        <v>33</v>
      </c>
      <c r="N34">
        <v>21501</v>
      </c>
      <c r="O34">
        <v>31</v>
      </c>
      <c r="P34" t="s">
        <v>5501</v>
      </c>
      <c r="Q34">
        <v>74305</v>
      </c>
    </row>
    <row r="35" spans="1:17" hidden="1">
      <c r="A35">
        <v>34</v>
      </c>
      <c r="B35">
        <v>2</v>
      </c>
      <c r="C35" t="s">
        <v>4339</v>
      </c>
      <c r="D35">
        <v>6</v>
      </c>
      <c r="E35" t="s">
        <v>4340</v>
      </c>
      <c r="F35">
        <v>6</v>
      </c>
      <c r="G35" t="s">
        <v>4341</v>
      </c>
      <c r="H35" t="s">
        <v>5497</v>
      </c>
      <c r="I35">
        <v>4</v>
      </c>
      <c r="J35" t="s">
        <v>5498</v>
      </c>
      <c r="K35">
        <v>34</v>
      </c>
      <c r="L35">
        <v>74216</v>
      </c>
      <c r="M35">
        <v>34</v>
      </c>
      <c r="N35">
        <v>21001</v>
      </c>
      <c r="O35">
        <v>32</v>
      </c>
      <c r="P35" t="s">
        <v>5502</v>
      </c>
      <c r="Q35">
        <v>74205</v>
      </c>
    </row>
    <row r="36" spans="1:17" hidden="1">
      <c r="A36">
        <v>35</v>
      </c>
      <c r="B36">
        <v>2</v>
      </c>
      <c r="C36" t="s">
        <v>4339</v>
      </c>
      <c r="D36">
        <v>6</v>
      </c>
      <c r="E36" t="s">
        <v>4340</v>
      </c>
      <c r="F36">
        <v>6</v>
      </c>
      <c r="G36" t="s">
        <v>4341</v>
      </c>
      <c r="H36" t="s">
        <v>5497</v>
      </c>
      <c r="I36">
        <v>4</v>
      </c>
      <c r="J36" t="s">
        <v>5498</v>
      </c>
      <c r="K36">
        <v>35</v>
      </c>
      <c r="L36">
        <v>74213</v>
      </c>
      <c r="M36">
        <v>35</v>
      </c>
      <c r="N36">
        <v>21102</v>
      </c>
      <c r="O36">
        <v>33</v>
      </c>
      <c r="P36" t="s">
        <v>5503</v>
      </c>
      <c r="Q36">
        <v>74206</v>
      </c>
    </row>
    <row r="37" spans="1:17" hidden="1">
      <c r="A37">
        <v>36</v>
      </c>
      <c r="B37">
        <v>2</v>
      </c>
      <c r="C37" t="s">
        <v>4339</v>
      </c>
      <c r="D37">
        <v>6</v>
      </c>
      <c r="E37" t="s">
        <v>4340</v>
      </c>
      <c r="F37">
        <v>6</v>
      </c>
      <c r="G37" t="s">
        <v>4341</v>
      </c>
      <c r="H37" t="s">
        <v>5497</v>
      </c>
      <c r="I37">
        <v>4</v>
      </c>
      <c r="J37" t="s">
        <v>5498</v>
      </c>
      <c r="K37">
        <v>36</v>
      </c>
      <c r="L37">
        <v>74217</v>
      </c>
      <c r="M37">
        <v>36</v>
      </c>
      <c r="N37">
        <v>21301</v>
      </c>
      <c r="O37">
        <v>34</v>
      </c>
      <c r="P37" t="s">
        <v>5504</v>
      </c>
      <c r="Q37">
        <v>74209</v>
      </c>
    </row>
    <row r="38" spans="1:17" hidden="1">
      <c r="A38">
        <v>37</v>
      </c>
      <c r="B38">
        <v>2</v>
      </c>
      <c r="C38" t="s">
        <v>4339</v>
      </c>
      <c r="D38">
        <v>7</v>
      </c>
      <c r="E38" t="s">
        <v>4342</v>
      </c>
      <c r="F38">
        <v>7</v>
      </c>
      <c r="G38" t="s">
        <v>4343</v>
      </c>
      <c r="H38" t="s">
        <v>5497</v>
      </c>
      <c r="I38">
        <v>5</v>
      </c>
      <c r="J38" t="s">
        <v>5505</v>
      </c>
      <c r="K38">
        <v>37</v>
      </c>
      <c r="L38">
        <v>73234</v>
      </c>
      <c r="M38">
        <v>37</v>
      </c>
      <c r="N38">
        <v>18401</v>
      </c>
      <c r="O38">
        <v>35</v>
      </c>
      <c r="P38" t="s">
        <v>5506</v>
      </c>
      <c r="Q38">
        <v>73201</v>
      </c>
    </row>
    <row r="39" spans="1:17" hidden="1">
      <c r="A39">
        <v>38</v>
      </c>
      <c r="B39">
        <v>2</v>
      </c>
      <c r="C39" t="s">
        <v>4339</v>
      </c>
      <c r="D39">
        <v>7</v>
      </c>
      <c r="E39" t="s">
        <v>4342</v>
      </c>
      <c r="F39">
        <v>7</v>
      </c>
      <c r="G39" t="s">
        <v>4343</v>
      </c>
      <c r="H39" t="s">
        <v>5497</v>
      </c>
      <c r="I39">
        <v>5</v>
      </c>
      <c r="J39" t="s">
        <v>5505</v>
      </c>
      <c r="K39">
        <v>38</v>
      </c>
      <c r="L39">
        <v>73311</v>
      </c>
      <c r="M39">
        <v>38</v>
      </c>
      <c r="N39">
        <v>19601</v>
      </c>
      <c r="O39">
        <v>36</v>
      </c>
      <c r="P39" t="s">
        <v>5507</v>
      </c>
      <c r="Q39">
        <v>73303</v>
      </c>
    </row>
    <row r="40" spans="1:17" hidden="1">
      <c r="A40">
        <v>39</v>
      </c>
      <c r="B40">
        <v>2</v>
      </c>
      <c r="C40" t="s">
        <v>4339</v>
      </c>
      <c r="D40">
        <v>7</v>
      </c>
      <c r="E40" t="s">
        <v>4342</v>
      </c>
      <c r="F40">
        <v>7</v>
      </c>
      <c r="G40" t="s">
        <v>4343</v>
      </c>
      <c r="H40" t="s">
        <v>5497</v>
      </c>
      <c r="I40">
        <v>5</v>
      </c>
      <c r="J40" t="s">
        <v>5505</v>
      </c>
      <c r="K40">
        <v>39</v>
      </c>
      <c r="L40">
        <v>73130</v>
      </c>
      <c r="M40">
        <v>39</v>
      </c>
      <c r="N40">
        <v>18003</v>
      </c>
      <c r="O40">
        <v>37</v>
      </c>
      <c r="P40" t="s">
        <v>5508</v>
      </c>
      <c r="Q40">
        <v>73108</v>
      </c>
    </row>
    <row r="41" spans="1:17" hidden="1">
      <c r="A41">
        <v>40</v>
      </c>
      <c r="B41">
        <v>2</v>
      </c>
      <c r="C41" t="s">
        <v>4339</v>
      </c>
      <c r="D41">
        <v>7</v>
      </c>
      <c r="E41" t="s">
        <v>4342</v>
      </c>
      <c r="F41">
        <v>7</v>
      </c>
      <c r="G41" t="s">
        <v>4343</v>
      </c>
      <c r="H41" t="s">
        <v>5497</v>
      </c>
      <c r="I41">
        <v>5</v>
      </c>
      <c r="J41" t="s">
        <v>5505</v>
      </c>
      <c r="K41">
        <v>40</v>
      </c>
      <c r="L41">
        <v>73124</v>
      </c>
      <c r="M41">
        <v>40</v>
      </c>
      <c r="N41">
        <v>18104</v>
      </c>
      <c r="O41">
        <v>38</v>
      </c>
      <c r="P41" t="s">
        <v>5509</v>
      </c>
      <c r="Q41">
        <v>73111</v>
      </c>
    </row>
    <row r="42" spans="1:17" hidden="1">
      <c r="A42">
        <v>41</v>
      </c>
      <c r="B42">
        <v>2</v>
      </c>
      <c r="C42" t="s">
        <v>4339</v>
      </c>
      <c r="D42">
        <v>7</v>
      </c>
      <c r="E42" t="s">
        <v>4342</v>
      </c>
      <c r="F42">
        <v>7</v>
      </c>
      <c r="G42" t="s">
        <v>4343</v>
      </c>
      <c r="H42" t="s">
        <v>5497</v>
      </c>
      <c r="I42">
        <v>5</v>
      </c>
      <c r="J42" t="s">
        <v>5505</v>
      </c>
      <c r="K42">
        <v>41</v>
      </c>
      <c r="L42">
        <v>73122</v>
      </c>
      <c r="M42">
        <v>41</v>
      </c>
      <c r="N42">
        <v>18107</v>
      </c>
      <c r="O42">
        <v>38</v>
      </c>
      <c r="P42" t="s">
        <v>5509</v>
      </c>
      <c r="Q42">
        <v>73111</v>
      </c>
    </row>
    <row r="43" spans="1:17" hidden="1">
      <c r="A43">
        <v>42</v>
      </c>
      <c r="B43">
        <v>2</v>
      </c>
      <c r="C43" t="s">
        <v>4339</v>
      </c>
      <c r="D43">
        <v>7</v>
      </c>
      <c r="E43" t="s">
        <v>4342</v>
      </c>
      <c r="F43">
        <v>7</v>
      </c>
      <c r="G43" t="s">
        <v>4343</v>
      </c>
      <c r="H43" t="s">
        <v>5497</v>
      </c>
      <c r="I43">
        <v>5</v>
      </c>
      <c r="J43" t="s">
        <v>5505</v>
      </c>
      <c r="K43">
        <v>42</v>
      </c>
      <c r="L43">
        <v>73217</v>
      </c>
      <c r="M43">
        <v>42</v>
      </c>
      <c r="N43">
        <v>19303</v>
      </c>
      <c r="O43">
        <v>39</v>
      </c>
      <c r="P43" t="s">
        <v>5510</v>
      </c>
      <c r="Q43">
        <v>73221</v>
      </c>
    </row>
    <row r="44" spans="1:17" hidden="1">
      <c r="A44">
        <v>43</v>
      </c>
      <c r="B44">
        <v>2</v>
      </c>
      <c r="C44" t="s">
        <v>4339</v>
      </c>
      <c r="D44">
        <v>8</v>
      </c>
      <c r="E44" t="s">
        <v>4350</v>
      </c>
      <c r="F44">
        <v>8</v>
      </c>
      <c r="G44" t="s">
        <v>4351</v>
      </c>
      <c r="H44" t="s">
        <v>4353</v>
      </c>
      <c r="I44">
        <v>6</v>
      </c>
      <c r="J44" t="s">
        <v>5511</v>
      </c>
      <c r="K44">
        <v>43</v>
      </c>
      <c r="L44">
        <v>62122</v>
      </c>
      <c r="M44">
        <v>43</v>
      </c>
      <c r="N44">
        <v>11101</v>
      </c>
      <c r="O44">
        <v>40</v>
      </c>
      <c r="P44" t="s">
        <v>5512</v>
      </c>
      <c r="Q44">
        <v>62101</v>
      </c>
    </row>
    <row r="45" spans="1:17" hidden="1">
      <c r="A45">
        <v>44</v>
      </c>
      <c r="B45">
        <v>2</v>
      </c>
      <c r="C45" t="s">
        <v>4339</v>
      </c>
      <c r="D45">
        <v>8</v>
      </c>
      <c r="E45" t="s">
        <v>4350</v>
      </c>
      <c r="F45">
        <v>8</v>
      </c>
      <c r="G45" t="s">
        <v>4351</v>
      </c>
      <c r="H45" t="s">
        <v>4353</v>
      </c>
      <c r="I45">
        <v>7</v>
      </c>
      <c r="J45" t="s">
        <v>5513</v>
      </c>
      <c r="K45">
        <v>44</v>
      </c>
      <c r="L45">
        <v>61110</v>
      </c>
      <c r="M45">
        <v>44</v>
      </c>
      <c r="N45">
        <v>10302</v>
      </c>
      <c r="O45">
        <v>41</v>
      </c>
      <c r="P45" t="s">
        <v>5514</v>
      </c>
      <c r="Q45">
        <v>61113</v>
      </c>
    </row>
    <row r="46" spans="1:17" hidden="1">
      <c r="A46">
        <v>45</v>
      </c>
      <c r="B46">
        <v>2</v>
      </c>
      <c r="C46" t="s">
        <v>4339</v>
      </c>
      <c r="D46">
        <v>8</v>
      </c>
      <c r="E46" t="s">
        <v>4350</v>
      </c>
      <c r="F46">
        <v>8</v>
      </c>
      <c r="G46" t="s">
        <v>4351</v>
      </c>
      <c r="H46" t="s">
        <v>4353</v>
      </c>
      <c r="I46">
        <v>6</v>
      </c>
      <c r="J46" t="s">
        <v>5511</v>
      </c>
      <c r="K46">
        <v>45</v>
      </c>
      <c r="L46">
        <v>62120</v>
      </c>
      <c r="M46">
        <v>45</v>
      </c>
      <c r="N46">
        <v>11401</v>
      </c>
      <c r="O46">
        <v>42</v>
      </c>
      <c r="P46" t="s">
        <v>5515</v>
      </c>
      <c r="Q46">
        <v>62116</v>
      </c>
    </row>
    <row r="47" spans="1:17" hidden="1">
      <c r="A47">
        <v>46</v>
      </c>
      <c r="B47">
        <v>2</v>
      </c>
      <c r="C47" t="s">
        <v>4339</v>
      </c>
      <c r="D47">
        <v>8</v>
      </c>
      <c r="E47" t="s">
        <v>4350</v>
      </c>
      <c r="F47">
        <v>8</v>
      </c>
      <c r="G47" t="s">
        <v>4351</v>
      </c>
      <c r="H47" t="s">
        <v>4353</v>
      </c>
      <c r="I47">
        <v>6</v>
      </c>
      <c r="J47" t="s">
        <v>5511</v>
      </c>
      <c r="K47">
        <v>45</v>
      </c>
      <c r="L47">
        <v>62120</v>
      </c>
      <c r="M47">
        <v>46</v>
      </c>
      <c r="N47">
        <v>11701</v>
      </c>
      <c r="O47">
        <v>43</v>
      </c>
      <c r="P47" t="s">
        <v>5516</v>
      </c>
      <c r="Q47">
        <v>62121</v>
      </c>
    </row>
    <row r="48" spans="1:17" hidden="1">
      <c r="A48">
        <v>47</v>
      </c>
      <c r="B48">
        <v>2</v>
      </c>
      <c r="C48" t="s">
        <v>4339</v>
      </c>
      <c r="D48">
        <v>8</v>
      </c>
      <c r="E48" t="s">
        <v>4350</v>
      </c>
      <c r="F48">
        <v>8</v>
      </c>
      <c r="G48" t="s">
        <v>4351</v>
      </c>
      <c r="H48" t="s">
        <v>4353</v>
      </c>
      <c r="I48">
        <v>6</v>
      </c>
      <c r="J48" t="s">
        <v>5511</v>
      </c>
      <c r="K48">
        <v>46</v>
      </c>
      <c r="L48">
        <v>62109</v>
      </c>
      <c r="M48">
        <v>47</v>
      </c>
      <c r="N48">
        <v>11801</v>
      </c>
      <c r="O48">
        <v>44</v>
      </c>
      <c r="P48" t="s">
        <v>5517</v>
      </c>
      <c r="Q48">
        <v>62129</v>
      </c>
    </row>
    <row r="49" spans="1:17" hidden="1">
      <c r="A49">
        <v>48</v>
      </c>
      <c r="B49">
        <v>2</v>
      </c>
      <c r="C49" t="s">
        <v>4339</v>
      </c>
      <c r="D49">
        <v>8</v>
      </c>
      <c r="E49" t="s">
        <v>4350</v>
      </c>
      <c r="F49">
        <v>8</v>
      </c>
      <c r="G49" t="s">
        <v>4351</v>
      </c>
      <c r="H49" t="s">
        <v>4353</v>
      </c>
      <c r="I49">
        <v>6</v>
      </c>
      <c r="J49" t="s">
        <v>5511</v>
      </c>
      <c r="K49">
        <v>47</v>
      </c>
      <c r="L49">
        <v>62116</v>
      </c>
      <c r="M49">
        <v>48</v>
      </c>
      <c r="N49">
        <v>11501</v>
      </c>
      <c r="O49">
        <v>45</v>
      </c>
      <c r="P49" t="s">
        <v>5518</v>
      </c>
      <c r="Q49">
        <v>62118</v>
      </c>
    </row>
    <row r="50" spans="1:17" hidden="1">
      <c r="A50">
        <v>49</v>
      </c>
      <c r="B50">
        <v>2</v>
      </c>
      <c r="C50" t="s">
        <v>4339</v>
      </c>
      <c r="D50">
        <v>9</v>
      </c>
      <c r="E50" t="s">
        <v>4346</v>
      </c>
      <c r="F50">
        <v>9</v>
      </c>
      <c r="G50" t="s">
        <v>4347</v>
      </c>
      <c r="H50" t="s">
        <v>5497</v>
      </c>
      <c r="I50">
        <v>8</v>
      </c>
      <c r="J50" t="s">
        <v>5519</v>
      </c>
      <c r="K50">
        <v>48</v>
      </c>
      <c r="L50">
        <v>71113</v>
      </c>
      <c r="M50">
        <v>49</v>
      </c>
      <c r="N50">
        <v>15801</v>
      </c>
      <c r="O50">
        <v>46</v>
      </c>
      <c r="P50" t="s">
        <v>5520</v>
      </c>
      <c r="Q50">
        <v>71111</v>
      </c>
    </row>
    <row r="51" spans="1:17" hidden="1">
      <c r="A51">
        <v>50</v>
      </c>
      <c r="B51">
        <v>2</v>
      </c>
      <c r="C51" t="s">
        <v>4339</v>
      </c>
      <c r="D51">
        <v>9</v>
      </c>
      <c r="E51" t="s">
        <v>4346</v>
      </c>
      <c r="F51">
        <v>9</v>
      </c>
      <c r="G51" t="s">
        <v>4347</v>
      </c>
      <c r="H51" t="s">
        <v>5497</v>
      </c>
      <c r="I51">
        <v>9</v>
      </c>
      <c r="J51" t="s">
        <v>5521</v>
      </c>
      <c r="K51">
        <v>49</v>
      </c>
      <c r="L51">
        <v>70107</v>
      </c>
      <c r="M51">
        <v>50</v>
      </c>
      <c r="N51">
        <v>15301</v>
      </c>
      <c r="O51">
        <v>47</v>
      </c>
      <c r="P51" t="s">
        <v>5522</v>
      </c>
      <c r="Q51">
        <v>70111</v>
      </c>
    </row>
    <row r="52" spans="1:17" hidden="1">
      <c r="A52">
        <v>51</v>
      </c>
      <c r="B52">
        <v>2</v>
      </c>
      <c r="C52" t="s">
        <v>4339</v>
      </c>
      <c r="D52">
        <v>9</v>
      </c>
      <c r="E52" t="s">
        <v>4346</v>
      </c>
      <c r="F52">
        <v>9</v>
      </c>
      <c r="G52" t="s">
        <v>4347</v>
      </c>
      <c r="H52" t="s">
        <v>5497</v>
      </c>
      <c r="I52">
        <v>8</v>
      </c>
      <c r="J52" t="s">
        <v>5519</v>
      </c>
      <c r="K52">
        <v>50</v>
      </c>
      <c r="L52">
        <v>71105</v>
      </c>
      <c r="M52">
        <v>51</v>
      </c>
      <c r="N52">
        <v>15701</v>
      </c>
      <c r="O52">
        <v>48</v>
      </c>
      <c r="P52" t="s">
        <v>5523</v>
      </c>
      <c r="Q52">
        <v>71110</v>
      </c>
    </row>
    <row r="53" spans="1:17" hidden="1">
      <c r="A53">
        <v>52</v>
      </c>
      <c r="B53">
        <v>2</v>
      </c>
      <c r="C53" t="s">
        <v>4339</v>
      </c>
      <c r="D53">
        <v>9</v>
      </c>
      <c r="E53" t="s">
        <v>4346</v>
      </c>
      <c r="F53">
        <v>9</v>
      </c>
      <c r="G53" t="s">
        <v>4347</v>
      </c>
      <c r="H53" t="s">
        <v>4353</v>
      </c>
      <c r="I53">
        <v>10</v>
      </c>
      <c r="J53" t="s">
        <v>5524</v>
      </c>
      <c r="K53">
        <v>51</v>
      </c>
      <c r="L53">
        <v>70110</v>
      </c>
      <c r="M53">
        <v>52</v>
      </c>
      <c r="N53">
        <v>15501</v>
      </c>
      <c r="O53">
        <v>49</v>
      </c>
      <c r="P53" t="s">
        <v>5525</v>
      </c>
      <c r="Q53">
        <v>70125</v>
      </c>
    </row>
    <row r="54" spans="1:17" hidden="1">
      <c r="A54">
        <v>53</v>
      </c>
      <c r="B54">
        <v>2</v>
      </c>
      <c r="C54" t="s">
        <v>4339</v>
      </c>
      <c r="D54">
        <v>9</v>
      </c>
      <c r="E54" t="s">
        <v>4346</v>
      </c>
      <c r="F54">
        <v>9</v>
      </c>
      <c r="G54" t="s">
        <v>4347</v>
      </c>
      <c r="H54" t="s">
        <v>5497</v>
      </c>
      <c r="I54">
        <v>8</v>
      </c>
      <c r="J54" t="s">
        <v>5519</v>
      </c>
      <c r="K54">
        <v>52</v>
      </c>
      <c r="L54">
        <v>71119</v>
      </c>
      <c r="M54">
        <v>53</v>
      </c>
      <c r="N54">
        <v>15901</v>
      </c>
      <c r="O54">
        <v>50</v>
      </c>
      <c r="P54" t="s">
        <v>5526</v>
      </c>
      <c r="Q54">
        <v>71122</v>
      </c>
    </row>
    <row r="55" spans="1:17" hidden="1">
      <c r="A55">
        <v>54</v>
      </c>
      <c r="B55">
        <v>2</v>
      </c>
      <c r="C55" t="s">
        <v>4339</v>
      </c>
      <c r="D55">
        <v>9</v>
      </c>
      <c r="E55" t="s">
        <v>4346</v>
      </c>
      <c r="F55">
        <v>9</v>
      </c>
      <c r="G55" t="s">
        <v>4347</v>
      </c>
      <c r="H55" t="s">
        <v>5497</v>
      </c>
      <c r="I55">
        <v>8</v>
      </c>
      <c r="J55" t="s">
        <v>5519</v>
      </c>
      <c r="K55">
        <v>53</v>
      </c>
      <c r="L55">
        <v>71101</v>
      </c>
      <c r="M55">
        <v>54</v>
      </c>
      <c r="N55">
        <v>16101</v>
      </c>
      <c r="O55">
        <v>51</v>
      </c>
      <c r="P55" t="s">
        <v>5527</v>
      </c>
      <c r="Q55">
        <v>71125</v>
      </c>
    </row>
    <row r="56" spans="1:17" hidden="1">
      <c r="A56">
        <v>55</v>
      </c>
      <c r="B56">
        <v>2</v>
      </c>
      <c r="C56" t="s">
        <v>4339</v>
      </c>
      <c r="D56">
        <v>10</v>
      </c>
      <c r="E56" t="s">
        <v>4356</v>
      </c>
      <c r="F56">
        <v>10</v>
      </c>
      <c r="G56" t="s">
        <v>4357</v>
      </c>
      <c r="H56" t="s">
        <v>5497</v>
      </c>
      <c r="I56">
        <v>5</v>
      </c>
      <c r="J56" t="s">
        <v>5505</v>
      </c>
      <c r="K56">
        <v>54</v>
      </c>
      <c r="L56">
        <v>73306</v>
      </c>
      <c r="M56">
        <v>55</v>
      </c>
      <c r="N56">
        <v>19501</v>
      </c>
      <c r="O56">
        <v>52</v>
      </c>
      <c r="P56" t="s">
        <v>5528</v>
      </c>
      <c r="Q56">
        <v>73302</v>
      </c>
    </row>
    <row r="57" spans="1:17" hidden="1">
      <c r="A57">
        <v>56</v>
      </c>
      <c r="B57">
        <v>2</v>
      </c>
      <c r="C57" t="s">
        <v>4339</v>
      </c>
      <c r="D57">
        <v>10</v>
      </c>
      <c r="E57" t="s">
        <v>4356</v>
      </c>
      <c r="F57">
        <v>10</v>
      </c>
      <c r="G57" t="s">
        <v>4357</v>
      </c>
      <c r="H57" t="s">
        <v>4353</v>
      </c>
      <c r="I57">
        <v>11</v>
      </c>
      <c r="J57" t="s">
        <v>5529</v>
      </c>
      <c r="K57">
        <v>55</v>
      </c>
      <c r="L57">
        <v>64114</v>
      </c>
      <c r="M57">
        <v>56</v>
      </c>
      <c r="N57">
        <v>13402</v>
      </c>
      <c r="O57">
        <v>53</v>
      </c>
      <c r="P57" t="s">
        <v>5530</v>
      </c>
      <c r="Q57">
        <v>64112</v>
      </c>
    </row>
    <row r="58" spans="1:17" hidden="1">
      <c r="A58">
        <v>57</v>
      </c>
      <c r="B58">
        <v>2</v>
      </c>
      <c r="C58" t="s">
        <v>4339</v>
      </c>
      <c r="D58">
        <v>10</v>
      </c>
      <c r="E58" t="s">
        <v>4356</v>
      </c>
      <c r="F58">
        <v>10</v>
      </c>
      <c r="G58" t="s">
        <v>4357</v>
      </c>
      <c r="H58" t="s">
        <v>4353</v>
      </c>
      <c r="I58">
        <v>11</v>
      </c>
      <c r="J58" t="s">
        <v>5529</v>
      </c>
      <c r="K58">
        <v>56</v>
      </c>
      <c r="L58">
        <v>64109</v>
      </c>
      <c r="M58">
        <v>57</v>
      </c>
      <c r="N58">
        <v>13602</v>
      </c>
      <c r="O58">
        <v>54</v>
      </c>
      <c r="P58" t="s">
        <v>5531</v>
      </c>
      <c r="Q58">
        <v>64117</v>
      </c>
    </row>
    <row r="59" spans="1:17" hidden="1">
      <c r="A59">
        <v>58</v>
      </c>
      <c r="B59">
        <v>2</v>
      </c>
      <c r="C59" t="s">
        <v>4339</v>
      </c>
      <c r="D59">
        <v>10</v>
      </c>
      <c r="E59" t="s">
        <v>4356</v>
      </c>
      <c r="F59">
        <v>10</v>
      </c>
      <c r="G59" t="s">
        <v>4357</v>
      </c>
      <c r="H59" t="s">
        <v>5497</v>
      </c>
      <c r="I59">
        <v>8</v>
      </c>
      <c r="J59" t="s">
        <v>5519</v>
      </c>
      <c r="K59">
        <v>57</v>
      </c>
      <c r="L59">
        <v>73305</v>
      </c>
      <c r="M59">
        <v>58</v>
      </c>
      <c r="N59">
        <v>20401</v>
      </c>
      <c r="O59">
        <v>55</v>
      </c>
      <c r="P59" t="s">
        <v>5532</v>
      </c>
      <c r="Q59">
        <v>73332</v>
      </c>
    </row>
    <row r="60" spans="1:17" hidden="1">
      <c r="A60">
        <v>59</v>
      </c>
      <c r="B60">
        <v>2</v>
      </c>
      <c r="C60" t="s">
        <v>4339</v>
      </c>
      <c r="D60">
        <v>10</v>
      </c>
      <c r="E60" t="s">
        <v>4356</v>
      </c>
      <c r="F60">
        <v>10</v>
      </c>
      <c r="G60" t="s">
        <v>4357</v>
      </c>
      <c r="H60" t="s">
        <v>5497</v>
      </c>
      <c r="I60">
        <v>8</v>
      </c>
      <c r="J60" t="s">
        <v>5519</v>
      </c>
      <c r="K60">
        <v>58</v>
      </c>
      <c r="L60">
        <v>73304</v>
      </c>
      <c r="M60">
        <v>59</v>
      </c>
      <c r="N60">
        <v>20402</v>
      </c>
      <c r="O60">
        <v>55</v>
      </c>
      <c r="P60" t="s">
        <v>5532</v>
      </c>
      <c r="Q60">
        <v>73332</v>
      </c>
    </row>
    <row r="61" spans="1:17" hidden="1">
      <c r="A61">
        <v>60</v>
      </c>
      <c r="B61">
        <v>2</v>
      </c>
      <c r="C61" t="s">
        <v>4339</v>
      </c>
      <c r="D61">
        <v>10</v>
      </c>
      <c r="E61" t="s">
        <v>4356</v>
      </c>
      <c r="F61">
        <v>10</v>
      </c>
      <c r="G61" t="s">
        <v>4357</v>
      </c>
      <c r="H61" t="s">
        <v>5497</v>
      </c>
      <c r="I61">
        <v>4</v>
      </c>
      <c r="J61" t="s">
        <v>5498</v>
      </c>
      <c r="K61">
        <v>59</v>
      </c>
      <c r="L61">
        <v>74130</v>
      </c>
      <c r="M61">
        <v>60</v>
      </c>
      <c r="N61">
        <v>20601</v>
      </c>
      <c r="O61">
        <v>56</v>
      </c>
      <c r="P61" t="s">
        <v>5533</v>
      </c>
      <c r="Q61">
        <v>74124</v>
      </c>
    </row>
    <row r="62" spans="1:17" hidden="1">
      <c r="A62">
        <v>61</v>
      </c>
      <c r="B62">
        <v>2</v>
      </c>
      <c r="C62" t="s">
        <v>4339</v>
      </c>
      <c r="D62">
        <v>11</v>
      </c>
      <c r="E62" t="s">
        <v>4348</v>
      </c>
      <c r="F62">
        <v>11</v>
      </c>
      <c r="G62" t="s">
        <v>4349</v>
      </c>
      <c r="H62" t="s">
        <v>4353</v>
      </c>
      <c r="I62">
        <v>10</v>
      </c>
      <c r="J62" t="s">
        <v>5524</v>
      </c>
      <c r="K62">
        <v>60</v>
      </c>
      <c r="L62">
        <v>60225</v>
      </c>
      <c r="M62">
        <v>61</v>
      </c>
      <c r="N62">
        <v>9901</v>
      </c>
      <c r="O62">
        <v>57</v>
      </c>
      <c r="P62" t="s">
        <v>5534</v>
      </c>
      <c r="Q62">
        <v>60209</v>
      </c>
    </row>
    <row r="63" spans="1:17" hidden="1">
      <c r="A63">
        <v>62</v>
      </c>
      <c r="B63">
        <v>2</v>
      </c>
      <c r="C63" t="s">
        <v>4339</v>
      </c>
      <c r="D63">
        <v>11</v>
      </c>
      <c r="E63" t="s">
        <v>4348</v>
      </c>
      <c r="F63">
        <v>11</v>
      </c>
      <c r="G63" t="s">
        <v>4349</v>
      </c>
      <c r="H63" t="s">
        <v>4353</v>
      </c>
      <c r="I63">
        <v>10</v>
      </c>
      <c r="J63" t="s">
        <v>5524</v>
      </c>
      <c r="K63">
        <v>61</v>
      </c>
      <c r="L63">
        <v>60218</v>
      </c>
      <c r="M63">
        <v>62</v>
      </c>
      <c r="N63">
        <v>10001</v>
      </c>
      <c r="O63">
        <v>58</v>
      </c>
      <c r="P63" t="s">
        <v>5535</v>
      </c>
      <c r="Q63">
        <v>60219</v>
      </c>
    </row>
    <row r="64" spans="1:17" hidden="1">
      <c r="A64">
        <v>63</v>
      </c>
      <c r="B64">
        <v>2</v>
      </c>
      <c r="C64" t="s">
        <v>4339</v>
      </c>
      <c r="D64">
        <v>11</v>
      </c>
      <c r="E64" t="s">
        <v>4348</v>
      </c>
      <c r="F64">
        <v>11</v>
      </c>
      <c r="G64" t="s">
        <v>4349</v>
      </c>
      <c r="H64" t="s">
        <v>4353</v>
      </c>
      <c r="I64">
        <v>7</v>
      </c>
      <c r="J64" t="s">
        <v>5513</v>
      </c>
      <c r="K64">
        <v>62</v>
      </c>
      <c r="L64">
        <v>61118</v>
      </c>
      <c r="M64">
        <v>63</v>
      </c>
      <c r="N64">
        <v>10201</v>
      </c>
      <c r="O64">
        <v>59</v>
      </c>
      <c r="P64" t="s">
        <v>5536</v>
      </c>
      <c r="Q64">
        <v>61104</v>
      </c>
    </row>
    <row r="65" spans="1:17" hidden="1">
      <c r="A65">
        <v>64</v>
      </c>
      <c r="B65">
        <v>2</v>
      </c>
      <c r="C65" t="s">
        <v>4339</v>
      </c>
      <c r="D65">
        <v>11</v>
      </c>
      <c r="E65" t="s">
        <v>4348</v>
      </c>
      <c r="F65">
        <v>11</v>
      </c>
      <c r="G65" t="s">
        <v>4349</v>
      </c>
      <c r="H65" t="s">
        <v>4353</v>
      </c>
      <c r="I65">
        <v>7</v>
      </c>
      <c r="J65" t="s">
        <v>5513</v>
      </c>
      <c r="K65">
        <v>63</v>
      </c>
      <c r="L65">
        <v>61127</v>
      </c>
      <c r="M65">
        <v>64</v>
      </c>
      <c r="N65">
        <v>10501</v>
      </c>
      <c r="O65">
        <v>60</v>
      </c>
      <c r="P65" t="s">
        <v>5537</v>
      </c>
      <c r="Q65">
        <v>61138</v>
      </c>
    </row>
    <row r="66" spans="1:17" hidden="1">
      <c r="A66">
        <v>65</v>
      </c>
      <c r="B66">
        <v>2</v>
      </c>
      <c r="C66" t="s">
        <v>4339</v>
      </c>
      <c r="D66">
        <v>11</v>
      </c>
      <c r="E66" t="s">
        <v>4348</v>
      </c>
      <c r="F66">
        <v>11</v>
      </c>
      <c r="G66" t="s">
        <v>4349</v>
      </c>
      <c r="H66" t="s">
        <v>4353</v>
      </c>
      <c r="I66">
        <v>7</v>
      </c>
      <c r="J66" t="s">
        <v>5513</v>
      </c>
      <c r="K66">
        <v>64</v>
      </c>
      <c r="L66">
        <v>61213</v>
      </c>
      <c r="M66">
        <v>65</v>
      </c>
      <c r="N66">
        <v>10901</v>
      </c>
      <c r="O66">
        <v>61</v>
      </c>
      <c r="P66" t="s">
        <v>5538</v>
      </c>
      <c r="Q66">
        <v>61231</v>
      </c>
    </row>
    <row r="67" spans="1:17" hidden="1">
      <c r="A67">
        <v>66</v>
      </c>
      <c r="B67">
        <v>2</v>
      </c>
      <c r="C67" t="s">
        <v>4339</v>
      </c>
      <c r="D67">
        <v>11</v>
      </c>
      <c r="E67" t="s">
        <v>4348</v>
      </c>
      <c r="F67">
        <v>11</v>
      </c>
      <c r="G67" t="s">
        <v>4349</v>
      </c>
      <c r="H67" t="s">
        <v>4353</v>
      </c>
      <c r="I67">
        <v>7</v>
      </c>
      <c r="J67" t="s">
        <v>5513</v>
      </c>
      <c r="K67">
        <v>65</v>
      </c>
      <c r="L67">
        <v>61208</v>
      </c>
      <c r="M67">
        <v>66</v>
      </c>
      <c r="N67">
        <v>11001</v>
      </c>
      <c r="O67">
        <v>62</v>
      </c>
      <c r="P67" t="s">
        <v>5539</v>
      </c>
      <c r="Q67">
        <v>61232</v>
      </c>
    </row>
    <row r="68" spans="1:17" hidden="1">
      <c r="A68">
        <v>67</v>
      </c>
      <c r="B68">
        <v>2</v>
      </c>
      <c r="C68" t="s">
        <v>4339</v>
      </c>
      <c r="D68">
        <v>12</v>
      </c>
      <c r="E68" t="s">
        <v>4344</v>
      </c>
      <c r="F68">
        <v>12</v>
      </c>
      <c r="G68" t="s">
        <v>4345</v>
      </c>
      <c r="H68" t="s">
        <v>5497</v>
      </c>
      <c r="I68">
        <v>12</v>
      </c>
      <c r="J68" t="s">
        <v>5540</v>
      </c>
      <c r="K68">
        <v>66</v>
      </c>
      <c r="L68">
        <v>72215</v>
      </c>
      <c r="M68">
        <v>67</v>
      </c>
      <c r="N68">
        <v>17101</v>
      </c>
      <c r="O68">
        <v>63</v>
      </c>
      <c r="P68" t="s">
        <v>5541</v>
      </c>
      <c r="Q68">
        <v>72208</v>
      </c>
    </row>
    <row r="69" spans="1:17" hidden="1">
      <c r="A69">
        <v>68</v>
      </c>
      <c r="B69">
        <v>2</v>
      </c>
      <c r="C69" t="s">
        <v>4339</v>
      </c>
      <c r="D69">
        <v>12</v>
      </c>
      <c r="E69" t="s">
        <v>4344</v>
      </c>
      <c r="F69">
        <v>12</v>
      </c>
      <c r="G69" t="s">
        <v>4345</v>
      </c>
      <c r="H69" t="s">
        <v>5497</v>
      </c>
      <c r="I69">
        <v>12</v>
      </c>
      <c r="J69" t="s">
        <v>5540</v>
      </c>
      <c r="K69">
        <v>67</v>
      </c>
      <c r="L69">
        <v>72207</v>
      </c>
      <c r="M69">
        <v>68</v>
      </c>
      <c r="N69">
        <v>17501</v>
      </c>
      <c r="O69">
        <v>64</v>
      </c>
      <c r="P69" t="s">
        <v>5542</v>
      </c>
      <c r="Q69">
        <v>72219</v>
      </c>
    </row>
    <row r="70" spans="1:17" hidden="1">
      <c r="A70">
        <v>69</v>
      </c>
      <c r="B70">
        <v>2</v>
      </c>
      <c r="C70" t="s">
        <v>4339</v>
      </c>
      <c r="D70">
        <v>12</v>
      </c>
      <c r="E70" t="s">
        <v>4344</v>
      </c>
      <c r="F70">
        <v>12</v>
      </c>
      <c r="G70" t="s">
        <v>4345</v>
      </c>
      <c r="H70" t="s">
        <v>5497</v>
      </c>
      <c r="I70">
        <v>12</v>
      </c>
      <c r="J70" t="s">
        <v>5540</v>
      </c>
      <c r="K70">
        <v>68</v>
      </c>
      <c r="L70">
        <v>72222</v>
      </c>
      <c r="M70">
        <v>69</v>
      </c>
      <c r="N70">
        <v>17802</v>
      </c>
      <c r="O70">
        <v>65</v>
      </c>
      <c r="P70" t="s">
        <v>5543</v>
      </c>
      <c r="Q70">
        <v>72228</v>
      </c>
    </row>
    <row r="71" spans="1:17" hidden="1">
      <c r="A71">
        <v>70</v>
      </c>
      <c r="B71">
        <v>2</v>
      </c>
      <c r="C71" t="s">
        <v>4339</v>
      </c>
      <c r="D71">
        <v>12</v>
      </c>
      <c r="E71" t="s">
        <v>4344</v>
      </c>
      <c r="F71">
        <v>12</v>
      </c>
      <c r="G71" t="s">
        <v>4345</v>
      </c>
      <c r="H71" t="s">
        <v>5497</v>
      </c>
      <c r="I71">
        <v>12</v>
      </c>
      <c r="J71" t="s">
        <v>5540</v>
      </c>
      <c r="K71">
        <v>69</v>
      </c>
      <c r="L71">
        <v>72121</v>
      </c>
      <c r="M71">
        <v>70</v>
      </c>
      <c r="N71">
        <v>16601</v>
      </c>
      <c r="O71">
        <v>66</v>
      </c>
      <c r="P71" t="s">
        <v>5544</v>
      </c>
      <c r="Q71">
        <v>72104</v>
      </c>
    </row>
    <row r="72" spans="1:17" hidden="1">
      <c r="A72">
        <v>71</v>
      </c>
      <c r="B72">
        <v>2</v>
      </c>
      <c r="C72" t="s">
        <v>4339</v>
      </c>
      <c r="D72">
        <v>12</v>
      </c>
      <c r="E72" t="s">
        <v>4344</v>
      </c>
      <c r="F72">
        <v>12</v>
      </c>
      <c r="G72" t="s">
        <v>4345</v>
      </c>
      <c r="H72" t="s">
        <v>5497</v>
      </c>
      <c r="I72">
        <v>12</v>
      </c>
      <c r="J72" t="s">
        <v>5540</v>
      </c>
      <c r="K72">
        <v>70</v>
      </c>
      <c r="L72">
        <v>72216</v>
      </c>
      <c r="M72">
        <v>71</v>
      </c>
      <c r="N72">
        <v>17902</v>
      </c>
      <c r="O72">
        <v>67</v>
      </c>
      <c r="P72" t="s">
        <v>5545</v>
      </c>
      <c r="Q72">
        <v>72229</v>
      </c>
    </row>
    <row r="73" spans="1:17" hidden="1">
      <c r="A73">
        <v>72</v>
      </c>
      <c r="B73">
        <v>2</v>
      </c>
      <c r="C73" t="s">
        <v>4339</v>
      </c>
      <c r="D73">
        <v>12</v>
      </c>
      <c r="E73" t="s">
        <v>4344</v>
      </c>
      <c r="F73">
        <v>12</v>
      </c>
      <c r="G73" t="s">
        <v>4345</v>
      </c>
      <c r="H73" t="s">
        <v>5497</v>
      </c>
      <c r="I73">
        <v>12</v>
      </c>
      <c r="J73" t="s">
        <v>5540</v>
      </c>
      <c r="K73">
        <v>71</v>
      </c>
      <c r="L73">
        <v>72203</v>
      </c>
      <c r="M73">
        <v>72</v>
      </c>
      <c r="N73">
        <v>17302</v>
      </c>
      <c r="O73">
        <v>68</v>
      </c>
      <c r="P73" t="s">
        <v>5546</v>
      </c>
      <c r="Q73">
        <v>72210</v>
      </c>
    </row>
    <row r="74" spans="1:17" hidden="1">
      <c r="A74">
        <v>73</v>
      </c>
      <c r="B74">
        <v>2</v>
      </c>
      <c r="C74" t="s">
        <v>4339</v>
      </c>
      <c r="D74">
        <v>13</v>
      </c>
      <c r="E74" t="s">
        <v>4352</v>
      </c>
      <c r="F74">
        <v>13</v>
      </c>
      <c r="G74" t="s">
        <v>4353</v>
      </c>
      <c r="H74" t="s">
        <v>4353</v>
      </c>
      <c r="I74">
        <v>11</v>
      </c>
      <c r="J74" t="s">
        <v>5529</v>
      </c>
      <c r="K74">
        <v>72</v>
      </c>
      <c r="L74">
        <v>64103</v>
      </c>
      <c r="M74">
        <v>73</v>
      </c>
      <c r="N74">
        <v>13202</v>
      </c>
      <c r="O74">
        <v>69</v>
      </c>
      <c r="P74" t="s">
        <v>5547</v>
      </c>
      <c r="Q74">
        <v>64103</v>
      </c>
    </row>
    <row r="75" spans="1:17" hidden="1">
      <c r="A75">
        <v>74</v>
      </c>
      <c r="B75">
        <v>2</v>
      </c>
      <c r="C75" t="s">
        <v>4339</v>
      </c>
      <c r="D75">
        <v>13</v>
      </c>
      <c r="E75" t="s">
        <v>4352</v>
      </c>
      <c r="F75">
        <v>13</v>
      </c>
      <c r="G75" t="s">
        <v>4353</v>
      </c>
      <c r="H75" t="s">
        <v>4353</v>
      </c>
      <c r="I75">
        <v>13</v>
      </c>
      <c r="J75" t="s">
        <v>5548</v>
      </c>
      <c r="K75">
        <v>73</v>
      </c>
      <c r="L75">
        <v>63114</v>
      </c>
      <c r="M75">
        <v>74</v>
      </c>
      <c r="N75">
        <v>12102</v>
      </c>
      <c r="O75">
        <v>70</v>
      </c>
      <c r="P75" t="s">
        <v>5549</v>
      </c>
      <c r="Q75">
        <v>63110</v>
      </c>
    </row>
    <row r="76" spans="1:17" hidden="1">
      <c r="A76">
        <v>75</v>
      </c>
      <c r="B76">
        <v>2</v>
      </c>
      <c r="C76" t="s">
        <v>4339</v>
      </c>
      <c r="D76">
        <v>13</v>
      </c>
      <c r="E76" t="s">
        <v>4352</v>
      </c>
      <c r="F76">
        <v>13</v>
      </c>
      <c r="G76" t="s">
        <v>4353</v>
      </c>
      <c r="H76" t="s">
        <v>4353</v>
      </c>
      <c r="I76">
        <v>13</v>
      </c>
      <c r="J76" t="s">
        <v>5548</v>
      </c>
      <c r="K76">
        <v>74</v>
      </c>
      <c r="L76">
        <v>63223</v>
      </c>
      <c r="M76">
        <v>75</v>
      </c>
      <c r="N76">
        <v>12902</v>
      </c>
      <c r="O76">
        <v>71</v>
      </c>
      <c r="P76" t="s">
        <v>5550</v>
      </c>
      <c r="Q76">
        <v>63213</v>
      </c>
    </row>
    <row r="77" spans="1:17" hidden="1">
      <c r="A77">
        <v>76</v>
      </c>
      <c r="B77">
        <v>2</v>
      </c>
      <c r="C77" t="s">
        <v>4339</v>
      </c>
      <c r="D77">
        <v>13</v>
      </c>
      <c r="E77" t="s">
        <v>4352</v>
      </c>
      <c r="F77">
        <v>13</v>
      </c>
      <c r="G77" t="s">
        <v>4353</v>
      </c>
      <c r="H77" t="s">
        <v>4353</v>
      </c>
      <c r="I77">
        <v>13</v>
      </c>
      <c r="J77" t="s">
        <v>5548</v>
      </c>
      <c r="K77">
        <v>75</v>
      </c>
      <c r="L77">
        <v>63224</v>
      </c>
      <c r="M77">
        <v>76</v>
      </c>
      <c r="N77">
        <v>12903</v>
      </c>
      <c r="O77">
        <v>71</v>
      </c>
      <c r="P77" t="s">
        <v>5550</v>
      </c>
      <c r="Q77">
        <v>63213</v>
      </c>
    </row>
    <row r="78" spans="1:17" hidden="1">
      <c r="A78">
        <v>77</v>
      </c>
      <c r="B78">
        <v>2</v>
      </c>
      <c r="C78" t="s">
        <v>4339</v>
      </c>
      <c r="D78">
        <v>13</v>
      </c>
      <c r="E78" t="s">
        <v>4352</v>
      </c>
      <c r="F78">
        <v>13</v>
      </c>
      <c r="G78" t="s">
        <v>4353</v>
      </c>
      <c r="H78" t="s">
        <v>4353</v>
      </c>
      <c r="I78">
        <v>13</v>
      </c>
      <c r="J78" t="s">
        <v>5548</v>
      </c>
      <c r="K78">
        <v>76</v>
      </c>
      <c r="L78">
        <v>63229</v>
      </c>
      <c r="M78">
        <v>77</v>
      </c>
      <c r="N78">
        <v>13101</v>
      </c>
      <c r="O78">
        <v>72</v>
      </c>
      <c r="P78" t="s">
        <v>5551</v>
      </c>
      <c r="Q78">
        <v>63242</v>
      </c>
    </row>
    <row r="79" spans="1:17" hidden="1">
      <c r="A79">
        <v>78</v>
      </c>
      <c r="B79">
        <v>2</v>
      </c>
      <c r="C79" t="s">
        <v>4339</v>
      </c>
      <c r="D79">
        <v>13</v>
      </c>
      <c r="E79" t="s">
        <v>4352</v>
      </c>
      <c r="F79">
        <v>13</v>
      </c>
      <c r="G79" t="s">
        <v>4353</v>
      </c>
      <c r="H79" t="s">
        <v>4353</v>
      </c>
      <c r="I79">
        <v>13</v>
      </c>
      <c r="J79" t="s">
        <v>5548</v>
      </c>
      <c r="K79">
        <v>77</v>
      </c>
      <c r="L79">
        <v>63133</v>
      </c>
      <c r="M79">
        <v>78</v>
      </c>
      <c r="N79">
        <v>12603</v>
      </c>
      <c r="O79">
        <v>73</v>
      </c>
      <c r="P79" t="s">
        <v>5552</v>
      </c>
      <c r="Q79">
        <v>63142</v>
      </c>
    </row>
    <row r="80" spans="1:17" hidden="1">
      <c r="A80">
        <v>79</v>
      </c>
      <c r="B80">
        <v>2</v>
      </c>
      <c r="C80" t="s">
        <v>4339</v>
      </c>
      <c r="D80">
        <v>14</v>
      </c>
      <c r="E80" t="s">
        <v>4354</v>
      </c>
      <c r="F80">
        <v>14</v>
      </c>
      <c r="G80" t="s">
        <v>4355</v>
      </c>
      <c r="H80" t="s">
        <v>4353</v>
      </c>
      <c r="I80">
        <v>11</v>
      </c>
      <c r="J80" t="s">
        <v>5529</v>
      </c>
      <c r="K80">
        <v>78</v>
      </c>
      <c r="L80">
        <v>64312</v>
      </c>
      <c r="M80">
        <v>79</v>
      </c>
      <c r="N80">
        <v>14801</v>
      </c>
      <c r="O80">
        <v>74</v>
      </c>
      <c r="P80" t="s">
        <v>5553</v>
      </c>
      <c r="Q80">
        <v>64305</v>
      </c>
    </row>
    <row r="81" spans="1:17" hidden="1">
      <c r="A81">
        <v>80</v>
      </c>
      <c r="B81">
        <v>2</v>
      </c>
      <c r="C81" t="s">
        <v>4339</v>
      </c>
      <c r="D81">
        <v>14</v>
      </c>
      <c r="E81" t="s">
        <v>4354</v>
      </c>
      <c r="F81">
        <v>14</v>
      </c>
      <c r="G81" t="s">
        <v>4355</v>
      </c>
      <c r="H81" t="s">
        <v>4353</v>
      </c>
      <c r="I81">
        <v>11</v>
      </c>
      <c r="J81" t="s">
        <v>5529</v>
      </c>
      <c r="K81">
        <v>79</v>
      </c>
      <c r="L81">
        <v>64303</v>
      </c>
      <c r="M81">
        <v>80</v>
      </c>
      <c r="N81">
        <v>14903</v>
      </c>
      <c r="O81">
        <v>75</v>
      </c>
      <c r="P81" t="s">
        <v>5554</v>
      </c>
      <c r="Q81">
        <v>64307</v>
      </c>
    </row>
    <row r="82" spans="1:17" hidden="1">
      <c r="A82">
        <v>81</v>
      </c>
      <c r="B82">
        <v>2</v>
      </c>
      <c r="C82" t="s">
        <v>4339</v>
      </c>
      <c r="D82">
        <v>14</v>
      </c>
      <c r="E82" t="s">
        <v>4354</v>
      </c>
      <c r="F82">
        <v>14</v>
      </c>
      <c r="G82" t="s">
        <v>4355</v>
      </c>
      <c r="H82" t="s">
        <v>4353</v>
      </c>
      <c r="I82">
        <v>11</v>
      </c>
      <c r="J82" t="s">
        <v>5529</v>
      </c>
      <c r="K82">
        <v>80</v>
      </c>
      <c r="L82">
        <v>64310</v>
      </c>
      <c r="M82">
        <v>81</v>
      </c>
      <c r="N82">
        <v>15001</v>
      </c>
      <c r="O82">
        <v>76</v>
      </c>
      <c r="P82" t="s">
        <v>5555</v>
      </c>
      <c r="Q82">
        <v>64308</v>
      </c>
    </row>
    <row r="83" spans="1:17" hidden="1">
      <c r="A83">
        <v>82</v>
      </c>
      <c r="B83">
        <v>2</v>
      </c>
      <c r="C83" t="s">
        <v>4339</v>
      </c>
      <c r="D83">
        <v>14</v>
      </c>
      <c r="E83" t="s">
        <v>4354</v>
      </c>
      <c r="F83">
        <v>14</v>
      </c>
      <c r="G83" t="s">
        <v>4355</v>
      </c>
      <c r="H83" t="s">
        <v>4353</v>
      </c>
      <c r="I83">
        <v>11</v>
      </c>
      <c r="J83" t="s">
        <v>5529</v>
      </c>
      <c r="K83">
        <v>81</v>
      </c>
      <c r="L83">
        <v>64309</v>
      </c>
      <c r="M83">
        <v>82</v>
      </c>
      <c r="N83">
        <v>15002</v>
      </c>
      <c r="O83">
        <v>76</v>
      </c>
      <c r="P83" t="s">
        <v>5555</v>
      </c>
      <c r="Q83">
        <v>64308</v>
      </c>
    </row>
    <row r="84" spans="1:17" hidden="1">
      <c r="A84">
        <v>83</v>
      </c>
      <c r="B84">
        <v>2</v>
      </c>
      <c r="C84" t="s">
        <v>4339</v>
      </c>
      <c r="D84">
        <v>14</v>
      </c>
      <c r="E84" t="s">
        <v>4354</v>
      </c>
      <c r="F84">
        <v>14</v>
      </c>
      <c r="G84" t="s">
        <v>4355</v>
      </c>
      <c r="H84" t="s">
        <v>4353</v>
      </c>
      <c r="I84">
        <v>11</v>
      </c>
      <c r="J84" t="s">
        <v>5529</v>
      </c>
      <c r="K84">
        <v>82</v>
      </c>
      <c r="L84">
        <v>64315</v>
      </c>
      <c r="M84">
        <v>83</v>
      </c>
      <c r="N84">
        <v>15101</v>
      </c>
      <c r="O84">
        <v>77</v>
      </c>
      <c r="P84" t="s">
        <v>5556</v>
      </c>
      <c r="Q84">
        <v>64312</v>
      </c>
    </row>
    <row r="85" spans="1:17" hidden="1">
      <c r="A85">
        <v>84</v>
      </c>
      <c r="B85">
        <v>2</v>
      </c>
      <c r="C85" t="s">
        <v>4339</v>
      </c>
      <c r="D85">
        <v>14</v>
      </c>
      <c r="E85" t="s">
        <v>4354</v>
      </c>
      <c r="F85">
        <v>14</v>
      </c>
      <c r="G85" t="s">
        <v>4355</v>
      </c>
      <c r="H85" t="s">
        <v>4353</v>
      </c>
      <c r="I85">
        <v>11</v>
      </c>
      <c r="J85" t="s">
        <v>5529</v>
      </c>
      <c r="K85">
        <v>83</v>
      </c>
      <c r="L85">
        <v>64209</v>
      </c>
      <c r="M85">
        <v>84</v>
      </c>
      <c r="N85">
        <v>14501</v>
      </c>
      <c r="O85">
        <v>78</v>
      </c>
      <c r="P85" t="s">
        <v>5557</v>
      </c>
      <c r="Q85">
        <v>64226</v>
      </c>
    </row>
    <row r="86" spans="1:17" hidden="1">
      <c r="A86">
        <v>85</v>
      </c>
      <c r="B86">
        <v>1</v>
      </c>
      <c r="C86" t="s">
        <v>4358</v>
      </c>
      <c r="D86">
        <v>15</v>
      </c>
      <c r="E86" t="s">
        <v>4363</v>
      </c>
      <c r="F86">
        <v>15</v>
      </c>
      <c r="G86" t="s">
        <v>4364</v>
      </c>
      <c r="H86" t="s">
        <v>4373</v>
      </c>
      <c r="I86">
        <v>14</v>
      </c>
      <c r="J86" t="s">
        <v>5558</v>
      </c>
      <c r="K86">
        <v>84</v>
      </c>
      <c r="L86">
        <v>85103</v>
      </c>
      <c r="M86">
        <v>85</v>
      </c>
      <c r="N86">
        <v>27301</v>
      </c>
      <c r="O86">
        <v>79</v>
      </c>
      <c r="P86" t="s">
        <v>5559</v>
      </c>
      <c r="Q86">
        <v>85102</v>
      </c>
    </row>
    <row r="87" spans="1:17" hidden="1">
      <c r="A87">
        <v>86</v>
      </c>
      <c r="B87">
        <v>1</v>
      </c>
      <c r="C87" t="s">
        <v>4358</v>
      </c>
      <c r="D87">
        <v>15</v>
      </c>
      <c r="E87" t="s">
        <v>4363</v>
      </c>
      <c r="F87">
        <v>15</v>
      </c>
      <c r="G87" t="s">
        <v>4364</v>
      </c>
      <c r="H87" t="s">
        <v>4373</v>
      </c>
      <c r="I87">
        <v>14</v>
      </c>
      <c r="J87" t="s">
        <v>5558</v>
      </c>
      <c r="K87">
        <v>85</v>
      </c>
      <c r="L87">
        <v>85129</v>
      </c>
      <c r="M87">
        <v>86</v>
      </c>
      <c r="N87">
        <v>27402</v>
      </c>
      <c r="O87">
        <v>80</v>
      </c>
      <c r="P87" t="s">
        <v>5560</v>
      </c>
      <c r="Q87">
        <v>85105</v>
      </c>
    </row>
    <row r="88" spans="1:17" hidden="1">
      <c r="A88">
        <v>87</v>
      </c>
      <c r="B88">
        <v>1</v>
      </c>
      <c r="C88" t="s">
        <v>4358</v>
      </c>
      <c r="D88">
        <v>15</v>
      </c>
      <c r="E88" t="s">
        <v>4363</v>
      </c>
      <c r="F88">
        <v>15</v>
      </c>
      <c r="G88" t="s">
        <v>4364</v>
      </c>
      <c r="H88" t="s">
        <v>4373</v>
      </c>
      <c r="I88">
        <v>14</v>
      </c>
      <c r="J88" t="s">
        <v>5558</v>
      </c>
      <c r="K88">
        <v>86</v>
      </c>
      <c r="L88">
        <v>85219</v>
      </c>
      <c r="M88">
        <v>87</v>
      </c>
      <c r="N88">
        <v>27802</v>
      </c>
      <c r="O88">
        <v>81</v>
      </c>
      <c r="P88" t="s">
        <v>5561</v>
      </c>
      <c r="Q88">
        <v>85206</v>
      </c>
    </row>
    <row r="89" spans="1:17" hidden="1">
      <c r="A89">
        <v>88</v>
      </c>
      <c r="B89">
        <v>1</v>
      </c>
      <c r="C89" t="s">
        <v>4358</v>
      </c>
      <c r="D89">
        <v>15</v>
      </c>
      <c r="E89" t="s">
        <v>4363</v>
      </c>
      <c r="F89">
        <v>15</v>
      </c>
      <c r="G89" t="s">
        <v>4364</v>
      </c>
      <c r="H89" t="s">
        <v>4373</v>
      </c>
      <c r="I89">
        <v>14</v>
      </c>
      <c r="J89" t="s">
        <v>5558</v>
      </c>
      <c r="K89">
        <v>87</v>
      </c>
      <c r="L89">
        <v>85207</v>
      </c>
      <c r="M89">
        <v>88</v>
      </c>
      <c r="N89">
        <v>27902</v>
      </c>
      <c r="O89">
        <v>82</v>
      </c>
      <c r="P89" t="s">
        <v>5562</v>
      </c>
      <c r="Q89">
        <v>85213</v>
      </c>
    </row>
    <row r="90" spans="1:17" hidden="1">
      <c r="A90">
        <v>89</v>
      </c>
      <c r="B90">
        <v>1</v>
      </c>
      <c r="C90" t="s">
        <v>4358</v>
      </c>
      <c r="D90">
        <v>15</v>
      </c>
      <c r="E90" t="s">
        <v>4363</v>
      </c>
      <c r="F90">
        <v>15</v>
      </c>
      <c r="G90" t="s">
        <v>4364</v>
      </c>
      <c r="H90" t="s">
        <v>4373</v>
      </c>
      <c r="I90">
        <v>14</v>
      </c>
      <c r="J90" t="s">
        <v>5558</v>
      </c>
      <c r="K90">
        <v>88</v>
      </c>
      <c r="L90">
        <v>85206</v>
      </c>
      <c r="M90">
        <v>89</v>
      </c>
      <c r="N90">
        <v>27901</v>
      </c>
      <c r="O90">
        <v>82</v>
      </c>
      <c r="P90" t="s">
        <v>5562</v>
      </c>
      <c r="Q90">
        <v>85213</v>
      </c>
    </row>
    <row r="91" spans="1:17" hidden="1">
      <c r="A91">
        <v>90</v>
      </c>
      <c r="B91">
        <v>1</v>
      </c>
      <c r="C91" t="s">
        <v>4358</v>
      </c>
      <c r="D91">
        <v>15</v>
      </c>
      <c r="E91" t="s">
        <v>4363</v>
      </c>
      <c r="F91">
        <v>15</v>
      </c>
      <c r="G91" t="s">
        <v>4364</v>
      </c>
      <c r="H91" t="s">
        <v>4373</v>
      </c>
      <c r="I91">
        <v>14</v>
      </c>
      <c r="J91" t="s">
        <v>5558</v>
      </c>
      <c r="K91">
        <v>89</v>
      </c>
      <c r="L91">
        <v>85122</v>
      </c>
      <c r="M91">
        <v>90</v>
      </c>
      <c r="N91">
        <v>27506</v>
      </c>
      <c r="O91">
        <v>83</v>
      </c>
      <c r="P91" t="s">
        <v>5563</v>
      </c>
      <c r="Q91">
        <v>85112</v>
      </c>
    </row>
    <row r="92" spans="1:17" hidden="1">
      <c r="A92">
        <v>91</v>
      </c>
      <c r="B92">
        <v>1</v>
      </c>
      <c r="C92" t="s">
        <v>4358</v>
      </c>
      <c r="D92">
        <v>16</v>
      </c>
      <c r="E92" t="s">
        <v>4372</v>
      </c>
      <c r="F92">
        <v>16</v>
      </c>
      <c r="G92" t="s">
        <v>4373</v>
      </c>
      <c r="H92" t="s">
        <v>4373</v>
      </c>
      <c r="I92">
        <v>15</v>
      </c>
      <c r="J92" t="s">
        <v>5564</v>
      </c>
      <c r="K92">
        <v>90</v>
      </c>
      <c r="L92">
        <v>82131</v>
      </c>
      <c r="M92">
        <v>91</v>
      </c>
      <c r="N92">
        <v>24407</v>
      </c>
      <c r="O92">
        <v>84</v>
      </c>
      <c r="P92" t="s">
        <v>5565</v>
      </c>
      <c r="Q92">
        <v>82106</v>
      </c>
    </row>
    <row r="93" spans="1:17" hidden="1">
      <c r="A93">
        <v>92</v>
      </c>
      <c r="B93">
        <v>1</v>
      </c>
      <c r="C93" t="s">
        <v>4358</v>
      </c>
      <c r="D93">
        <v>16</v>
      </c>
      <c r="E93" t="s">
        <v>4372</v>
      </c>
      <c r="F93">
        <v>16</v>
      </c>
      <c r="G93" t="s">
        <v>4373</v>
      </c>
      <c r="H93" t="s">
        <v>4373</v>
      </c>
      <c r="I93">
        <v>15</v>
      </c>
      <c r="J93" t="s">
        <v>5564</v>
      </c>
      <c r="K93">
        <v>91</v>
      </c>
      <c r="L93">
        <v>82130</v>
      </c>
      <c r="M93">
        <v>92</v>
      </c>
      <c r="N93">
        <v>24408</v>
      </c>
      <c r="O93">
        <v>84</v>
      </c>
      <c r="P93" t="s">
        <v>5565</v>
      </c>
      <c r="Q93">
        <v>82106</v>
      </c>
    </row>
    <row r="94" spans="1:17" hidden="1">
      <c r="A94">
        <v>93</v>
      </c>
      <c r="B94">
        <v>1</v>
      </c>
      <c r="C94" t="s">
        <v>4358</v>
      </c>
      <c r="D94">
        <v>16</v>
      </c>
      <c r="E94" t="s">
        <v>4372</v>
      </c>
      <c r="F94">
        <v>16</v>
      </c>
      <c r="G94" t="s">
        <v>4373</v>
      </c>
      <c r="H94" t="s">
        <v>4373</v>
      </c>
      <c r="I94">
        <v>15</v>
      </c>
      <c r="J94" t="s">
        <v>5564</v>
      </c>
      <c r="K94">
        <v>92</v>
      </c>
      <c r="L94">
        <v>82222</v>
      </c>
      <c r="M94">
        <v>93</v>
      </c>
      <c r="N94">
        <v>24908</v>
      </c>
      <c r="O94">
        <v>85</v>
      </c>
      <c r="P94" t="s">
        <v>5566</v>
      </c>
      <c r="Q94">
        <v>82202</v>
      </c>
    </row>
    <row r="95" spans="1:17" hidden="1">
      <c r="A95">
        <v>94</v>
      </c>
      <c r="B95">
        <v>1</v>
      </c>
      <c r="C95" t="s">
        <v>4358</v>
      </c>
      <c r="D95">
        <v>16</v>
      </c>
      <c r="E95" t="s">
        <v>4372</v>
      </c>
      <c r="F95">
        <v>16</v>
      </c>
      <c r="G95" t="s">
        <v>4373</v>
      </c>
      <c r="H95" t="s">
        <v>4373</v>
      </c>
      <c r="I95">
        <v>15</v>
      </c>
      <c r="J95" t="s">
        <v>5564</v>
      </c>
      <c r="K95">
        <v>93</v>
      </c>
      <c r="L95">
        <v>82224</v>
      </c>
      <c r="M95">
        <v>94</v>
      </c>
      <c r="N95">
        <v>24914</v>
      </c>
      <c r="O95">
        <v>85</v>
      </c>
      <c r="P95" t="s">
        <v>5566</v>
      </c>
      <c r="Q95">
        <v>82202</v>
      </c>
    </row>
    <row r="96" spans="1:17" hidden="1">
      <c r="A96">
        <v>95</v>
      </c>
      <c r="B96">
        <v>1</v>
      </c>
      <c r="C96" t="s">
        <v>4358</v>
      </c>
      <c r="D96">
        <v>16</v>
      </c>
      <c r="E96" t="s">
        <v>4372</v>
      </c>
      <c r="F96">
        <v>16</v>
      </c>
      <c r="G96" t="s">
        <v>4373</v>
      </c>
      <c r="H96" t="s">
        <v>4373</v>
      </c>
      <c r="I96">
        <v>16</v>
      </c>
      <c r="J96" t="s">
        <v>4373</v>
      </c>
      <c r="K96">
        <v>94</v>
      </c>
      <c r="L96">
        <v>81214</v>
      </c>
      <c r="M96">
        <v>95</v>
      </c>
      <c r="N96">
        <v>24006</v>
      </c>
      <c r="O96">
        <v>86</v>
      </c>
      <c r="P96" t="s">
        <v>5567</v>
      </c>
      <c r="Q96">
        <v>81209</v>
      </c>
    </row>
    <row r="97" spans="1:17" hidden="1">
      <c r="A97">
        <v>96</v>
      </c>
      <c r="B97">
        <v>1</v>
      </c>
      <c r="C97" t="s">
        <v>4358</v>
      </c>
      <c r="D97">
        <v>16</v>
      </c>
      <c r="E97" t="s">
        <v>4372</v>
      </c>
      <c r="F97">
        <v>16</v>
      </c>
      <c r="G97" t="s">
        <v>4373</v>
      </c>
      <c r="H97" t="s">
        <v>4373</v>
      </c>
      <c r="I97">
        <v>16</v>
      </c>
      <c r="J97" t="s">
        <v>4373</v>
      </c>
      <c r="K97">
        <v>95</v>
      </c>
      <c r="L97">
        <v>81217</v>
      </c>
      <c r="M97">
        <v>96</v>
      </c>
      <c r="N97">
        <v>24001</v>
      </c>
      <c r="O97">
        <v>86</v>
      </c>
      <c r="P97" t="s">
        <v>5567</v>
      </c>
      <c r="Q97">
        <v>81209</v>
      </c>
    </row>
    <row r="98" spans="1:17" hidden="1">
      <c r="A98">
        <v>97</v>
      </c>
      <c r="B98">
        <v>1</v>
      </c>
      <c r="C98" t="s">
        <v>4358</v>
      </c>
      <c r="D98">
        <v>17</v>
      </c>
      <c r="E98" t="s">
        <v>4367</v>
      </c>
      <c r="F98">
        <v>17</v>
      </c>
      <c r="G98" t="s">
        <v>5568</v>
      </c>
      <c r="H98" t="s">
        <v>4373</v>
      </c>
      <c r="I98">
        <v>17</v>
      </c>
      <c r="J98" t="s">
        <v>5569</v>
      </c>
      <c r="K98">
        <v>96</v>
      </c>
      <c r="L98">
        <v>80235</v>
      </c>
      <c r="M98">
        <v>97</v>
      </c>
      <c r="N98">
        <v>23402</v>
      </c>
      <c r="O98">
        <v>87</v>
      </c>
      <c r="P98" t="s">
        <v>5570</v>
      </c>
      <c r="Q98">
        <v>80202</v>
      </c>
    </row>
    <row r="99" spans="1:17" hidden="1">
      <c r="A99">
        <v>98</v>
      </c>
      <c r="B99">
        <v>1</v>
      </c>
      <c r="C99" t="s">
        <v>4358</v>
      </c>
      <c r="D99">
        <v>17</v>
      </c>
      <c r="E99" t="s">
        <v>4367</v>
      </c>
      <c r="F99">
        <v>17</v>
      </c>
      <c r="G99" t="s">
        <v>5568</v>
      </c>
      <c r="H99" t="s">
        <v>4373</v>
      </c>
      <c r="I99">
        <v>17</v>
      </c>
      <c r="J99" t="s">
        <v>5569</v>
      </c>
      <c r="K99">
        <v>97</v>
      </c>
      <c r="L99">
        <v>80228</v>
      </c>
      <c r="M99">
        <v>98</v>
      </c>
      <c r="N99">
        <v>23408</v>
      </c>
      <c r="O99">
        <v>87</v>
      </c>
      <c r="P99" t="s">
        <v>5570</v>
      </c>
      <c r="Q99">
        <v>80202</v>
      </c>
    </row>
    <row r="100" spans="1:17" hidden="1">
      <c r="A100">
        <v>99</v>
      </c>
      <c r="B100">
        <v>1</v>
      </c>
      <c r="C100" t="s">
        <v>4358</v>
      </c>
      <c r="D100">
        <v>17</v>
      </c>
      <c r="E100" t="s">
        <v>4367</v>
      </c>
      <c r="F100">
        <v>17</v>
      </c>
      <c r="G100" t="s">
        <v>5568</v>
      </c>
      <c r="H100" t="s">
        <v>4373</v>
      </c>
      <c r="I100">
        <v>17</v>
      </c>
      <c r="J100" t="s">
        <v>5569</v>
      </c>
      <c r="K100">
        <v>98</v>
      </c>
      <c r="L100">
        <v>80236</v>
      </c>
      <c r="M100">
        <v>99</v>
      </c>
      <c r="N100">
        <v>23303</v>
      </c>
      <c r="O100">
        <v>88</v>
      </c>
      <c r="P100" t="s">
        <v>5568</v>
      </c>
      <c r="Q100">
        <v>80201</v>
      </c>
    </row>
    <row r="101" spans="1:17" hidden="1">
      <c r="A101">
        <v>100</v>
      </c>
      <c r="B101">
        <v>1</v>
      </c>
      <c r="C101" t="s">
        <v>4358</v>
      </c>
      <c r="D101">
        <v>17</v>
      </c>
      <c r="E101" t="s">
        <v>4367</v>
      </c>
      <c r="F101">
        <v>17</v>
      </c>
      <c r="G101" t="s">
        <v>5568</v>
      </c>
      <c r="H101" t="s">
        <v>4373</v>
      </c>
      <c r="I101">
        <v>16</v>
      </c>
      <c r="J101" t="s">
        <v>4373</v>
      </c>
      <c r="K101">
        <v>99</v>
      </c>
      <c r="L101">
        <v>81230</v>
      </c>
      <c r="M101">
        <v>100</v>
      </c>
      <c r="N101">
        <v>24109</v>
      </c>
      <c r="O101">
        <v>89</v>
      </c>
      <c r="P101" t="s">
        <v>5571</v>
      </c>
      <c r="Q101">
        <v>81211</v>
      </c>
    </row>
    <row r="102" spans="1:17" hidden="1">
      <c r="A102">
        <v>101</v>
      </c>
      <c r="B102">
        <v>1</v>
      </c>
      <c r="C102" t="s">
        <v>4358</v>
      </c>
      <c r="D102">
        <v>17</v>
      </c>
      <c r="E102" t="s">
        <v>4367</v>
      </c>
      <c r="F102">
        <v>17</v>
      </c>
      <c r="G102" t="s">
        <v>5568</v>
      </c>
      <c r="H102" t="s">
        <v>4373</v>
      </c>
      <c r="I102">
        <v>16</v>
      </c>
      <c r="J102" t="s">
        <v>4373</v>
      </c>
      <c r="K102">
        <v>100</v>
      </c>
      <c r="L102">
        <v>81225</v>
      </c>
      <c r="M102">
        <v>101</v>
      </c>
      <c r="N102">
        <v>24114</v>
      </c>
      <c r="O102">
        <v>89</v>
      </c>
      <c r="P102" t="s">
        <v>5571</v>
      </c>
      <c r="Q102">
        <v>81211</v>
      </c>
    </row>
    <row r="103" spans="1:17" hidden="1">
      <c r="A103">
        <v>102</v>
      </c>
      <c r="B103">
        <v>1</v>
      </c>
      <c r="C103" t="s">
        <v>4358</v>
      </c>
      <c r="D103">
        <v>17</v>
      </c>
      <c r="E103" t="s">
        <v>4367</v>
      </c>
      <c r="F103">
        <v>17</v>
      </c>
      <c r="G103" t="s">
        <v>5568</v>
      </c>
      <c r="H103" t="s">
        <v>4373</v>
      </c>
      <c r="I103">
        <v>16</v>
      </c>
      <c r="J103" t="s">
        <v>4373</v>
      </c>
      <c r="K103">
        <v>101</v>
      </c>
      <c r="L103">
        <v>81234</v>
      </c>
      <c r="M103">
        <v>102</v>
      </c>
      <c r="N103">
        <v>24112</v>
      </c>
      <c r="O103">
        <v>89</v>
      </c>
      <c r="P103" t="s">
        <v>5571</v>
      </c>
      <c r="Q103">
        <v>81211</v>
      </c>
    </row>
    <row r="104" spans="1:17" hidden="1">
      <c r="A104">
        <v>103</v>
      </c>
      <c r="B104">
        <v>1</v>
      </c>
      <c r="C104" t="s">
        <v>4358</v>
      </c>
      <c r="D104">
        <v>18</v>
      </c>
      <c r="E104" t="s">
        <v>4361</v>
      </c>
      <c r="F104">
        <v>18</v>
      </c>
      <c r="G104" t="s">
        <v>4362</v>
      </c>
      <c r="H104" t="s">
        <v>4373</v>
      </c>
      <c r="I104">
        <v>18</v>
      </c>
      <c r="J104" t="s">
        <v>5572</v>
      </c>
      <c r="K104">
        <v>102</v>
      </c>
      <c r="L104">
        <v>86216</v>
      </c>
      <c r="M104">
        <v>103</v>
      </c>
      <c r="N104">
        <v>29005</v>
      </c>
      <c r="O104">
        <v>90</v>
      </c>
      <c r="P104" t="s">
        <v>5573</v>
      </c>
      <c r="Q104">
        <v>86203</v>
      </c>
    </row>
    <row r="105" spans="1:17" hidden="1">
      <c r="A105">
        <v>104</v>
      </c>
      <c r="B105">
        <v>1</v>
      </c>
      <c r="C105" t="s">
        <v>4358</v>
      </c>
      <c r="D105">
        <v>18</v>
      </c>
      <c r="E105" t="s">
        <v>4361</v>
      </c>
      <c r="F105">
        <v>18</v>
      </c>
      <c r="G105" t="s">
        <v>4362</v>
      </c>
      <c r="H105" t="s">
        <v>4373</v>
      </c>
      <c r="I105">
        <v>18</v>
      </c>
      <c r="J105" t="s">
        <v>5572</v>
      </c>
      <c r="K105">
        <v>103</v>
      </c>
      <c r="L105">
        <v>86214</v>
      </c>
      <c r="M105">
        <v>104</v>
      </c>
      <c r="N105">
        <v>29002</v>
      </c>
      <c r="O105">
        <v>90</v>
      </c>
      <c r="P105" t="s">
        <v>5573</v>
      </c>
      <c r="Q105">
        <v>86203</v>
      </c>
    </row>
    <row r="106" spans="1:17" hidden="1">
      <c r="A106">
        <v>105</v>
      </c>
      <c r="B106">
        <v>1</v>
      </c>
      <c r="C106" t="s">
        <v>4358</v>
      </c>
      <c r="D106">
        <v>18</v>
      </c>
      <c r="E106" t="s">
        <v>4361</v>
      </c>
      <c r="F106">
        <v>18</v>
      </c>
      <c r="G106" t="s">
        <v>4362</v>
      </c>
      <c r="H106" t="s">
        <v>4373</v>
      </c>
      <c r="I106">
        <v>18</v>
      </c>
      <c r="J106" t="s">
        <v>5572</v>
      </c>
      <c r="K106">
        <v>104</v>
      </c>
      <c r="L106">
        <v>86209</v>
      </c>
      <c r="M106">
        <v>105</v>
      </c>
      <c r="N106">
        <v>29202</v>
      </c>
      <c r="O106">
        <v>91</v>
      </c>
      <c r="P106" t="s">
        <v>5574</v>
      </c>
      <c r="Q106">
        <v>86205</v>
      </c>
    </row>
    <row r="107" spans="1:17" hidden="1">
      <c r="A107">
        <v>106</v>
      </c>
      <c r="B107">
        <v>1</v>
      </c>
      <c r="C107" t="s">
        <v>4358</v>
      </c>
      <c r="D107">
        <v>18</v>
      </c>
      <c r="E107" t="s">
        <v>4361</v>
      </c>
      <c r="F107">
        <v>18</v>
      </c>
      <c r="G107" t="s">
        <v>4362</v>
      </c>
      <c r="H107" t="s">
        <v>4373</v>
      </c>
      <c r="I107">
        <v>18</v>
      </c>
      <c r="J107" t="s">
        <v>5572</v>
      </c>
      <c r="K107">
        <v>105</v>
      </c>
      <c r="L107">
        <v>86206</v>
      </c>
      <c r="M107">
        <v>106</v>
      </c>
      <c r="N107">
        <v>29301</v>
      </c>
      <c r="O107">
        <v>92</v>
      </c>
      <c r="P107" t="s">
        <v>5575</v>
      </c>
      <c r="Q107">
        <v>86210</v>
      </c>
    </row>
    <row r="108" spans="1:17" hidden="1">
      <c r="A108">
        <v>107</v>
      </c>
      <c r="B108">
        <v>1</v>
      </c>
      <c r="C108" t="s">
        <v>4358</v>
      </c>
      <c r="D108">
        <v>18</v>
      </c>
      <c r="E108" t="s">
        <v>4361</v>
      </c>
      <c r="F108">
        <v>18</v>
      </c>
      <c r="G108" t="s">
        <v>4362</v>
      </c>
      <c r="H108" t="s">
        <v>4373</v>
      </c>
      <c r="I108">
        <v>18</v>
      </c>
      <c r="J108" t="s">
        <v>5572</v>
      </c>
      <c r="K108">
        <v>106</v>
      </c>
      <c r="L108">
        <v>86228</v>
      </c>
      <c r="M108">
        <v>107</v>
      </c>
      <c r="N108">
        <v>29401</v>
      </c>
      <c r="O108">
        <v>93</v>
      </c>
      <c r="P108" t="s">
        <v>5576</v>
      </c>
      <c r="Q108">
        <v>86213</v>
      </c>
    </row>
    <row r="109" spans="1:17" hidden="1">
      <c r="A109">
        <v>108</v>
      </c>
      <c r="B109">
        <v>1</v>
      </c>
      <c r="C109" t="s">
        <v>4358</v>
      </c>
      <c r="D109">
        <v>18</v>
      </c>
      <c r="E109" t="s">
        <v>4361</v>
      </c>
      <c r="F109">
        <v>18</v>
      </c>
      <c r="G109" t="s">
        <v>4362</v>
      </c>
      <c r="H109" t="s">
        <v>4373</v>
      </c>
      <c r="I109">
        <v>18</v>
      </c>
      <c r="J109" t="s">
        <v>5572</v>
      </c>
      <c r="K109">
        <v>107</v>
      </c>
      <c r="L109">
        <v>86229</v>
      </c>
      <c r="M109">
        <v>108</v>
      </c>
      <c r="N109">
        <v>29403</v>
      </c>
      <c r="O109">
        <v>93</v>
      </c>
      <c r="P109" t="s">
        <v>5576</v>
      </c>
      <c r="Q109">
        <v>86213</v>
      </c>
    </row>
    <row r="110" spans="1:17" hidden="1">
      <c r="A110">
        <v>109</v>
      </c>
      <c r="B110">
        <v>1</v>
      </c>
      <c r="C110" t="s">
        <v>4358</v>
      </c>
      <c r="D110">
        <v>19</v>
      </c>
      <c r="E110" t="s">
        <v>4368</v>
      </c>
      <c r="F110">
        <v>19</v>
      </c>
      <c r="G110" t="s">
        <v>4369</v>
      </c>
      <c r="H110" t="s">
        <v>4373</v>
      </c>
      <c r="I110">
        <v>15</v>
      </c>
      <c r="J110" t="s">
        <v>5564</v>
      </c>
      <c r="K110">
        <v>108</v>
      </c>
      <c r="L110">
        <v>82202</v>
      </c>
      <c r="M110">
        <v>109</v>
      </c>
      <c r="N110">
        <v>25202</v>
      </c>
      <c r="O110">
        <v>94</v>
      </c>
      <c r="P110" t="s">
        <v>5577</v>
      </c>
      <c r="Q110">
        <v>82215</v>
      </c>
    </row>
    <row r="111" spans="1:17" hidden="1">
      <c r="A111">
        <v>110</v>
      </c>
      <c r="B111">
        <v>1</v>
      </c>
      <c r="C111" t="s">
        <v>4358</v>
      </c>
      <c r="D111">
        <v>19</v>
      </c>
      <c r="E111" t="s">
        <v>4368</v>
      </c>
      <c r="F111">
        <v>19</v>
      </c>
      <c r="G111" t="s">
        <v>4369</v>
      </c>
      <c r="H111" t="s">
        <v>4373</v>
      </c>
      <c r="I111">
        <v>19</v>
      </c>
      <c r="J111" t="s">
        <v>5578</v>
      </c>
      <c r="K111">
        <v>109</v>
      </c>
      <c r="L111">
        <v>83112</v>
      </c>
      <c r="M111">
        <v>110</v>
      </c>
      <c r="N111">
        <v>25309</v>
      </c>
      <c r="O111">
        <v>95</v>
      </c>
      <c r="P111" t="s">
        <v>5579</v>
      </c>
      <c r="Q111">
        <v>83102</v>
      </c>
    </row>
    <row r="112" spans="1:17" hidden="1">
      <c r="A112">
        <v>111</v>
      </c>
      <c r="B112">
        <v>1</v>
      </c>
      <c r="C112" t="s">
        <v>4358</v>
      </c>
      <c r="D112">
        <v>19</v>
      </c>
      <c r="E112" t="s">
        <v>4368</v>
      </c>
      <c r="F112">
        <v>19</v>
      </c>
      <c r="G112" t="s">
        <v>4369</v>
      </c>
      <c r="H112" t="s">
        <v>4373</v>
      </c>
      <c r="I112">
        <v>19</v>
      </c>
      <c r="J112" t="s">
        <v>5578</v>
      </c>
      <c r="K112">
        <v>110</v>
      </c>
      <c r="L112">
        <v>83134</v>
      </c>
      <c r="M112">
        <v>111</v>
      </c>
      <c r="N112">
        <v>25509</v>
      </c>
      <c r="O112">
        <v>96</v>
      </c>
      <c r="P112" t="s">
        <v>5580</v>
      </c>
      <c r="Q112">
        <v>83110</v>
      </c>
    </row>
    <row r="113" spans="1:17" hidden="1">
      <c r="A113">
        <v>112</v>
      </c>
      <c r="B113">
        <v>1</v>
      </c>
      <c r="C113" t="s">
        <v>4358</v>
      </c>
      <c r="D113">
        <v>19</v>
      </c>
      <c r="E113" t="s">
        <v>4368</v>
      </c>
      <c r="F113">
        <v>19</v>
      </c>
      <c r="G113" t="s">
        <v>4369</v>
      </c>
      <c r="H113" t="s">
        <v>4373</v>
      </c>
      <c r="I113">
        <v>19</v>
      </c>
      <c r="J113" t="s">
        <v>5578</v>
      </c>
      <c r="K113">
        <v>111</v>
      </c>
      <c r="L113">
        <v>83232</v>
      </c>
      <c r="M113">
        <v>112</v>
      </c>
      <c r="N113">
        <v>26001</v>
      </c>
      <c r="O113">
        <v>97</v>
      </c>
      <c r="P113" t="s">
        <v>5581</v>
      </c>
      <c r="Q113">
        <v>83223</v>
      </c>
    </row>
    <row r="114" spans="1:17" hidden="1">
      <c r="A114">
        <v>113</v>
      </c>
      <c r="B114">
        <v>1</v>
      </c>
      <c r="C114" t="s">
        <v>4358</v>
      </c>
      <c r="D114">
        <v>19</v>
      </c>
      <c r="E114" t="s">
        <v>4368</v>
      </c>
      <c r="F114">
        <v>19</v>
      </c>
      <c r="G114" t="s">
        <v>4369</v>
      </c>
      <c r="H114" t="s">
        <v>4373</v>
      </c>
      <c r="I114">
        <v>19</v>
      </c>
      <c r="J114" t="s">
        <v>5578</v>
      </c>
      <c r="K114">
        <v>112</v>
      </c>
      <c r="L114">
        <v>83235</v>
      </c>
      <c r="M114">
        <v>113</v>
      </c>
      <c r="N114">
        <v>26003</v>
      </c>
      <c r="O114">
        <v>97</v>
      </c>
      <c r="P114" t="s">
        <v>5581</v>
      </c>
      <c r="Q114">
        <v>83223</v>
      </c>
    </row>
    <row r="115" spans="1:17" hidden="1">
      <c r="A115">
        <v>114</v>
      </c>
      <c r="B115">
        <v>1</v>
      </c>
      <c r="C115" t="s">
        <v>4358</v>
      </c>
      <c r="D115">
        <v>19</v>
      </c>
      <c r="E115" t="s">
        <v>4368</v>
      </c>
      <c r="F115">
        <v>19</v>
      </c>
      <c r="G115" t="s">
        <v>4369</v>
      </c>
      <c r="H115" t="s">
        <v>4373</v>
      </c>
      <c r="I115">
        <v>19</v>
      </c>
      <c r="J115" t="s">
        <v>5578</v>
      </c>
      <c r="K115">
        <v>113</v>
      </c>
      <c r="L115">
        <v>83128</v>
      </c>
      <c r="M115">
        <v>114</v>
      </c>
      <c r="N115">
        <v>25605</v>
      </c>
      <c r="O115">
        <v>98</v>
      </c>
      <c r="P115" t="s">
        <v>5582</v>
      </c>
      <c r="Q115">
        <v>83115</v>
      </c>
    </row>
    <row r="116" spans="1:17" hidden="1">
      <c r="A116">
        <v>115</v>
      </c>
      <c r="B116">
        <v>1</v>
      </c>
      <c r="C116" t="s">
        <v>4358</v>
      </c>
      <c r="D116">
        <v>20</v>
      </c>
      <c r="E116" t="s">
        <v>4365</v>
      </c>
      <c r="F116">
        <v>20</v>
      </c>
      <c r="G116" t="s">
        <v>4366</v>
      </c>
      <c r="H116" t="s">
        <v>4373</v>
      </c>
      <c r="I116">
        <v>17</v>
      </c>
      <c r="J116" t="s">
        <v>5569</v>
      </c>
      <c r="K116">
        <v>114</v>
      </c>
      <c r="L116">
        <v>80127</v>
      </c>
      <c r="M116">
        <v>115</v>
      </c>
      <c r="N116">
        <v>22902</v>
      </c>
      <c r="O116">
        <v>99</v>
      </c>
      <c r="P116" t="s">
        <v>5583</v>
      </c>
      <c r="Q116">
        <v>80114</v>
      </c>
    </row>
    <row r="117" spans="1:17" hidden="1">
      <c r="A117">
        <v>116</v>
      </c>
      <c r="B117">
        <v>1</v>
      </c>
      <c r="C117" t="s">
        <v>4358</v>
      </c>
      <c r="D117">
        <v>20</v>
      </c>
      <c r="E117" t="s">
        <v>4365</v>
      </c>
      <c r="F117">
        <v>20</v>
      </c>
      <c r="G117" t="s">
        <v>4366</v>
      </c>
      <c r="H117" t="s">
        <v>4373</v>
      </c>
      <c r="I117">
        <v>17</v>
      </c>
      <c r="J117" t="s">
        <v>5569</v>
      </c>
      <c r="K117">
        <v>115</v>
      </c>
      <c r="L117">
        <v>80124</v>
      </c>
      <c r="M117">
        <v>116</v>
      </c>
      <c r="N117">
        <v>23001</v>
      </c>
      <c r="O117">
        <v>100</v>
      </c>
      <c r="P117" t="s">
        <v>5584</v>
      </c>
      <c r="Q117">
        <v>80116</v>
      </c>
    </row>
    <row r="118" spans="1:17" hidden="1">
      <c r="A118">
        <v>117</v>
      </c>
      <c r="B118">
        <v>1</v>
      </c>
      <c r="C118" t="s">
        <v>4358</v>
      </c>
      <c r="D118">
        <v>20</v>
      </c>
      <c r="E118" t="s">
        <v>4365</v>
      </c>
      <c r="F118">
        <v>20</v>
      </c>
      <c r="G118" t="s">
        <v>4366</v>
      </c>
      <c r="H118" t="s">
        <v>4373</v>
      </c>
      <c r="I118">
        <v>17</v>
      </c>
      <c r="J118" t="s">
        <v>5569</v>
      </c>
      <c r="K118">
        <v>116</v>
      </c>
      <c r="L118">
        <v>80245</v>
      </c>
      <c r="M118">
        <v>117</v>
      </c>
      <c r="N118">
        <v>23505</v>
      </c>
      <c r="O118">
        <v>101</v>
      </c>
      <c r="P118" t="s">
        <v>5585</v>
      </c>
      <c r="Q118">
        <v>80205</v>
      </c>
    </row>
    <row r="119" spans="1:17" hidden="1">
      <c r="A119">
        <v>118</v>
      </c>
      <c r="B119">
        <v>1</v>
      </c>
      <c r="C119" t="s">
        <v>4358</v>
      </c>
      <c r="D119">
        <v>20</v>
      </c>
      <c r="E119" t="s">
        <v>4365</v>
      </c>
      <c r="F119">
        <v>20</v>
      </c>
      <c r="G119" t="s">
        <v>4366</v>
      </c>
      <c r="H119" t="s">
        <v>4373</v>
      </c>
      <c r="I119">
        <v>17</v>
      </c>
      <c r="J119" t="s">
        <v>5569</v>
      </c>
      <c r="K119">
        <v>117</v>
      </c>
      <c r="L119">
        <v>80244</v>
      </c>
      <c r="M119">
        <v>118</v>
      </c>
      <c r="N119">
        <v>23506</v>
      </c>
      <c r="O119">
        <v>101</v>
      </c>
      <c r="P119" t="s">
        <v>5585</v>
      </c>
      <c r="Q119">
        <v>80205</v>
      </c>
    </row>
    <row r="120" spans="1:17" hidden="1">
      <c r="A120">
        <v>119</v>
      </c>
      <c r="B120">
        <v>1</v>
      </c>
      <c r="C120" t="s">
        <v>4358</v>
      </c>
      <c r="D120">
        <v>20</v>
      </c>
      <c r="E120" t="s">
        <v>4365</v>
      </c>
      <c r="F120">
        <v>20</v>
      </c>
      <c r="G120" t="s">
        <v>4366</v>
      </c>
      <c r="H120" t="s">
        <v>4373</v>
      </c>
      <c r="I120">
        <v>17</v>
      </c>
      <c r="J120" t="s">
        <v>5569</v>
      </c>
      <c r="K120">
        <v>118</v>
      </c>
      <c r="L120">
        <v>80242</v>
      </c>
      <c r="M120">
        <v>119</v>
      </c>
      <c r="N120">
        <v>23503</v>
      </c>
      <c r="O120">
        <v>101</v>
      </c>
      <c r="P120" t="s">
        <v>5585</v>
      </c>
      <c r="Q120">
        <v>80205</v>
      </c>
    </row>
    <row r="121" spans="1:17" hidden="1">
      <c r="A121">
        <v>120</v>
      </c>
      <c r="B121">
        <v>1</v>
      </c>
      <c r="C121" t="s">
        <v>4358</v>
      </c>
      <c r="D121">
        <v>20</v>
      </c>
      <c r="E121" t="s">
        <v>4365</v>
      </c>
      <c r="F121">
        <v>20</v>
      </c>
      <c r="G121" t="s">
        <v>4366</v>
      </c>
      <c r="H121" t="s">
        <v>4373</v>
      </c>
      <c r="I121">
        <v>14</v>
      </c>
      <c r="J121" t="s">
        <v>5558</v>
      </c>
      <c r="K121">
        <v>119</v>
      </c>
      <c r="L121">
        <v>85214</v>
      </c>
      <c r="M121">
        <v>120</v>
      </c>
      <c r="N121">
        <v>28201</v>
      </c>
      <c r="O121">
        <v>102</v>
      </c>
      <c r="P121" t="s">
        <v>5586</v>
      </c>
      <c r="Q121">
        <v>85220</v>
      </c>
    </row>
    <row r="122" spans="1:17" hidden="1">
      <c r="A122">
        <v>121</v>
      </c>
      <c r="B122">
        <v>1</v>
      </c>
      <c r="C122" t="s">
        <v>4358</v>
      </c>
      <c r="D122">
        <v>21</v>
      </c>
      <c r="E122" t="s">
        <v>4370</v>
      </c>
      <c r="F122">
        <v>21</v>
      </c>
      <c r="G122" t="s">
        <v>4371</v>
      </c>
      <c r="H122" t="s">
        <v>4373</v>
      </c>
      <c r="I122">
        <v>19</v>
      </c>
      <c r="J122" t="s">
        <v>5578</v>
      </c>
      <c r="K122">
        <v>120</v>
      </c>
      <c r="L122">
        <v>83216</v>
      </c>
      <c r="M122">
        <v>121</v>
      </c>
      <c r="N122">
        <v>25802</v>
      </c>
      <c r="O122">
        <v>103</v>
      </c>
      <c r="P122" t="s">
        <v>5587</v>
      </c>
      <c r="Q122">
        <v>83216</v>
      </c>
    </row>
    <row r="123" spans="1:17" hidden="1">
      <c r="A123">
        <v>122</v>
      </c>
      <c r="B123">
        <v>1</v>
      </c>
      <c r="C123" t="s">
        <v>4358</v>
      </c>
      <c r="D123">
        <v>21</v>
      </c>
      <c r="E123" t="s">
        <v>4370</v>
      </c>
      <c r="F123">
        <v>21</v>
      </c>
      <c r="G123" t="s">
        <v>4371</v>
      </c>
      <c r="H123" t="s">
        <v>4373</v>
      </c>
      <c r="I123">
        <v>19</v>
      </c>
      <c r="J123" t="s">
        <v>5578</v>
      </c>
      <c r="K123">
        <v>121</v>
      </c>
      <c r="L123">
        <v>83217</v>
      </c>
      <c r="M123">
        <v>122</v>
      </c>
      <c r="N123">
        <v>25803</v>
      </c>
      <c r="O123">
        <v>103</v>
      </c>
      <c r="P123" t="s">
        <v>5587</v>
      </c>
      <c r="Q123">
        <v>83216</v>
      </c>
    </row>
    <row r="124" spans="1:17" hidden="1">
      <c r="A124">
        <v>123</v>
      </c>
      <c r="B124">
        <v>1</v>
      </c>
      <c r="C124" t="s">
        <v>4358</v>
      </c>
      <c r="D124">
        <v>21</v>
      </c>
      <c r="E124" t="s">
        <v>4370</v>
      </c>
      <c r="F124">
        <v>21</v>
      </c>
      <c r="G124" t="s">
        <v>4371</v>
      </c>
      <c r="H124" t="s">
        <v>4373</v>
      </c>
      <c r="I124">
        <v>19</v>
      </c>
      <c r="J124" t="s">
        <v>5578</v>
      </c>
      <c r="K124">
        <v>122</v>
      </c>
      <c r="L124">
        <v>83204</v>
      </c>
      <c r="M124">
        <v>123</v>
      </c>
      <c r="N124">
        <v>25904</v>
      </c>
      <c r="O124">
        <v>104</v>
      </c>
      <c r="P124" t="s">
        <v>4371</v>
      </c>
      <c r="Q124">
        <v>83217</v>
      </c>
    </row>
    <row r="125" spans="1:17" hidden="1">
      <c r="A125">
        <v>124</v>
      </c>
      <c r="B125">
        <v>1</v>
      </c>
      <c r="C125" t="s">
        <v>4358</v>
      </c>
      <c r="D125">
        <v>21</v>
      </c>
      <c r="E125" t="s">
        <v>4370</v>
      </c>
      <c r="F125">
        <v>21</v>
      </c>
      <c r="G125" t="s">
        <v>4371</v>
      </c>
      <c r="H125" t="s">
        <v>4373</v>
      </c>
      <c r="I125">
        <v>19</v>
      </c>
      <c r="J125" t="s">
        <v>5578</v>
      </c>
      <c r="K125">
        <v>123</v>
      </c>
      <c r="L125">
        <v>83212</v>
      </c>
      <c r="M125">
        <v>124</v>
      </c>
      <c r="N125">
        <v>25911</v>
      </c>
      <c r="O125">
        <v>104</v>
      </c>
      <c r="P125" t="s">
        <v>4371</v>
      </c>
      <c r="Q125">
        <v>83217</v>
      </c>
    </row>
    <row r="126" spans="1:17" hidden="1">
      <c r="A126">
        <v>125</v>
      </c>
      <c r="B126">
        <v>1</v>
      </c>
      <c r="C126" t="s">
        <v>4358</v>
      </c>
      <c r="D126">
        <v>21</v>
      </c>
      <c r="E126" t="s">
        <v>4370</v>
      </c>
      <c r="F126">
        <v>21</v>
      </c>
      <c r="G126" t="s">
        <v>4371</v>
      </c>
      <c r="H126" t="s">
        <v>4373</v>
      </c>
      <c r="I126">
        <v>19</v>
      </c>
      <c r="J126" t="s">
        <v>5578</v>
      </c>
      <c r="K126">
        <v>124</v>
      </c>
      <c r="L126">
        <v>83231</v>
      </c>
      <c r="M126">
        <v>125</v>
      </c>
      <c r="N126">
        <v>26102</v>
      </c>
      <c r="O126">
        <v>105</v>
      </c>
      <c r="P126" t="s">
        <v>5588</v>
      </c>
      <c r="Q126">
        <v>83227</v>
      </c>
    </row>
    <row r="127" spans="1:17" hidden="1">
      <c r="A127">
        <v>126</v>
      </c>
      <c r="B127">
        <v>1</v>
      </c>
      <c r="C127" t="s">
        <v>4358</v>
      </c>
      <c r="D127">
        <v>21</v>
      </c>
      <c r="E127" t="s">
        <v>4370</v>
      </c>
      <c r="F127">
        <v>21</v>
      </c>
      <c r="G127" t="s">
        <v>4371</v>
      </c>
      <c r="H127" t="s">
        <v>4373</v>
      </c>
      <c r="I127">
        <v>19</v>
      </c>
      <c r="J127" t="s">
        <v>5578</v>
      </c>
      <c r="K127">
        <v>125</v>
      </c>
      <c r="L127">
        <v>83229</v>
      </c>
      <c r="M127">
        <v>126</v>
      </c>
      <c r="N127">
        <v>26101</v>
      </c>
      <c r="O127">
        <v>105</v>
      </c>
      <c r="P127" t="s">
        <v>5588</v>
      </c>
      <c r="Q127">
        <v>83227</v>
      </c>
    </row>
    <row r="128" spans="1:17" hidden="1">
      <c r="A128">
        <v>127</v>
      </c>
      <c r="B128">
        <v>1</v>
      </c>
      <c r="C128" t="s">
        <v>4358</v>
      </c>
      <c r="D128">
        <v>22</v>
      </c>
      <c r="E128" t="s">
        <v>4359</v>
      </c>
      <c r="F128">
        <v>22</v>
      </c>
      <c r="G128" t="s">
        <v>4360</v>
      </c>
      <c r="H128" t="s">
        <v>4373</v>
      </c>
      <c r="I128">
        <v>20</v>
      </c>
      <c r="J128" t="s">
        <v>5589</v>
      </c>
      <c r="K128">
        <v>126</v>
      </c>
      <c r="L128">
        <v>84209</v>
      </c>
      <c r="M128">
        <v>127</v>
      </c>
      <c r="N128">
        <v>26701</v>
      </c>
      <c r="O128">
        <v>106</v>
      </c>
      <c r="P128" t="s">
        <v>5590</v>
      </c>
      <c r="Q128">
        <v>84201</v>
      </c>
    </row>
    <row r="129" spans="1:17" hidden="1">
      <c r="A129">
        <v>128</v>
      </c>
      <c r="B129">
        <v>1</v>
      </c>
      <c r="C129" t="s">
        <v>4358</v>
      </c>
      <c r="D129">
        <v>22</v>
      </c>
      <c r="E129" t="s">
        <v>4359</v>
      </c>
      <c r="F129">
        <v>22</v>
      </c>
      <c r="G129" t="s">
        <v>4360</v>
      </c>
      <c r="H129" t="s">
        <v>4373</v>
      </c>
      <c r="I129">
        <v>20</v>
      </c>
      <c r="J129" t="s">
        <v>5589</v>
      </c>
      <c r="K129">
        <v>127</v>
      </c>
      <c r="L129">
        <v>84205</v>
      </c>
      <c r="M129">
        <v>128</v>
      </c>
      <c r="N129">
        <v>26901</v>
      </c>
      <c r="O129">
        <v>107</v>
      </c>
      <c r="P129" t="s">
        <v>5591</v>
      </c>
      <c r="Q129">
        <v>84207</v>
      </c>
    </row>
    <row r="130" spans="1:17" hidden="1">
      <c r="A130">
        <v>129</v>
      </c>
      <c r="B130">
        <v>1</v>
      </c>
      <c r="C130" t="s">
        <v>4358</v>
      </c>
      <c r="D130">
        <v>22</v>
      </c>
      <c r="E130" t="s">
        <v>4359</v>
      </c>
      <c r="F130">
        <v>22</v>
      </c>
      <c r="G130" t="s">
        <v>4360</v>
      </c>
      <c r="H130" t="s">
        <v>4373</v>
      </c>
      <c r="I130">
        <v>20</v>
      </c>
      <c r="J130" t="s">
        <v>5589</v>
      </c>
      <c r="K130">
        <v>128</v>
      </c>
      <c r="L130">
        <v>84204</v>
      </c>
      <c r="M130">
        <v>129</v>
      </c>
      <c r="N130">
        <v>26903</v>
      </c>
      <c r="O130">
        <v>107</v>
      </c>
      <c r="P130" t="s">
        <v>5591</v>
      </c>
      <c r="Q130">
        <v>84207</v>
      </c>
    </row>
    <row r="131" spans="1:17" hidden="1">
      <c r="A131">
        <v>130</v>
      </c>
      <c r="B131">
        <v>1</v>
      </c>
      <c r="C131" t="s">
        <v>4358</v>
      </c>
      <c r="D131">
        <v>22</v>
      </c>
      <c r="E131" t="s">
        <v>4359</v>
      </c>
      <c r="F131">
        <v>22</v>
      </c>
      <c r="G131" t="s">
        <v>4360</v>
      </c>
      <c r="H131" t="s">
        <v>4373</v>
      </c>
      <c r="I131">
        <v>20</v>
      </c>
      <c r="J131" t="s">
        <v>5589</v>
      </c>
      <c r="K131">
        <v>129</v>
      </c>
      <c r="L131">
        <v>84216</v>
      </c>
      <c r="M131">
        <v>130</v>
      </c>
      <c r="N131">
        <v>27101</v>
      </c>
      <c r="O131">
        <v>108</v>
      </c>
      <c r="P131" t="s">
        <v>5592</v>
      </c>
      <c r="Q131">
        <v>84216</v>
      </c>
    </row>
    <row r="132" spans="1:17" hidden="1">
      <c r="A132">
        <v>131</v>
      </c>
      <c r="B132">
        <v>1</v>
      </c>
      <c r="C132" t="s">
        <v>4358</v>
      </c>
      <c r="D132">
        <v>22</v>
      </c>
      <c r="E132" t="s">
        <v>4359</v>
      </c>
      <c r="F132">
        <v>22</v>
      </c>
      <c r="G132" t="s">
        <v>4360</v>
      </c>
      <c r="H132" t="s">
        <v>4373</v>
      </c>
      <c r="I132">
        <v>20</v>
      </c>
      <c r="J132" t="s">
        <v>5589</v>
      </c>
      <c r="K132">
        <v>130</v>
      </c>
      <c r="L132">
        <v>84116</v>
      </c>
      <c r="M132">
        <v>131</v>
      </c>
      <c r="N132">
        <v>26501</v>
      </c>
      <c r="O132">
        <v>109</v>
      </c>
      <c r="P132" t="s">
        <v>5593</v>
      </c>
      <c r="Q132">
        <v>84111</v>
      </c>
    </row>
    <row r="133" spans="1:17" hidden="1">
      <c r="A133">
        <v>132</v>
      </c>
      <c r="B133">
        <v>1</v>
      </c>
      <c r="C133" t="s">
        <v>4358</v>
      </c>
      <c r="D133">
        <v>22</v>
      </c>
      <c r="E133" t="s">
        <v>4359</v>
      </c>
      <c r="F133">
        <v>22</v>
      </c>
      <c r="G133" t="s">
        <v>4360</v>
      </c>
      <c r="H133" t="s">
        <v>4373</v>
      </c>
      <c r="I133">
        <v>20</v>
      </c>
      <c r="J133" t="s">
        <v>5589</v>
      </c>
      <c r="K133">
        <v>131</v>
      </c>
      <c r="L133">
        <v>84102</v>
      </c>
      <c r="M133">
        <v>132</v>
      </c>
      <c r="N133">
        <v>26601</v>
      </c>
      <c r="O133">
        <v>110</v>
      </c>
      <c r="P133" t="s">
        <v>5594</v>
      </c>
      <c r="Q133">
        <v>84113</v>
      </c>
    </row>
  </sheetData>
  <autoFilter ref="A1:Q133">
    <filterColumn colId="2">
      <filters>
        <filter val="NBR West"/>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430"/>
  <sheetViews>
    <sheetView workbookViewId="0">
      <selection activeCell="F311" sqref="F311"/>
    </sheetView>
  </sheetViews>
  <sheetFormatPr defaultRowHeight="12.75"/>
  <cols>
    <col min="1" max="1" width="7.85546875" bestFit="1" customWidth="1"/>
    <col min="2" max="2" width="8.42578125" bestFit="1" customWidth="1"/>
    <col min="3" max="3" width="12.5703125" customWidth="1"/>
    <col min="4" max="4" width="16.5703125" customWidth="1"/>
    <col min="5" max="5" width="16.140625" customWidth="1"/>
    <col min="6" max="6" width="23.42578125" customWidth="1"/>
    <col min="7" max="7" width="24" customWidth="1"/>
    <col min="8" max="8" width="16" customWidth="1"/>
    <col min="9" max="9" width="10.140625" bestFit="1" customWidth="1"/>
    <col min="10" max="10" width="15.5703125" customWidth="1"/>
    <col min="11" max="11" width="31.85546875" bestFit="1" customWidth="1"/>
    <col min="12" max="12" width="18.85546875" bestFit="1" customWidth="1"/>
  </cols>
  <sheetData>
    <row r="1" spans="1:12">
      <c r="A1" t="s">
        <v>4335</v>
      </c>
      <c r="B1" t="s">
        <v>4248</v>
      </c>
      <c r="C1" t="s">
        <v>4247</v>
      </c>
      <c r="D1" t="s">
        <v>4336</v>
      </c>
      <c r="E1" t="s">
        <v>4337</v>
      </c>
      <c r="F1" t="s">
        <v>5285</v>
      </c>
      <c r="G1" t="s">
        <v>5286</v>
      </c>
      <c r="H1" t="s">
        <v>5606</v>
      </c>
      <c r="I1" t="s">
        <v>4338</v>
      </c>
      <c r="J1" t="s">
        <v>5607</v>
      </c>
      <c r="K1" t="s">
        <v>765</v>
      </c>
      <c r="L1" t="s">
        <v>5608</v>
      </c>
    </row>
    <row r="2" spans="1:12" hidden="1">
      <c r="A2">
        <v>1</v>
      </c>
      <c r="B2">
        <v>2</v>
      </c>
      <c r="C2" t="s">
        <v>4339</v>
      </c>
      <c r="D2">
        <v>6</v>
      </c>
      <c r="E2" t="s">
        <v>4340</v>
      </c>
      <c r="F2">
        <v>9</v>
      </c>
      <c r="G2" t="s">
        <v>4341</v>
      </c>
      <c r="H2">
        <v>1</v>
      </c>
      <c r="I2" t="s">
        <v>5609</v>
      </c>
      <c r="J2">
        <v>1</v>
      </c>
      <c r="K2" t="s">
        <v>5610</v>
      </c>
      <c r="L2" t="s">
        <v>5611</v>
      </c>
    </row>
    <row r="3" spans="1:12" hidden="1">
      <c r="A3">
        <v>2</v>
      </c>
      <c r="B3">
        <v>2</v>
      </c>
      <c r="C3" t="s">
        <v>4339</v>
      </c>
      <c r="D3">
        <v>6</v>
      </c>
      <c r="E3" t="s">
        <v>4340</v>
      </c>
      <c r="F3">
        <v>9</v>
      </c>
      <c r="G3" t="s">
        <v>4341</v>
      </c>
      <c r="H3">
        <v>2</v>
      </c>
      <c r="I3" t="s">
        <v>5612</v>
      </c>
      <c r="J3">
        <v>2</v>
      </c>
      <c r="K3" t="s">
        <v>5613</v>
      </c>
      <c r="L3" t="s">
        <v>5611</v>
      </c>
    </row>
    <row r="4" spans="1:12" hidden="1">
      <c r="A4">
        <v>3</v>
      </c>
      <c r="B4">
        <v>2</v>
      </c>
      <c r="C4" t="s">
        <v>4339</v>
      </c>
      <c r="D4">
        <v>6</v>
      </c>
      <c r="E4" t="s">
        <v>4340</v>
      </c>
      <c r="F4">
        <v>9</v>
      </c>
      <c r="G4" t="s">
        <v>4341</v>
      </c>
      <c r="H4">
        <v>3</v>
      </c>
      <c r="I4" t="s">
        <v>5614</v>
      </c>
      <c r="J4">
        <v>3</v>
      </c>
      <c r="K4" t="s">
        <v>5615</v>
      </c>
      <c r="L4" t="s">
        <v>5611</v>
      </c>
    </row>
    <row r="5" spans="1:12" hidden="1">
      <c r="A5">
        <v>4</v>
      </c>
      <c r="B5">
        <v>2</v>
      </c>
      <c r="C5" t="s">
        <v>4339</v>
      </c>
      <c r="D5">
        <v>6</v>
      </c>
      <c r="E5" t="s">
        <v>4340</v>
      </c>
      <c r="F5">
        <v>9</v>
      </c>
      <c r="G5" t="s">
        <v>4341</v>
      </c>
      <c r="H5">
        <v>4</v>
      </c>
      <c r="I5" t="s">
        <v>5616</v>
      </c>
      <c r="J5">
        <v>4</v>
      </c>
      <c r="K5" t="s">
        <v>5617</v>
      </c>
      <c r="L5" t="s">
        <v>5618</v>
      </c>
    </row>
    <row r="6" spans="1:12" hidden="1">
      <c r="A6">
        <v>5</v>
      </c>
      <c r="B6">
        <v>2</v>
      </c>
      <c r="C6" t="s">
        <v>4339</v>
      </c>
      <c r="D6">
        <v>6</v>
      </c>
      <c r="E6" t="s">
        <v>4340</v>
      </c>
      <c r="F6">
        <v>9</v>
      </c>
      <c r="G6" t="s">
        <v>4341</v>
      </c>
      <c r="H6">
        <v>5</v>
      </c>
      <c r="I6" t="s">
        <v>5619</v>
      </c>
      <c r="J6">
        <v>5</v>
      </c>
      <c r="K6" t="s">
        <v>5620</v>
      </c>
      <c r="L6" t="s">
        <v>5621</v>
      </c>
    </row>
    <row r="7" spans="1:12" hidden="1">
      <c r="A7">
        <v>6</v>
      </c>
      <c r="B7">
        <v>2</v>
      </c>
      <c r="C7" t="s">
        <v>4339</v>
      </c>
      <c r="D7">
        <v>6</v>
      </c>
      <c r="E7" t="s">
        <v>4340</v>
      </c>
      <c r="F7">
        <v>9</v>
      </c>
      <c r="G7" t="s">
        <v>4341</v>
      </c>
      <c r="H7">
        <v>6</v>
      </c>
      <c r="I7" t="s">
        <v>5622</v>
      </c>
      <c r="J7">
        <v>6</v>
      </c>
      <c r="K7" t="s">
        <v>5623</v>
      </c>
      <c r="L7" t="s">
        <v>5618</v>
      </c>
    </row>
    <row r="8" spans="1:12" hidden="1">
      <c r="A8">
        <v>7</v>
      </c>
      <c r="B8">
        <v>2</v>
      </c>
      <c r="C8" t="s">
        <v>4339</v>
      </c>
      <c r="D8">
        <v>6</v>
      </c>
      <c r="E8" t="s">
        <v>4340</v>
      </c>
      <c r="F8">
        <v>9</v>
      </c>
      <c r="G8" t="s">
        <v>4341</v>
      </c>
      <c r="H8">
        <v>7</v>
      </c>
      <c r="I8" t="s">
        <v>5624</v>
      </c>
      <c r="J8">
        <v>7</v>
      </c>
      <c r="K8" t="s">
        <v>5625</v>
      </c>
      <c r="L8" t="s">
        <v>5621</v>
      </c>
    </row>
    <row r="9" spans="1:12" hidden="1">
      <c r="A9">
        <v>8</v>
      </c>
      <c r="B9">
        <v>2</v>
      </c>
      <c r="C9" t="s">
        <v>4339</v>
      </c>
      <c r="D9">
        <v>6</v>
      </c>
      <c r="E9" t="s">
        <v>4340</v>
      </c>
      <c r="F9">
        <v>9</v>
      </c>
      <c r="G9" t="s">
        <v>4341</v>
      </c>
      <c r="H9">
        <v>8</v>
      </c>
      <c r="I9" t="s">
        <v>5626</v>
      </c>
      <c r="J9">
        <v>8</v>
      </c>
      <c r="K9" t="s">
        <v>5627</v>
      </c>
      <c r="L9" t="s">
        <v>5621</v>
      </c>
    </row>
    <row r="10" spans="1:12" hidden="1">
      <c r="A10">
        <v>9</v>
      </c>
      <c r="B10">
        <v>2</v>
      </c>
      <c r="C10" t="s">
        <v>4339</v>
      </c>
      <c r="D10">
        <v>6</v>
      </c>
      <c r="E10" t="s">
        <v>4340</v>
      </c>
      <c r="F10">
        <v>9</v>
      </c>
      <c r="G10" t="s">
        <v>4341</v>
      </c>
      <c r="H10">
        <v>9</v>
      </c>
      <c r="I10" t="s">
        <v>5628</v>
      </c>
      <c r="J10">
        <v>9</v>
      </c>
      <c r="K10" t="s">
        <v>5629</v>
      </c>
      <c r="L10" t="s">
        <v>5621</v>
      </c>
    </row>
    <row r="11" spans="1:12" hidden="1">
      <c r="A11">
        <v>10</v>
      </c>
      <c r="B11">
        <v>2</v>
      </c>
      <c r="C11" t="s">
        <v>4339</v>
      </c>
      <c r="D11">
        <v>6</v>
      </c>
      <c r="E11" t="s">
        <v>4340</v>
      </c>
      <c r="F11">
        <v>9</v>
      </c>
      <c r="G11" t="s">
        <v>4341</v>
      </c>
      <c r="H11">
        <v>10</v>
      </c>
      <c r="I11" t="s">
        <v>5630</v>
      </c>
      <c r="J11">
        <v>10</v>
      </c>
      <c r="K11" t="s">
        <v>5631</v>
      </c>
      <c r="L11" t="s">
        <v>5621</v>
      </c>
    </row>
    <row r="12" spans="1:12" hidden="1">
      <c r="A12">
        <v>11</v>
      </c>
      <c r="B12">
        <v>2</v>
      </c>
      <c r="C12" t="s">
        <v>4339</v>
      </c>
      <c r="D12">
        <v>6</v>
      </c>
      <c r="E12" t="s">
        <v>4340</v>
      </c>
      <c r="F12">
        <v>9</v>
      </c>
      <c r="G12" t="s">
        <v>4341</v>
      </c>
      <c r="H12">
        <v>11</v>
      </c>
      <c r="I12" t="s">
        <v>5632</v>
      </c>
      <c r="J12">
        <v>11</v>
      </c>
      <c r="K12" t="s">
        <v>5633</v>
      </c>
      <c r="L12" t="s">
        <v>5634</v>
      </c>
    </row>
    <row r="13" spans="1:12" hidden="1">
      <c r="A13">
        <v>12</v>
      </c>
      <c r="B13">
        <v>2</v>
      </c>
      <c r="C13" t="s">
        <v>4339</v>
      </c>
      <c r="D13">
        <v>6</v>
      </c>
      <c r="E13" t="s">
        <v>4340</v>
      </c>
      <c r="F13">
        <v>9</v>
      </c>
      <c r="G13" t="s">
        <v>4341</v>
      </c>
      <c r="H13">
        <v>12</v>
      </c>
      <c r="I13" t="s">
        <v>5635</v>
      </c>
      <c r="J13">
        <v>12</v>
      </c>
      <c r="K13" t="s">
        <v>5636</v>
      </c>
      <c r="L13" t="s">
        <v>5634</v>
      </c>
    </row>
    <row r="14" spans="1:12" hidden="1">
      <c r="A14">
        <v>13</v>
      </c>
      <c r="B14">
        <v>2</v>
      </c>
      <c r="C14" t="s">
        <v>4339</v>
      </c>
      <c r="D14">
        <v>6</v>
      </c>
      <c r="E14" t="s">
        <v>4340</v>
      </c>
      <c r="F14">
        <v>9</v>
      </c>
      <c r="G14" t="s">
        <v>4341</v>
      </c>
      <c r="H14">
        <v>13</v>
      </c>
      <c r="I14" t="s">
        <v>5637</v>
      </c>
      <c r="J14">
        <v>13</v>
      </c>
      <c r="K14" t="s">
        <v>5638</v>
      </c>
      <c r="L14" t="s">
        <v>5639</v>
      </c>
    </row>
    <row r="15" spans="1:12" hidden="1">
      <c r="A15">
        <v>14</v>
      </c>
      <c r="B15">
        <v>2</v>
      </c>
      <c r="C15" t="s">
        <v>4339</v>
      </c>
      <c r="D15">
        <v>6</v>
      </c>
      <c r="E15" t="s">
        <v>4340</v>
      </c>
      <c r="F15">
        <v>9</v>
      </c>
      <c r="G15" t="s">
        <v>4341</v>
      </c>
      <c r="H15">
        <v>14</v>
      </c>
      <c r="I15" t="s">
        <v>5640</v>
      </c>
      <c r="J15">
        <v>14</v>
      </c>
      <c r="K15" t="s">
        <v>5641</v>
      </c>
      <c r="L15" t="s">
        <v>5639</v>
      </c>
    </row>
    <row r="16" spans="1:12" hidden="1">
      <c r="A16">
        <v>15</v>
      </c>
      <c r="B16">
        <v>2</v>
      </c>
      <c r="C16" t="s">
        <v>4339</v>
      </c>
      <c r="D16">
        <v>6</v>
      </c>
      <c r="E16" t="s">
        <v>4340</v>
      </c>
      <c r="F16">
        <v>9</v>
      </c>
      <c r="G16" t="s">
        <v>4341</v>
      </c>
      <c r="H16">
        <v>15</v>
      </c>
      <c r="I16" t="s">
        <v>5642</v>
      </c>
      <c r="J16">
        <v>15</v>
      </c>
      <c r="K16" t="s">
        <v>5643</v>
      </c>
      <c r="L16" t="s">
        <v>5644</v>
      </c>
    </row>
    <row r="17" spans="1:12" hidden="1">
      <c r="A17">
        <v>16</v>
      </c>
      <c r="B17">
        <v>2</v>
      </c>
      <c r="C17" t="s">
        <v>4339</v>
      </c>
      <c r="D17">
        <v>6</v>
      </c>
      <c r="E17" t="s">
        <v>4340</v>
      </c>
      <c r="F17">
        <v>9</v>
      </c>
      <c r="G17" t="s">
        <v>4341</v>
      </c>
      <c r="H17">
        <v>16</v>
      </c>
      <c r="I17" t="s">
        <v>5645</v>
      </c>
      <c r="J17">
        <v>16</v>
      </c>
      <c r="K17" t="s">
        <v>5646</v>
      </c>
      <c r="L17" t="s">
        <v>5644</v>
      </c>
    </row>
    <row r="18" spans="1:12" hidden="1">
      <c r="A18">
        <v>17</v>
      </c>
      <c r="B18">
        <v>2</v>
      </c>
      <c r="C18" t="s">
        <v>4339</v>
      </c>
      <c r="D18">
        <v>6</v>
      </c>
      <c r="E18" t="s">
        <v>4340</v>
      </c>
      <c r="F18">
        <v>9</v>
      </c>
      <c r="G18" t="s">
        <v>4341</v>
      </c>
      <c r="H18">
        <v>17</v>
      </c>
      <c r="I18" t="s">
        <v>5647</v>
      </c>
      <c r="J18">
        <v>17</v>
      </c>
      <c r="K18" t="s">
        <v>5648</v>
      </c>
      <c r="L18" t="s">
        <v>5644</v>
      </c>
    </row>
    <row r="19" spans="1:12" hidden="1">
      <c r="A19">
        <v>18</v>
      </c>
      <c r="B19">
        <v>2</v>
      </c>
      <c r="C19" t="s">
        <v>4339</v>
      </c>
      <c r="D19">
        <v>7</v>
      </c>
      <c r="E19" t="s">
        <v>4342</v>
      </c>
      <c r="F19">
        <v>10</v>
      </c>
      <c r="G19" t="s">
        <v>4343</v>
      </c>
      <c r="H19">
        <v>1</v>
      </c>
      <c r="I19" t="s">
        <v>5649</v>
      </c>
      <c r="J19">
        <v>1</v>
      </c>
      <c r="K19" t="s">
        <v>5650</v>
      </c>
      <c r="L19" t="s">
        <v>5651</v>
      </c>
    </row>
    <row r="20" spans="1:12" hidden="1">
      <c r="A20">
        <v>19</v>
      </c>
      <c r="B20">
        <v>2</v>
      </c>
      <c r="C20" t="s">
        <v>4339</v>
      </c>
      <c r="D20">
        <v>7</v>
      </c>
      <c r="E20" t="s">
        <v>4342</v>
      </c>
      <c r="F20">
        <v>10</v>
      </c>
      <c r="G20" t="s">
        <v>4343</v>
      </c>
      <c r="H20">
        <v>2</v>
      </c>
      <c r="I20" t="s">
        <v>5652</v>
      </c>
      <c r="J20">
        <v>2</v>
      </c>
      <c r="K20" t="s">
        <v>5653</v>
      </c>
      <c r="L20" t="s">
        <v>5654</v>
      </c>
    </row>
    <row r="21" spans="1:12" hidden="1">
      <c r="A21">
        <v>20</v>
      </c>
      <c r="B21">
        <v>2</v>
      </c>
      <c r="C21" t="s">
        <v>4339</v>
      </c>
      <c r="D21">
        <v>7</v>
      </c>
      <c r="E21" t="s">
        <v>4342</v>
      </c>
      <c r="F21">
        <v>10</v>
      </c>
      <c r="G21" t="s">
        <v>4343</v>
      </c>
      <c r="H21">
        <v>3</v>
      </c>
      <c r="I21" t="s">
        <v>5655</v>
      </c>
      <c r="J21">
        <v>3</v>
      </c>
      <c r="K21" t="s">
        <v>5656</v>
      </c>
      <c r="L21" t="s">
        <v>5654</v>
      </c>
    </row>
    <row r="22" spans="1:12" hidden="1">
      <c r="A22">
        <v>21</v>
      </c>
      <c r="B22">
        <v>2</v>
      </c>
      <c r="C22" t="s">
        <v>4339</v>
      </c>
      <c r="D22">
        <v>7</v>
      </c>
      <c r="E22" t="s">
        <v>4342</v>
      </c>
      <c r="F22">
        <v>10</v>
      </c>
      <c r="G22" t="s">
        <v>4343</v>
      </c>
      <c r="H22">
        <v>4</v>
      </c>
      <c r="I22" t="s">
        <v>5657</v>
      </c>
      <c r="J22">
        <v>4</v>
      </c>
      <c r="K22" t="s">
        <v>5658</v>
      </c>
      <c r="L22" t="s">
        <v>5618</v>
      </c>
    </row>
    <row r="23" spans="1:12" hidden="1">
      <c r="A23">
        <v>22</v>
      </c>
      <c r="B23">
        <v>2</v>
      </c>
      <c r="C23" t="s">
        <v>4339</v>
      </c>
      <c r="D23">
        <v>7</v>
      </c>
      <c r="E23" t="s">
        <v>4342</v>
      </c>
      <c r="F23">
        <v>10</v>
      </c>
      <c r="G23" t="s">
        <v>4343</v>
      </c>
      <c r="H23">
        <v>5</v>
      </c>
      <c r="I23" t="s">
        <v>5659</v>
      </c>
      <c r="J23">
        <v>5</v>
      </c>
      <c r="K23" t="s">
        <v>5660</v>
      </c>
      <c r="L23" t="s">
        <v>5611</v>
      </c>
    </row>
    <row r="24" spans="1:12" hidden="1">
      <c r="A24">
        <v>23</v>
      </c>
      <c r="B24">
        <v>2</v>
      </c>
      <c r="C24" t="s">
        <v>4339</v>
      </c>
      <c r="D24">
        <v>7</v>
      </c>
      <c r="E24" t="s">
        <v>4342</v>
      </c>
      <c r="F24">
        <v>10</v>
      </c>
      <c r="G24" t="s">
        <v>4343</v>
      </c>
      <c r="H24">
        <v>6</v>
      </c>
      <c r="I24" t="s">
        <v>5661</v>
      </c>
      <c r="J24">
        <v>6</v>
      </c>
      <c r="K24" t="s">
        <v>5662</v>
      </c>
      <c r="L24" t="s">
        <v>5611</v>
      </c>
    </row>
    <row r="25" spans="1:12" hidden="1">
      <c r="A25">
        <v>24</v>
      </c>
      <c r="B25">
        <v>2</v>
      </c>
      <c r="C25" t="s">
        <v>4339</v>
      </c>
      <c r="D25">
        <v>7</v>
      </c>
      <c r="E25" t="s">
        <v>4342</v>
      </c>
      <c r="F25">
        <v>10</v>
      </c>
      <c r="G25" t="s">
        <v>4343</v>
      </c>
      <c r="H25">
        <v>7</v>
      </c>
      <c r="I25" t="s">
        <v>5663</v>
      </c>
      <c r="J25">
        <v>7</v>
      </c>
      <c r="K25" t="s">
        <v>5664</v>
      </c>
      <c r="L25" t="s">
        <v>5611</v>
      </c>
    </row>
    <row r="26" spans="1:12" hidden="1">
      <c r="A26">
        <v>25</v>
      </c>
      <c r="B26">
        <v>2</v>
      </c>
      <c r="C26" t="s">
        <v>4339</v>
      </c>
      <c r="D26">
        <v>7</v>
      </c>
      <c r="E26" t="s">
        <v>4342</v>
      </c>
      <c r="F26">
        <v>10</v>
      </c>
      <c r="G26" t="s">
        <v>4343</v>
      </c>
      <c r="H26">
        <v>8</v>
      </c>
      <c r="I26" t="s">
        <v>5665</v>
      </c>
      <c r="J26">
        <v>8</v>
      </c>
      <c r="K26" t="s">
        <v>5666</v>
      </c>
      <c r="L26" t="s">
        <v>5621</v>
      </c>
    </row>
    <row r="27" spans="1:12" hidden="1">
      <c r="A27">
        <v>26</v>
      </c>
      <c r="B27">
        <v>2</v>
      </c>
      <c r="C27" t="s">
        <v>4339</v>
      </c>
      <c r="D27">
        <v>7</v>
      </c>
      <c r="E27" t="s">
        <v>4342</v>
      </c>
      <c r="F27">
        <v>10</v>
      </c>
      <c r="G27" t="s">
        <v>4343</v>
      </c>
      <c r="H27">
        <v>9</v>
      </c>
      <c r="I27" t="s">
        <v>5667</v>
      </c>
      <c r="J27">
        <v>9</v>
      </c>
      <c r="K27" t="s">
        <v>5668</v>
      </c>
      <c r="L27" t="s">
        <v>5621</v>
      </c>
    </row>
    <row r="28" spans="1:12" hidden="1">
      <c r="A28">
        <v>27</v>
      </c>
      <c r="B28">
        <v>2</v>
      </c>
      <c r="C28" t="s">
        <v>4339</v>
      </c>
      <c r="D28">
        <v>7</v>
      </c>
      <c r="E28" t="s">
        <v>4342</v>
      </c>
      <c r="F28">
        <v>10</v>
      </c>
      <c r="G28" t="s">
        <v>4343</v>
      </c>
      <c r="H28">
        <v>10</v>
      </c>
      <c r="I28" t="s">
        <v>5669</v>
      </c>
      <c r="J28">
        <v>10</v>
      </c>
      <c r="K28" t="s">
        <v>5670</v>
      </c>
      <c r="L28" t="s">
        <v>5621</v>
      </c>
    </row>
    <row r="29" spans="1:12" hidden="1">
      <c r="A29">
        <v>28</v>
      </c>
      <c r="B29">
        <v>2</v>
      </c>
      <c r="C29" t="s">
        <v>4339</v>
      </c>
      <c r="D29">
        <v>7</v>
      </c>
      <c r="E29" t="s">
        <v>4342</v>
      </c>
      <c r="F29">
        <v>10</v>
      </c>
      <c r="G29" t="s">
        <v>4343</v>
      </c>
      <c r="H29">
        <v>11</v>
      </c>
      <c r="I29" t="s">
        <v>5671</v>
      </c>
      <c r="J29">
        <v>11</v>
      </c>
      <c r="K29" t="s">
        <v>5672</v>
      </c>
      <c r="L29" t="s">
        <v>5673</v>
      </c>
    </row>
    <row r="30" spans="1:12" hidden="1">
      <c r="A30">
        <v>29</v>
      </c>
      <c r="B30">
        <v>2</v>
      </c>
      <c r="C30" t="s">
        <v>4339</v>
      </c>
      <c r="D30">
        <v>7</v>
      </c>
      <c r="E30" t="s">
        <v>4342</v>
      </c>
      <c r="F30">
        <v>10</v>
      </c>
      <c r="G30" t="s">
        <v>4343</v>
      </c>
      <c r="H30">
        <v>12</v>
      </c>
      <c r="I30" t="s">
        <v>5674</v>
      </c>
      <c r="J30">
        <v>12</v>
      </c>
      <c r="K30" t="s">
        <v>5675</v>
      </c>
      <c r="L30" t="s">
        <v>5639</v>
      </c>
    </row>
    <row r="31" spans="1:12" hidden="1">
      <c r="A31">
        <v>30</v>
      </c>
      <c r="B31">
        <v>2</v>
      </c>
      <c r="C31" t="s">
        <v>4339</v>
      </c>
      <c r="D31">
        <v>7</v>
      </c>
      <c r="E31" t="s">
        <v>4342</v>
      </c>
      <c r="F31">
        <v>10</v>
      </c>
      <c r="G31" t="s">
        <v>4343</v>
      </c>
      <c r="H31">
        <v>13</v>
      </c>
      <c r="I31" t="s">
        <v>5676</v>
      </c>
      <c r="J31">
        <v>13</v>
      </c>
      <c r="K31" t="s">
        <v>5677</v>
      </c>
      <c r="L31" t="s">
        <v>5639</v>
      </c>
    </row>
    <row r="32" spans="1:12" hidden="1">
      <c r="A32">
        <v>31</v>
      </c>
      <c r="B32">
        <v>2</v>
      </c>
      <c r="C32" t="s">
        <v>4339</v>
      </c>
      <c r="D32">
        <v>7</v>
      </c>
      <c r="E32" t="s">
        <v>4342</v>
      </c>
      <c r="F32">
        <v>10</v>
      </c>
      <c r="G32" t="s">
        <v>4343</v>
      </c>
      <c r="H32">
        <v>14</v>
      </c>
      <c r="I32" t="s">
        <v>5678</v>
      </c>
      <c r="J32">
        <v>14</v>
      </c>
      <c r="K32" t="s">
        <v>5679</v>
      </c>
      <c r="L32" t="s">
        <v>5621</v>
      </c>
    </row>
    <row r="33" spans="1:12" hidden="1">
      <c r="A33">
        <v>32</v>
      </c>
      <c r="B33">
        <v>2</v>
      </c>
      <c r="C33" t="s">
        <v>4339</v>
      </c>
      <c r="D33">
        <v>7</v>
      </c>
      <c r="E33" t="s">
        <v>4342</v>
      </c>
      <c r="F33">
        <v>10</v>
      </c>
      <c r="G33" t="s">
        <v>4343</v>
      </c>
      <c r="H33">
        <v>15</v>
      </c>
      <c r="I33" t="s">
        <v>5680</v>
      </c>
      <c r="J33">
        <v>15</v>
      </c>
      <c r="K33" t="s">
        <v>5681</v>
      </c>
      <c r="L33" t="s">
        <v>5682</v>
      </c>
    </row>
    <row r="34" spans="1:12" hidden="1">
      <c r="A34">
        <v>33</v>
      </c>
      <c r="B34">
        <v>2</v>
      </c>
      <c r="C34" t="s">
        <v>4339</v>
      </c>
      <c r="D34">
        <v>7</v>
      </c>
      <c r="E34" t="s">
        <v>4342</v>
      </c>
      <c r="F34">
        <v>10</v>
      </c>
      <c r="G34" t="s">
        <v>4343</v>
      </c>
      <c r="H34">
        <v>16</v>
      </c>
      <c r="I34" t="s">
        <v>5683</v>
      </c>
      <c r="J34">
        <v>16</v>
      </c>
      <c r="K34" t="s">
        <v>5684</v>
      </c>
      <c r="L34" t="s">
        <v>5685</v>
      </c>
    </row>
    <row r="35" spans="1:12" hidden="1">
      <c r="A35">
        <v>34</v>
      </c>
      <c r="B35">
        <v>2</v>
      </c>
      <c r="C35" t="s">
        <v>4339</v>
      </c>
      <c r="D35">
        <v>7</v>
      </c>
      <c r="E35" t="s">
        <v>4342</v>
      </c>
      <c r="F35">
        <v>10</v>
      </c>
      <c r="G35" t="s">
        <v>4343</v>
      </c>
      <c r="H35">
        <v>17</v>
      </c>
      <c r="I35" t="s">
        <v>5686</v>
      </c>
      <c r="J35">
        <v>17</v>
      </c>
      <c r="K35" t="s">
        <v>5687</v>
      </c>
      <c r="L35" t="s">
        <v>5644</v>
      </c>
    </row>
    <row r="36" spans="1:12" hidden="1">
      <c r="A36">
        <v>35</v>
      </c>
      <c r="B36">
        <v>2</v>
      </c>
      <c r="C36" t="s">
        <v>4339</v>
      </c>
      <c r="D36">
        <v>7</v>
      </c>
      <c r="E36" t="s">
        <v>4342</v>
      </c>
      <c r="F36">
        <v>10</v>
      </c>
      <c r="G36" t="s">
        <v>4343</v>
      </c>
      <c r="H36">
        <v>18</v>
      </c>
      <c r="I36" t="s">
        <v>5688</v>
      </c>
      <c r="J36">
        <v>18</v>
      </c>
      <c r="K36" t="s">
        <v>5689</v>
      </c>
      <c r="L36" t="s">
        <v>5644</v>
      </c>
    </row>
    <row r="37" spans="1:12" hidden="1">
      <c r="A37">
        <v>36</v>
      </c>
      <c r="B37">
        <v>2</v>
      </c>
      <c r="C37" t="s">
        <v>4339</v>
      </c>
      <c r="D37">
        <v>7</v>
      </c>
      <c r="E37" t="s">
        <v>4342</v>
      </c>
      <c r="F37">
        <v>10</v>
      </c>
      <c r="G37" t="s">
        <v>4343</v>
      </c>
      <c r="H37">
        <v>19</v>
      </c>
      <c r="I37" t="s">
        <v>5690</v>
      </c>
      <c r="J37">
        <v>19</v>
      </c>
      <c r="K37" t="s">
        <v>5691</v>
      </c>
      <c r="L37" t="s">
        <v>5673</v>
      </c>
    </row>
    <row r="38" spans="1:12" hidden="1">
      <c r="A38">
        <v>37</v>
      </c>
      <c r="B38">
        <v>2</v>
      </c>
      <c r="C38" t="s">
        <v>4339</v>
      </c>
      <c r="D38">
        <v>7</v>
      </c>
      <c r="E38" t="s">
        <v>4342</v>
      </c>
      <c r="F38">
        <v>10</v>
      </c>
      <c r="G38" t="s">
        <v>4343</v>
      </c>
      <c r="H38">
        <v>20</v>
      </c>
      <c r="I38" t="s">
        <v>5692</v>
      </c>
      <c r="J38">
        <v>20</v>
      </c>
      <c r="K38" t="s">
        <v>5693</v>
      </c>
      <c r="L38" t="s">
        <v>5694</v>
      </c>
    </row>
    <row r="39" spans="1:12" hidden="1">
      <c r="A39">
        <v>38</v>
      </c>
      <c r="B39">
        <v>2</v>
      </c>
      <c r="C39" t="s">
        <v>4339</v>
      </c>
      <c r="D39">
        <v>7</v>
      </c>
      <c r="E39" t="s">
        <v>4342</v>
      </c>
      <c r="F39">
        <v>10</v>
      </c>
      <c r="G39" t="s">
        <v>4343</v>
      </c>
      <c r="H39">
        <v>21</v>
      </c>
      <c r="I39" t="s">
        <v>5695</v>
      </c>
      <c r="J39">
        <v>21</v>
      </c>
      <c r="K39" t="s">
        <v>5696</v>
      </c>
      <c r="L39" t="s">
        <v>5697</v>
      </c>
    </row>
    <row r="40" spans="1:12" hidden="1">
      <c r="A40">
        <v>39</v>
      </c>
      <c r="B40">
        <v>2</v>
      </c>
      <c r="C40" t="s">
        <v>4339</v>
      </c>
      <c r="D40">
        <v>7</v>
      </c>
      <c r="E40" t="s">
        <v>4342</v>
      </c>
      <c r="F40">
        <v>10</v>
      </c>
      <c r="G40" t="s">
        <v>4343</v>
      </c>
      <c r="H40">
        <v>22</v>
      </c>
      <c r="I40" t="s">
        <v>5698</v>
      </c>
      <c r="J40">
        <v>22</v>
      </c>
      <c r="K40" t="s">
        <v>5699</v>
      </c>
      <c r="L40" t="s">
        <v>5697</v>
      </c>
    </row>
    <row r="41" spans="1:12" hidden="1">
      <c r="A41">
        <v>40</v>
      </c>
      <c r="B41">
        <v>2</v>
      </c>
      <c r="C41" t="s">
        <v>4339</v>
      </c>
      <c r="D41">
        <v>7</v>
      </c>
      <c r="E41" t="s">
        <v>4342</v>
      </c>
      <c r="F41">
        <v>10</v>
      </c>
      <c r="G41" t="s">
        <v>4343</v>
      </c>
      <c r="H41">
        <v>23</v>
      </c>
      <c r="I41" t="s">
        <v>5700</v>
      </c>
      <c r="J41">
        <v>23</v>
      </c>
      <c r="K41" t="s">
        <v>5701</v>
      </c>
      <c r="L41" t="s">
        <v>5702</v>
      </c>
    </row>
    <row r="42" spans="1:12" hidden="1">
      <c r="A42">
        <v>41</v>
      </c>
      <c r="B42">
        <v>2</v>
      </c>
      <c r="C42" t="s">
        <v>4339</v>
      </c>
      <c r="D42">
        <v>12</v>
      </c>
      <c r="E42" t="s">
        <v>4344</v>
      </c>
      <c r="F42">
        <v>15</v>
      </c>
      <c r="G42" t="s">
        <v>4345</v>
      </c>
      <c r="H42">
        <v>1</v>
      </c>
      <c r="I42" t="s">
        <v>5703</v>
      </c>
      <c r="J42">
        <v>1</v>
      </c>
      <c r="K42" t="s">
        <v>5704</v>
      </c>
      <c r="L42" t="s">
        <v>5705</v>
      </c>
    </row>
    <row r="43" spans="1:12" hidden="1">
      <c r="A43">
        <v>42</v>
      </c>
      <c r="B43">
        <v>2</v>
      </c>
      <c r="C43" t="s">
        <v>4339</v>
      </c>
      <c r="D43">
        <v>12</v>
      </c>
      <c r="E43" t="s">
        <v>4344</v>
      </c>
      <c r="F43">
        <v>15</v>
      </c>
      <c r="G43" t="s">
        <v>4345</v>
      </c>
      <c r="H43">
        <v>2</v>
      </c>
      <c r="I43" t="s">
        <v>5706</v>
      </c>
      <c r="J43">
        <v>2</v>
      </c>
      <c r="K43" t="s">
        <v>5707</v>
      </c>
      <c r="L43" t="s">
        <v>5654</v>
      </c>
    </row>
    <row r="44" spans="1:12" hidden="1">
      <c r="A44">
        <v>43</v>
      </c>
      <c r="B44">
        <v>2</v>
      </c>
      <c r="C44" t="s">
        <v>4339</v>
      </c>
      <c r="D44">
        <v>12</v>
      </c>
      <c r="E44" t="s">
        <v>4344</v>
      </c>
      <c r="F44">
        <v>15</v>
      </c>
      <c r="G44" t="s">
        <v>4345</v>
      </c>
      <c r="H44">
        <v>3</v>
      </c>
      <c r="I44" t="s">
        <v>5708</v>
      </c>
      <c r="J44">
        <v>3</v>
      </c>
      <c r="K44" t="s">
        <v>5709</v>
      </c>
      <c r="L44" t="s">
        <v>5611</v>
      </c>
    </row>
    <row r="45" spans="1:12" hidden="1">
      <c r="A45">
        <v>44</v>
      </c>
      <c r="B45">
        <v>2</v>
      </c>
      <c r="C45" t="s">
        <v>4339</v>
      </c>
      <c r="D45">
        <v>12</v>
      </c>
      <c r="E45" t="s">
        <v>4344</v>
      </c>
      <c r="F45">
        <v>15</v>
      </c>
      <c r="G45" t="s">
        <v>4345</v>
      </c>
      <c r="H45">
        <v>4</v>
      </c>
      <c r="I45" t="s">
        <v>5710</v>
      </c>
      <c r="J45">
        <v>4</v>
      </c>
      <c r="K45" t="s">
        <v>5711</v>
      </c>
      <c r="L45" t="s">
        <v>5618</v>
      </c>
    </row>
    <row r="46" spans="1:12" hidden="1">
      <c r="A46">
        <v>45</v>
      </c>
      <c r="B46">
        <v>2</v>
      </c>
      <c r="C46" t="s">
        <v>4339</v>
      </c>
      <c r="D46">
        <v>12</v>
      </c>
      <c r="E46" t="s">
        <v>4344</v>
      </c>
      <c r="F46">
        <v>15</v>
      </c>
      <c r="G46" t="s">
        <v>4345</v>
      </c>
      <c r="H46">
        <v>5</v>
      </c>
      <c r="I46" t="s">
        <v>5712</v>
      </c>
      <c r="J46">
        <v>5</v>
      </c>
      <c r="K46" t="s">
        <v>5713</v>
      </c>
      <c r="L46" t="s">
        <v>5644</v>
      </c>
    </row>
    <row r="47" spans="1:12" hidden="1">
      <c r="A47">
        <v>46</v>
      </c>
      <c r="B47">
        <v>2</v>
      </c>
      <c r="C47" t="s">
        <v>4339</v>
      </c>
      <c r="D47">
        <v>12</v>
      </c>
      <c r="E47" t="s">
        <v>4344</v>
      </c>
      <c r="F47">
        <v>15</v>
      </c>
      <c r="G47" t="s">
        <v>4345</v>
      </c>
      <c r="H47">
        <v>6</v>
      </c>
      <c r="I47" t="s">
        <v>5714</v>
      </c>
      <c r="J47">
        <v>6</v>
      </c>
      <c r="K47" t="s">
        <v>5715</v>
      </c>
      <c r="L47" t="s">
        <v>5716</v>
      </c>
    </row>
    <row r="48" spans="1:12" hidden="1">
      <c r="A48">
        <v>47</v>
      </c>
      <c r="B48">
        <v>2</v>
      </c>
      <c r="C48" t="s">
        <v>4339</v>
      </c>
      <c r="D48">
        <v>12</v>
      </c>
      <c r="E48" t="s">
        <v>4344</v>
      </c>
      <c r="F48">
        <v>15</v>
      </c>
      <c r="G48" t="s">
        <v>4345</v>
      </c>
      <c r="H48">
        <v>7</v>
      </c>
      <c r="I48" t="s">
        <v>5717</v>
      </c>
      <c r="J48">
        <v>7</v>
      </c>
      <c r="K48" t="s">
        <v>5718</v>
      </c>
      <c r="L48" t="s">
        <v>5702</v>
      </c>
    </row>
    <row r="49" spans="1:12" hidden="1">
      <c r="A49">
        <v>48</v>
      </c>
      <c r="B49">
        <v>2</v>
      </c>
      <c r="C49" t="s">
        <v>4339</v>
      </c>
      <c r="D49">
        <v>12</v>
      </c>
      <c r="E49" t="s">
        <v>4344</v>
      </c>
      <c r="F49">
        <v>15</v>
      </c>
      <c r="G49" t="s">
        <v>4345</v>
      </c>
      <c r="H49">
        <v>8</v>
      </c>
      <c r="I49" t="s">
        <v>5719</v>
      </c>
      <c r="J49">
        <v>8</v>
      </c>
      <c r="K49" t="s">
        <v>5720</v>
      </c>
      <c r="L49" t="s">
        <v>5621</v>
      </c>
    </row>
    <row r="50" spans="1:12" hidden="1">
      <c r="A50">
        <v>49</v>
      </c>
      <c r="B50">
        <v>2</v>
      </c>
      <c r="C50" t="s">
        <v>4339</v>
      </c>
      <c r="D50">
        <v>12</v>
      </c>
      <c r="E50" t="s">
        <v>4344</v>
      </c>
      <c r="F50">
        <v>15</v>
      </c>
      <c r="G50" t="s">
        <v>4345</v>
      </c>
      <c r="H50">
        <v>9</v>
      </c>
      <c r="I50" t="s">
        <v>5721</v>
      </c>
      <c r="J50">
        <v>9</v>
      </c>
      <c r="K50" t="s">
        <v>5722</v>
      </c>
      <c r="L50" t="s">
        <v>5621</v>
      </c>
    </row>
    <row r="51" spans="1:12" hidden="1">
      <c r="A51">
        <v>50</v>
      </c>
      <c r="B51">
        <v>2</v>
      </c>
      <c r="C51" t="s">
        <v>4339</v>
      </c>
      <c r="D51">
        <v>12</v>
      </c>
      <c r="E51" t="s">
        <v>4344</v>
      </c>
      <c r="F51">
        <v>15</v>
      </c>
      <c r="G51" t="s">
        <v>4345</v>
      </c>
      <c r="H51">
        <v>10</v>
      </c>
      <c r="I51" t="s">
        <v>5723</v>
      </c>
      <c r="J51">
        <v>10</v>
      </c>
      <c r="K51" t="s">
        <v>5724</v>
      </c>
      <c r="L51" t="s">
        <v>5639</v>
      </c>
    </row>
    <row r="52" spans="1:12" hidden="1">
      <c r="A52">
        <v>51</v>
      </c>
      <c r="B52">
        <v>2</v>
      </c>
      <c r="C52" t="s">
        <v>4339</v>
      </c>
      <c r="D52">
        <v>12</v>
      </c>
      <c r="E52" t="s">
        <v>4344</v>
      </c>
      <c r="F52">
        <v>15</v>
      </c>
      <c r="G52" t="s">
        <v>4345</v>
      </c>
      <c r="H52">
        <v>11</v>
      </c>
      <c r="I52" t="s">
        <v>5725</v>
      </c>
      <c r="J52">
        <v>11</v>
      </c>
      <c r="K52" t="s">
        <v>5726</v>
      </c>
      <c r="L52" t="s">
        <v>5639</v>
      </c>
    </row>
    <row r="53" spans="1:12" hidden="1">
      <c r="A53">
        <v>52</v>
      </c>
      <c r="B53">
        <v>2</v>
      </c>
      <c r="C53" t="s">
        <v>4339</v>
      </c>
      <c r="D53">
        <v>12</v>
      </c>
      <c r="E53" t="s">
        <v>4344</v>
      </c>
      <c r="F53">
        <v>15</v>
      </c>
      <c r="G53" t="s">
        <v>4345</v>
      </c>
      <c r="H53">
        <v>12</v>
      </c>
      <c r="I53" t="s">
        <v>5727</v>
      </c>
      <c r="J53">
        <v>12</v>
      </c>
      <c r="K53" t="s">
        <v>5728</v>
      </c>
      <c r="L53" t="s">
        <v>5639</v>
      </c>
    </row>
    <row r="54" spans="1:12" hidden="1">
      <c r="A54">
        <v>53</v>
      </c>
      <c r="B54">
        <v>2</v>
      </c>
      <c r="C54" t="s">
        <v>4339</v>
      </c>
      <c r="D54">
        <v>12</v>
      </c>
      <c r="E54" t="s">
        <v>4344</v>
      </c>
      <c r="F54">
        <v>15</v>
      </c>
      <c r="G54" t="s">
        <v>4345</v>
      </c>
      <c r="H54">
        <v>13</v>
      </c>
      <c r="I54" t="s">
        <v>5729</v>
      </c>
      <c r="J54">
        <v>13</v>
      </c>
      <c r="K54" t="s">
        <v>5730</v>
      </c>
      <c r="L54" t="s">
        <v>5731</v>
      </c>
    </row>
    <row r="55" spans="1:12" hidden="1">
      <c r="A55">
        <v>54</v>
      </c>
      <c r="B55">
        <v>2</v>
      </c>
      <c r="C55" t="s">
        <v>4339</v>
      </c>
      <c r="D55">
        <v>12</v>
      </c>
      <c r="E55" t="s">
        <v>4344</v>
      </c>
      <c r="F55">
        <v>15</v>
      </c>
      <c r="G55" t="s">
        <v>4345</v>
      </c>
      <c r="H55">
        <v>14</v>
      </c>
      <c r="I55" t="s">
        <v>5732</v>
      </c>
      <c r="J55">
        <v>14</v>
      </c>
      <c r="K55" t="s">
        <v>5733</v>
      </c>
      <c r="L55" t="s">
        <v>5705</v>
      </c>
    </row>
    <row r="56" spans="1:12" hidden="1">
      <c r="A56">
        <v>55</v>
      </c>
      <c r="B56">
        <v>2</v>
      </c>
      <c r="C56" t="s">
        <v>4339</v>
      </c>
      <c r="D56">
        <v>9</v>
      </c>
      <c r="E56" t="s">
        <v>4346</v>
      </c>
      <c r="F56">
        <v>12</v>
      </c>
      <c r="G56" t="s">
        <v>4347</v>
      </c>
      <c r="H56">
        <v>1</v>
      </c>
      <c r="I56" t="s">
        <v>5734</v>
      </c>
      <c r="J56">
        <v>1</v>
      </c>
      <c r="K56" t="s">
        <v>5735</v>
      </c>
      <c r="L56" t="s">
        <v>5705</v>
      </c>
    </row>
    <row r="57" spans="1:12" hidden="1">
      <c r="A57">
        <v>56</v>
      </c>
      <c r="B57">
        <v>2</v>
      </c>
      <c r="C57" t="s">
        <v>4339</v>
      </c>
      <c r="D57">
        <v>9</v>
      </c>
      <c r="E57" t="s">
        <v>4346</v>
      </c>
      <c r="F57">
        <v>12</v>
      </c>
      <c r="G57" t="s">
        <v>4347</v>
      </c>
      <c r="H57">
        <v>2</v>
      </c>
      <c r="I57" t="s">
        <v>5736</v>
      </c>
      <c r="J57">
        <v>2</v>
      </c>
      <c r="K57" t="s">
        <v>5737</v>
      </c>
      <c r="L57" t="s">
        <v>5654</v>
      </c>
    </row>
    <row r="58" spans="1:12" hidden="1">
      <c r="A58">
        <v>57</v>
      </c>
      <c r="B58">
        <v>2</v>
      </c>
      <c r="C58" t="s">
        <v>4339</v>
      </c>
      <c r="D58">
        <v>9</v>
      </c>
      <c r="E58" t="s">
        <v>4346</v>
      </c>
      <c r="F58">
        <v>12</v>
      </c>
      <c r="G58" t="s">
        <v>4347</v>
      </c>
      <c r="H58">
        <v>3</v>
      </c>
      <c r="I58" t="s">
        <v>5738</v>
      </c>
      <c r="J58">
        <v>3</v>
      </c>
      <c r="K58" t="s">
        <v>5739</v>
      </c>
      <c r="L58" t="s">
        <v>5618</v>
      </c>
    </row>
    <row r="59" spans="1:12" hidden="1">
      <c r="A59">
        <v>58</v>
      </c>
      <c r="B59">
        <v>2</v>
      </c>
      <c r="C59" t="s">
        <v>4339</v>
      </c>
      <c r="D59">
        <v>9</v>
      </c>
      <c r="E59" t="s">
        <v>4346</v>
      </c>
      <c r="F59">
        <v>12</v>
      </c>
      <c r="G59" t="s">
        <v>4347</v>
      </c>
      <c r="H59">
        <v>4</v>
      </c>
      <c r="I59" t="s">
        <v>5740</v>
      </c>
      <c r="J59">
        <v>4</v>
      </c>
      <c r="K59" t="s">
        <v>5741</v>
      </c>
      <c r="L59" t="s">
        <v>5618</v>
      </c>
    </row>
    <row r="60" spans="1:12" hidden="1">
      <c r="A60">
        <v>59</v>
      </c>
      <c r="B60">
        <v>2</v>
      </c>
      <c r="C60" t="s">
        <v>4339</v>
      </c>
      <c r="D60">
        <v>9</v>
      </c>
      <c r="E60" t="s">
        <v>4346</v>
      </c>
      <c r="F60">
        <v>12</v>
      </c>
      <c r="G60" t="s">
        <v>4347</v>
      </c>
      <c r="H60">
        <v>5</v>
      </c>
      <c r="I60" t="s">
        <v>5742</v>
      </c>
      <c r="J60">
        <v>5</v>
      </c>
      <c r="K60" t="s">
        <v>5743</v>
      </c>
      <c r="L60" t="s">
        <v>5618</v>
      </c>
    </row>
    <row r="61" spans="1:12" hidden="1">
      <c r="A61">
        <v>60</v>
      </c>
      <c r="B61">
        <v>2</v>
      </c>
      <c r="C61" t="s">
        <v>4339</v>
      </c>
      <c r="D61">
        <v>9</v>
      </c>
      <c r="E61" t="s">
        <v>4346</v>
      </c>
      <c r="F61">
        <v>12</v>
      </c>
      <c r="G61" t="s">
        <v>4347</v>
      </c>
      <c r="H61">
        <v>6</v>
      </c>
      <c r="I61" t="s">
        <v>5744</v>
      </c>
      <c r="J61">
        <v>6</v>
      </c>
      <c r="K61" t="s">
        <v>5745</v>
      </c>
      <c r="L61" t="s">
        <v>5618</v>
      </c>
    </row>
    <row r="62" spans="1:12" hidden="1">
      <c r="A62">
        <v>61</v>
      </c>
      <c r="B62">
        <v>2</v>
      </c>
      <c r="C62" t="s">
        <v>4339</v>
      </c>
      <c r="D62">
        <v>9</v>
      </c>
      <c r="E62" t="s">
        <v>4346</v>
      </c>
      <c r="F62">
        <v>12</v>
      </c>
      <c r="G62" t="s">
        <v>4347</v>
      </c>
      <c r="H62">
        <v>7</v>
      </c>
      <c r="I62" t="s">
        <v>5746</v>
      </c>
      <c r="J62">
        <v>7</v>
      </c>
      <c r="K62" t="s">
        <v>5747</v>
      </c>
      <c r="L62" t="s">
        <v>5621</v>
      </c>
    </row>
    <row r="63" spans="1:12" hidden="1">
      <c r="A63">
        <v>62</v>
      </c>
      <c r="B63">
        <v>2</v>
      </c>
      <c r="C63" t="s">
        <v>4339</v>
      </c>
      <c r="D63">
        <v>9</v>
      </c>
      <c r="E63" t="s">
        <v>4346</v>
      </c>
      <c r="F63">
        <v>12</v>
      </c>
      <c r="G63" t="s">
        <v>4347</v>
      </c>
      <c r="H63">
        <v>8</v>
      </c>
      <c r="I63" t="s">
        <v>5748</v>
      </c>
      <c r="J63">
        <v>8</v>
      </c>
      <c r="K63" t="s">
        <v>5749</v>
      </c>
      <c r="L63" t="s">
        <v>5621</v>
      </c>
    </row>
    <row r="64" spans="1:12" hidden="1">
      <c r="A64">
        <v>63</v>
      </c>
      <c r="B64">
        <v>2</v>
      </c>
      <c r="C64" t="s">
        <v>4339</v>
      </c>
      <c r="D64">
        <v>9</v>
      </c>
      <c r="E64" t="s">
        <v>4346</v>
      </c>
      <c r="F64">
        <v>12</v>
      </c>
      <c r="G64" t="s">
        <v>4347</v>
      </c>
      <c r="H64">
        <v>9</v>
      </c>
      <c r="I64" t="s">
        <v>5750</v>
      </c>
      <c r="J64">
        <v>9</v>
      </c>
      <c r="K64" t="s">
        <v>5751</v>
      </c>
      <c r="L64" t="s">
        <v>5639</v>
      </c>
    </row>
    <row r="65" spans="1:12" hidden="1">
      <c r="A65">
        <v>64</v>
      </c>
      <c r="B65">
        <v>2</v>
      </c>
      <c r="C65" t="s">
        <v>4339</v>
      </c>
      <c r="D65">
        <v>9</v>
      </c>
      <c r="E65" t="s">
        <v>4346</v>
      </c>
      <c r="F65">
        <v>12</v>
      </c>
      <c r="G65" t="s">
        <v>4347</v>
      </c>
      <c r="H65">
        <v>10</v>
      </c>
      <c r="I65" t="s">
        <v>5752</v>
      </c>
      <c r="J65">
        <v>10</v>
      </c>
      <c r="K65" t="s">
        <v>5753</v>
      </c>
      <c r="L65" t="s">
        <v>5702</v>
      </c>
    </row>
    <row r="66" spans="1:12" hidden="1">
      <c r="A66">
        <v>65</v>
      </c>
      <c r="B66">
        <v>2</v>
      </c>
      <c r="C66" t="s">
        <v>4339</v>
      </c>
      <c r="D66">
        <v>9</v>
      </c>
      <c r="E66" t="s">
        <v>4346</v>
      </c>
      <c r="F66">
        <v>12</v>
      </c>
      <c r="G66" t="s">
        <v>4347</v>
      </c>
      <c r="H66">
        <v>11</v>
      </c>
      <c r="I66" t="s">
        <v>5754</v>
      </c>
      <c r="J66">
        <v>11</v>
      </c>
      <c r="K66" t="s">
        <v>5755</v>
      </c>
      <c r="L66" t="s">
        <v>5644</v>
      </c>
    </row>
    <row r="67" spans="1:12" hidden="1">
      <c r="A67">
        <v>66</v>
      </c>
      <c r="B67">
        <v>2</v>
      </c>
      <c r="C67" t="s">
        <v>4339</v>
      </c>
      <c r="D67">
        <v>9</v>
      </c>
      <c r="E67" t="s">
        <v>4346</v>
      </c>
      <c r="F67">
        <v>12</v>
      </c>
      <c r="G67" t="s">
        <v>4347</v>
      </c>
      <c r="H67">
        <v>12</v>
      </c>
      <c r="I67" t="s">
        <v>5756</v>
      </c>
      <c r="J67">
        <v>12</v>
      </c>
      <c r="K67" t="s">
        <v>5757</v>
      </c>
    </row>
    <row r="68" spans="1:12" hidden="1">
      <c r="A68">
        <v>67</v>
      </c>
      <c r="B68">
        <v>2</v>
      </c>
      <c r="C68" t="s">
        <v>4339</v>
      </c>
      <c r="D68">
        <v>9</v>
      </c>
      <c r="E68" t="s">
        <v>4346</v>
      </c>
      <c r="F68">
        <v>12</v>
      </c>
      <c r="G68" t="s">
        <v>4347</v>
      </c>
      <c r="H68">
        <v>13</v>
      </c>
      <c r="I68" t="s">
        <v>5758</v>
      </c>
      <c r="J68">
        <v>13</v>
      </c>
      <c r="K68" t="s">
        <v>5759</v>
      </c>
      <c r="L68" t="s">
        <v>5673</v>
      </c>
    </row>
    <row r="69" spans="1:12" hidden="1">
      <c r="A69">
        <v>68</v>
      </c>
      <c r="B69">
        <v>2</v>
      </c>
      <c r="C69" t="s">
        <v>4339</v>
      </c>
      <c r="D69">
        <v>9</v>
      </c>
      <c r="E69" t="s">
        <v>4346</v>
      </c>
      <c r="F69">
        <v>12</v>
      </c>
      <c r="G69" t="s">
        <v>4347</v>
      </c>
      <c r="H69">
        <v>14</v>
      </c>
      <c r="I69" t="s">
        <v>5760</v>
      </c>
      <c r="J69">
        <v>14</v>
      </c>
      <c r="K69" t="s">
        <v>5761</v>
      </c>
      <c r="L69" t="s">
        <v>5639</v>
      </c>
    </row>
    <row r="70" spans="1:12" hidden="1">
      <c r="A70">
        <v>69</v>
      </c>
      <c r="B70">
        <v>2</v>
      </c>
      <c r="C70" t="s">
        <v>4339</v>
      </c>
      <c r="D70">
        <v>9</v>
      </c>
      <c r="E70" t="s">
        <v>4346</v>
      </c>
      <c r="F70">
        <v>12</v>
      </c>
      <c r="G70" t="s">
        <v>4347</v>
      </c>
      <c r="H70">
        <v>15</v>
      </c>
      <c r="I70" t="s">
        <v>5762</v>
      </c>
      <c r="J70">
        <v>15</v>
      </c>
      <c r="K70" t="s">
        <v>5763</v>
      </c>
      <c r="L70" t="s">
        <v>5639</v>
      </c>
    </row>
    <row r="71" spans="1:12" hidden="1">
      <c r="A71">
        <v>70</v>
      </c>
      <c r="B71">
        <v>2</v>
      </c>
      <c r="C71" t="s">
        <v>4339</v>
      </c>
      <c r="D71">
        <v>9</v>
      </c>
      <c r="E71" t="s">
        <v>4346</v>
      </c>
      <c r="F71">
        <v>12</v>
      </c>
      <c r="G71" t="s">
        <v>4347</v>
      </c>
      <c r="H71">
        <v>16</v>
      </c>
      <c r="I71" t="s">
        <v>5764</v>
      </c>
      <c r="J71">
        <v>16</v>
      </c>
      <c r="K71" t="s">
        <v>5765</v>
      </c>
      <c r="L71" t="s">
        <v>5716</v>
      </c>
    </row>
    <row r="72" spans="1:12" hidden="1">
      <c r="A72">
        <v>71</v>
      </c>
      <c r="B72">
        <v>2</v>
      </c>
      <c r="C72" t="s">
        <v>4339</v>
      </c>
      <c r="D72">
        <v>11</v>
      </c>
      <c r="E72" t="s">
        <v>4348</v>
      </c>
      <c r="F72">
        <v>14</v>
      </c>
      <c r="G72" t="s">
        <v>4349</v>
      </c>
      <c r="H72">
        <v>1</v>
      </c>
      <c r="I72" t="s">
        <v>5766</v>
      </c>
      <c r="J72">
        <v>1</v>
      </c>
      <c r="K72" t="s">
        <v>5767</v>
      </c>
      <c r="L72" t="s">
        <v>5768</v>
      </c>
    </row>
    <row r="73" spans="1:12" hidden="1">
      <c r="A73">
        <v>72</v>
      </c>
      <c r="B73">
        <v>2</v>
      </c>
      <c r="C73" t="s">
        <v>4339</v>
      </c>
      <c r="D73">
        <v>11</v>
      </c>
      <c r="E73" t="s">
        <v>4348</v>
      </c>
      <c r="F73">
        <v>14</v>
      </c>
      <c r="G73" t="s">
        <v>4349</v>
      </c>
      <c r="H73">
        <v>2</v>
      </c>
      <c r="I73" t="s">
        <v>5769</v>
      </c>
      <c r="J73">
        <v>2</v>
      </c>
      <c r="K73" t="s">
        <v>5770</v>
      </c>
      <c r="L73" t="s">
        <v>5654</v>
      </c>
    </row>
    <row r="74" spans="1:12" hidden="1">
      <c r="A74">
        <v>73</v>
      </c>
      <c r="B74">
        <v>2</v>
      </c>
      <c r="C74" t="s">
        <v>4339</v>
      </c>
      <c r="D74">
        <v>11</v>
      </c>
      <c r="E74" t="s">
        <v>4348</v>
      </c>
      <c r="F74">
        <v>14</v>
      </c>
      <c r="G74" t="s">
        <v>4349</v>
      </c>
      <c r="H74">
        <v>3</v>
      </c>
      <c r="I74" t="s">
        <v>5771</v>
      </c>
      <c r="J74">
        <v>3</v>
      </c>
      <c r="K74" t="s">
        <v>5772</v>
      </c>
      <c r="L74" t="s">
        <v>5654</v>
      </c>
    </row>
    <row r="75" spans="1:12" hidden="1">
      <c r="A75">
        <v>74</v>
      </c>
      <c r="B75">
        <v>2</v>
      </c>
      <c r="C75" t="s">
        <v>4339</v>
      </c>
      <c r="D75">
        <v>11</v>
      </c>
      <c r="E75" t="s">
        <v>4348</v>
      </c>
      <c r="F75">
        <v>14</v>
      </c>
      <c r="G75" t="s">
        <v>4349</v>
      </c>
      <c r="H75">
        <v>4</v>
      </c>
      <c r="I75" t="s">
        <v>5773</v>
      </c>
      <c r="J75">
        <v>4</v>
      </c>
      <c r="K75" t="s">
        <v>5774</v>
      </c>
      <c r="L75" t="s">
        <v>5654</v>
      </c>
    </row>
    <row r="76" spans="1:12" hidden="1">
      <c r="A76">
        <v>75</v>
      </c>
      <c r="B76">
        <v>2</v>
      </c>
      <c r="C76" t="s">
        <v>4339</v>
      </c>
      <c r="D76">
        <v>11</v>
      </c>
      <c r="E76" t="s">
        <v>4348</v>
      </c>
      <c r="F76">
        <v>14</v>
      </c>
      <c r="G76" t="s">
        <v>4349</v>
      </c>
      <c r="H76">
        <v>5</v>
      </c>
      <c r="I76" t="s">
        <v>5775</v>
      </c>
      <c r="J76">
        <v>5</v>
      </c>
      <c r="K76" t="s">
        <v>5776</v>
      </c>
      <c r="L76" t="s">
        <v>5654</v>
      </c>
    </row>
    <row r="77" spans="1:12" hidden="1">
      <c r="A77">
        <v>76</v>
      </c>
      <c r="B77">
        <v>2</v>
      </c>
      <c r="C77" t="s">
        <v>4339</v>
      </c>
      <c r="D77">
        <v>11</v>
      </c>
      <c r="E77" t="s">
        <v>4348</v>
      </c>
      <c r="F77">
        <v>14</v>
      </c>
      <c r="G77" t="s">
        <v>4349</v>
      </c>
      <c r="H77">
        <v>6</v>
      </c>
      <c r="I77" t="s">
        <v>5777</v>
      </c>
      <c r="J77">
        <v>6</v>
      </c>
      <c r="K77" t="s">
        <v>5778</v>
      </c>
      <c r="L77" t="s">
        <v>5702</v>
      </c>
    </row>
    <row r="78" spans="1:12" hidden="1">
      <c r="A78">
        <v>77</v>
      </c>
      <c r="B78">
        <v>2</v>
      </c>
      <c r="C78" t="s">
        <v>4339</v>
      </c>
      <c r="D78">
        <v>11</v>
      </c>
      <c r="E78" t="s">
        <v>4348</v>
      </c>
      <c r="F78">
        <v>14</v>
      </c>
      <c r="G78" t="s">
        <v>4349</v>
      </c>
      <c r="H78">
        <v>7</v>
      </c>
      <c r="I78" t="s">
        <v>5779</v>
      </c>
      <c r="J78">
        <v>7</v>
      </c>
      <c r="K78" t="s">
        <v>5780</v>
      </c>
      <c r="L78" t="s">
        <v>5705</v>
      </c>
    </row>
    <row r="79" spans="1:12" hidden="1">
      <c r="A79">
        <v>78</v>
      </c>
      <c r="B79">
        <v>2</v>
      </c>
      <c r="C79" t="s">
        <v>4339</v>
      </c>
      <c r="D79">
        <v>11</v>
      </c>
      <c r="E79" t="s">
        <v>4348</v>
      </c>
      <c r="F79">
        <v>14</v>
      </c>
      <c r="G79" t="s">
        <v>4349</v>
      </c>
      <c r="H79">
        <v>8</v>
      </c>
      <c r="I79" t="s">
        <v>5781</v>
      </c>
      <c r="J79">
        <v>8</v>
      </c>
      <c r="K79" t="s">
        <v>5782</v>
      </c>
      <c r="L79" t="s">
        <v>5611</v>
      </c>
    </row>
    <row r="80" spans="1:12" hidden="1">
      <c r="A80">
        <v>79</v>
      </c>
      <c r="B80">
        <v>2</v>
      </c>
      <c r="C80" t="s">
        <v>4339</v>
      </c>
      <c r="D80">
        <v>11</v>
      </c>
      <c r="E80" t="s">
        <v>4348</v>
      </c>
      <c r="F80">
        <v>14</v>
      </c>
      <c r="G80" t="s">
        <v>4349</v>
      </c>
      <c r="H80">
        <v>9</v>
      </c>
      <c r="I80" t="s">
        <v>5783</v>
      </c>
      <c r="J80">
        <v>9</v>
      </c>
      <c r="K80" t="s">
        <v>5784</v>
      </c>
      <c r="L80" t="s">
        <v>5611</v>
      </c>
    </row>
    <row r="81" spans="1:12" hidden="1">
      <c r="A81">
        <v>80</v>
      </c>
      <c r="B81">
        <v>2</v>
      </c>
      <c r="C81" t="s">
        <v>4339</v>
      </c>
      <c r="D81">
        <v>11</v>
      </c>
      <c r="E81" t="s">
        <v>4348</v>
      </c>
      <c r="F81">
        <v>14</v>
      </c>
      <c r="G81" t="s">
        <v>4349</v>
      </c>
      <c r="H81">
        <v>10</v>
      </c>
      <c r="I81" t="s">
        <v>5785</v>
      </c>
      <c r="J81">
        <v>10</v>
      </c>
      <c r="K81" t="s">
        <v>5786</v>
      </c>
      <c r="L81" t="s">
        <v>5702</v>
      </c>
    </row>
    <row r="82" spans="1:12" hidden="1">
      <c r="A82">
        <v>81</v>
      </c>
      <c r="B82">
        <v>2</v>
      </c>
      <c r="C82" t="s">
        <v>4339</v>
      </c>
      <c r="D82">
        <v>11</v>
      </c>
      <c r="E82" t="s">
        <v>4348</v>
      </c>
      <c r="F82">
        <v>14</v>
      </c>
      <c r="G82" t="s">
        <v>4349</v>
      </c>
      <c r="H82">
        <v>11</v>
      </c>
      <c r="I82" t="s">
        <v>5787</v>
      </c>
      <c r="J82">
        <v>11</v>
      </c>
      <c r="K82" t="s">
        <v>5788</v>
      </c>
      <c r="L82" t="s">
        <v>5621</v>
      </c>
    </row>
    <row r="83" spans="1:12" hidden="1">
      <c r="A83">
        <v>82</v>
      </c>
      <c r="B83">
        <v>2</v>
      </c>
      <c r="C83" t="s">
        <v>4339</v>
      </c>
      <c r="D83">
        <v>11</v>
      </c>
      <c r="E83" t="s">
        <v>4348</v>
      </c>
      <c r="F83">
        <v>14</v>
      </c>
      <c r="G83" t="s">
        <v>4349</v>
      </c>
      <c r="H83">
        <v>12</v>
      </c>
      <c r="I83" t="s">
        <v>5789</v>
      </c>
      <c r="J83">
        <v>12</v>
      </c>
      <c r="K83" t="s">
        <v>5790</v>
      </c>
      <c r="L83" t="s">
        <v>5621</v>
      </c>
    </row>
    <row r="84" spans="1:12" hidden="1">
      <c r="A84">
        <v>83</v>
      </c>
      <c r="B84">
        <v>2</v>
      </c>
      <c r="C84" t="s">
        <v>4339</v>
      </c>
      <c r="D84">
        <v>11</v>
      </c>
      <c r="E84" t="s">
        <v>4348</v>
      </c>
      <c r="F84">
        <v>14</v>
      </c>
      <c r="G84" t="s">
        <v>4349</v>
      </c>
      <c r="H84">
        <v>13</v>
      </c>
      <c r="I84" t="s">
        <v>5791</v>
      </c>
      <c r="J84">
        <v>13</v>
      </c>
      <c r="K84" t="s">
        <v>5792</v>
      </c>
    </row>
    <row r="85" spans="1:12" hidden="1">
      <c r="A85">
        <v>84</v>
      </c>
      <c r="B85">
        <v>2</v>
      </c>
      <c r="C85" t="s">
        <v>4339</v>
      </c>
      <c r="D85">
        <v>11</v>
      </c>
      <c r="E85" t="s">
        <v>4348</v>
      </c>
      <c r="F85">
        <v>14</v>
      </c>
      <c r="G85" t="s">
        <v>4349</v>
      </c>
      <c r="H85">
        <v>14</v>
      </c>
      <c r="I85" t="s">
        <v>5793</v>
      </c>
      <c r="J85">
        <v>14</v>
      </c>
      <c r="K85" t="s">
        <v>5794</v>
      </c>
      <c r="L85" t="s">
        <v>5639</v>
      </c>
    </row>
    <row r="86" spans="1:12" hidden="1">
      <c r="A86">
        <v>85</v>
      </c>
      <c r="B86">
        <v>2</v>
      </c>
      <c r="C86" t="s">
        <v>4339</v>
      </c>
      <c r="D86">
        <v>11</v>
      </c>
      <c r="E86" t="s">
        <v>4348</v>
      </c>
      <c r="F86">
        <v>14</v>
      </c>
      <c r="G86" t="s">
        <v>4349</v>
      </c>
      <c r="H86">
        <v>15</v>
      </c>
      <c r="I86" t="s">
        <v>5795</v>
      </c>
      <c r="J86">
        <v>15</v>
      </c>
      <c r="K86" t="s">
        <v>5796</v>
      </c>
      <c r="L86" t="s">
        <v>5639</v>
      </c>
    </row>
    <row r="87" spans="1:12" hidden="1">
      <c r="A87">
        <v>86</v>
      </c>
      <c r="B87">
        <v>2</v>
      </c>
      <c r="C87" t="s">
        <v>4339</v>
      </c>
      <c r="D87">
        <v>11</v>
      </c>
      <c r="E87" t="s">
        <v>4348</v>
      </c>
      <c r="F87">
        <v>14</v>
      </c>
      <c r="G87" t="s">
        <v>4349</v>
      </c>
      <c r="H87">
        <v>16</v>
      </c>
      <c r="I87" t="s">
        <v>5797</v>
      </c>
      <c r="J87">
        <v>16</v>
      </c>
      <c r="K87" t="s">
        <v>5798</v>
      </c>
      <c r="L87" t="s">
        <v>5639</v>
      </c>
    </row>
    <row r="88" spans="1:12" hidden="1">
      <c r="A88">
        <v>87</v>
      </c>
      <c r="B88">
        <v>2</v>
      </c>
      <c r="C88" t="s">
        <v>4339</v>
      </c>
      <c r="D88">
        <v>11</v>
      </c>
      <c r="E88" t="s">
        <v>4348</v>
      </c>
      <c r="F88">
        <v>14</v>
      </c>
      <c r="G88" t="s">
        <v>4349</v>
      </c>
      <c r="H88">
        <v>17</v>
      </c>
      <c r="I88" t="s">
        <v>5799</v>
      </c>
      <c r="J88">
        <v>17</v>
      </c>
      <c r="K88" t="s">
        <v>5800</v>
      </c>
      <c r="L88" t="s">
        <v>5801</v>
      </c>
    </row>
    <row r="89" spans="1:12" hidden="1">
      <c r="A89">
        <v>88</v>
      </c>
      <c r="B89">
        <v>2</v>
      </c>
      <c r="C89" t="s">
        <v>4339</v>
      </c>
      <c r="D89">
        <v>11</v>
      </c>
      <c r="E89" t="s">
        <v>4348</v>
      </c>
      <c r="F89">
        <v>14</v>
      </c>
      <c r="G89" t="s">
        <v>4349</v>
      </c>
      <c r="H89">
        <v>18</v>
      </c>
      <c r="I89" t="s">
        <v>5802</v>
      </c>
      <c r="J89">
        <v>18</v>
      </c>
      <c r="K89" t="s">
        <v>5803</v>
      </c>
      <c r="L89" t="s">
        <v>5804</v>
      </c>
    </row>
    <row r="90" spans="1:12" hidden="1">
      <c r="A90">
        <v>89</v>
      </c>
      <c r="B90">
        <v>2</v>
      </c>
      <c r="C90" t="s">
        <v>4339</v>
      </c>
      <c r="D90">
        <v>11</v>
      </c>
      <c r="E90" t="s">
        <v>4348</v>
      </c>
      <c r="F90">
        <v>14</v>
      </c>
      <c r="G90" t="s">
        <v>4349</v>
      </c>
      <c r="H90">
        <v>19</v>
      </c>
      <c r="I90" t="s">
        <v>5805</v>
      </c>
      <c r="J90">
        <v>19</v>
      </c>
      <c r="K90" t="s">
        <v>5806</v>
      </c>
      <c r="L90" t="s">
        <v>5644</v>
      </c>
    </row>
    <row r="91" spans="1:12" hidden="1">
      <c r="A91">
        <v>90</v>
      </c>
      <c r="B91">
        <v>2</v>
      </c>
      <c r="C91" t="s">
        <v>4339</v>
      </c>
      <c r="D91">
        <v>11</v>
      </c>
      <c r="E91" t="s">
        <v>4348</v>
      </c>
      <c r="F91">
        <v>14</v>
      </c>
      <c r="G91" t="s">
        <v>4349</v>
      </c>
      <c r="H91">
        <v>20</v>
      </c>
      <c r="I91" t="s">
        <v>5807</v>
      </c>
      <c r="J91">
        <v>20</v>
      </c>
      <c r="K91" t="s">
        <v>5808</v>
      </c>
      <c r="L91" t="s">
        <v>5716</v>
      </c>
    </row>
    <row r="92" spans="1:12" hidden="1">
      <c r="A92">
        <v>91</v>
      </c>
      <c r="B92">
        <v>2</v>
      </c>
      <c r="C92" t="s">
        <v>4339</v>
      </c>
      <c r="D92">
        <v>11</v>
      </c>
      <c r="E92" t="s">
        <v>4348</v>
      </c>
      <c r="F92">
        <v>14</v>
      </c>
      <c r="G92" t="s">
        <v>4349</v>
      </c>
      <c r="H92">
        <v>21</v>
      </c>
      <c r="I92" t="s">
        <v>5809</v>
      </c>
      <c r="J92">
        <v>21</v>
      </c>
      <c r="K92" t="s">
        <v>5810</v>
      </c>
      <c r="L92" t="s">
        <v>5811</v>
      </c>
    </row>
    <row r="93" spans="1:12" hidden="1">
      <c r="A93">
        <v>92</v>
      </c>
      <c r="B93">
        <v>2</v>
      </c>
      <c r="C93" t="s">
        <v>4339</v>
      </c>
      <c r="D93">
        <v>8</v>
      </c>
      <c r="E93" t="s">
        <v>4350</v>
      </c>
      <c r="F93">
        <v>11</v>
      </c>
      <c r="G93" t="s">
        <v>4351</v>
      </c>
      <c r="H93">
        <v>1</v>
      </c>
      <c r="I93" t="s">
        <v>5812</v>
      </c>
      <c r="J93">
        <v>1</v>
      </c>
      <c r="K93" t="s">
        <v>5813</v>
      </c>
      <c r="L93" t="s">
        <v>5705</v>
      </c>
    </row>
    <row r="94" spans="1:12" hidden="1">
      <c r="A94">
        <v>93</v>
      </c>
      <c r="B94">
        <v>2</v>
      </c>
      <c r="C94" t="s">
        <v>4339</v>
      </c>
      <c r="D94">
        <v>8</v>
      </c>
      <c r="E94" t="s">
        <v>4350</v>
      </c>
      <c r="F94">
        <v>11</v>
      </c>
      <c r="G94" t="s">
        <v>4351</v>
      </c>
      <c r="H94">
        <v>2</v>
      </c>
      <c r="I94" t="s">
        <v>5814</v>
      </c>
      <c r="J94">
        <v>2</v>
      </c>
      <c r="K94" t="s">
        <v>5815</v>
      </c>
      <c r="L94" t="s">
        <v>5654</v>
      </c>
    </row>
    <row r="95" spans="1:12" hidden="1">
      <c r="A95">
        <v>94</v>
      </c>
      <c r="B95">
        <v>2</v>
      </c>
      <c r="C95" t="s">
        <v>4339</v>
      </c>
      <c r="D95">
        <v>8</v>
      </c>
      <c r="E95" t="s">
        <v>4350</v>
      </c>
      <c r="F95">
        <v>11</v>
      </c>
      <c r="G95" t="s">
        <v>4351</v>
      </c>
      <c r="H95">
        <v>3</v>
      </c>
      <c r="I95" t="s">
        <v>5816</v>
      </c>
      <c r="J95">
        <v>3</v>
      </c>
      <c r="K95" t="s">
        <v>5817</v>
      </c>
      <c r="L95" t="s">
        <v>5702</v>
      </c>
    </row>
    <row r="96" spans="1:12" hidden="1">
      <c r="A96">
        <v>95</v>
      </c>
      <c r="B96">
        <v>2</v>
      </c>
      <c r="C96" t="s">
        <v>4339</v>
      </c>
      <c r="D96">
        <v>8</v>
      </c>
      <c r="E96" t="s">
        <v>4350</v>
      </c>
      <c r="F96">
        <v>11</v>
      </c>
      <c r="G96" t="s">
        <v>4351</v>
      </c>
      <c r="H96">
        <v>4</v>
      </c>
      <c r="I96" t="s">
        <v>5818</v>
      </c>
      <c r="J96">
        <v>4</v>
      </c>
      <c r="K96" t="s">
        <v>5819</v>
      </c>
      <c r="L96" t="s">
        <v>5618</v>
      </c>
    </row>
    <row r="97" spans="1:12" hidden="1">
      <c r="A97">
        <v>96</v>
      </c>
      <c r="B97">
        <v>2</v>
      </c>
      <c r="C97" t="s">
        <v>4339</v>
      </c>
      <c r="D97">
        <v>8</v>
      </c>
      <c r="E97" t="s">
        <v>4350</v>
      </c>
      <c r="F97">
        <v>11</v>
      </c>
      <c r="G97" t="s">
        <v>4351</v>
      </c>
      <c r="H97">
        <v>5</v>
      </c>
      <c r="I97" t="s">
        <v>5820</v>
      </c>
      <c r="J97">
        <v>5</v>
      </c>
      <c r="K97" t="s">
        <v>5821</v>
      </c>
      <c r="L97" t="s">
        <v>5702</v>
      </c>
    </row>
    <row r="98" spans="1:12" hidden="1">
      <c r="A98">
        <v>97</v>
      </c>
      <c r="B98">
        <v>2</v>
      </c>
      <c r="C98" t="s">
        <v>4339</v>
      </c>
      <c r="D98">
        <v>8</v>
      </c>
      <c r="E98" t="s">
        <v>4350</v>
      </c>
      <c r="F98">
        <v>11</v>
      </c>
      <c r="G98" t="s">
        <v>4351</v>
      </c>
      <c r="H98">
        <v>6</v>
      </c>
      <c r="I98" t="s">
        <v>5822</v>
      </c>
      <c r="J98">
        <v>6</v>
      </c>
      <c r="K98" t="s">
        <v>5823</v>
      </c>
      <c r="L98" t="s">
        <v>5621</v>
      </c>
    </row>
    <row r="99" spans="1:12" hidden="1">
      <c r="A99">
        <v>98</v>
      </c>
      <c r="B99">
        <v>2</v>
      </c>
      <c r="C99" t="s">
        <v>4339</v>
      </c>
      <c r="D99">
        <v>8</v>
      </c>
      <c r="E99" t="s">
        <v>4350</v>
      </c>
      <c r="F99">
        <v>11</v>
      </c>
      <c r="G99" t="s">
        <v>4351</v>
      </c>
      <c r="H99">
        <v>7</v>
      </c>
      <c r="I99" t="s">
        <v>5824</v>
      </c>
      <c r="J99">
        <v>7</v>
      </c>
      <c r="K99" t="s">
        <v>5825</v>
      </c>
      <c r="L99" t="s">
        <v>5702</v>
      </c>
    </row>
    <row r="100" spans="1:12" hidden="1">
      <c r="A100">
        <v>99</v>
      </c>
      <c r="B100">
        <v>2</v>
      </c>
      <c r="C100" t="s">
        <v>4339</v>
      </c>
      <c r="D100">
        <v>8</v>
      </c>
      <c r="E100" t="s">
        <v>4350</v>
      </c>
      <c r="F100">
        <v>11</v>
      </c>
      <c r="G100" t="s">
        <v>4351</v>
      </c>
      <c r="H100">
        <v>8</v>
      </c>
      <c r="I100" t="s">
        <v>5826</v>
      </c>
      <c r="J100">
        <v>8</v>
      </c>
      <c r="K100" t="s">
        <v>5827</v>
      </c>
      <c r="L100" t="s">
        <v>5639</v>
      </c>
    </row>
    <row r="101" spans="1:12" hidden="1">
      <c r="A101">
        <v>100</v>
      </c>
      <c r="B101">
        <v>2</v>
      </c>
      <c r="C101" t="s">
        <v>4339</v>
      </c>
      <c r="D101">
        <v>8</v>
      </c>
      <c r="E101" t="s">
        <v>4350</v>
      </c>
      <c r="F101">
        <v>11</v>
      </c>
      <c r="G101" t="s">
        <v>4351</v>
      </c>
      <c r="H101">
        <v>9</v>
      </c>
      <c r="I101" t="s">
        <v>5828</v>
      </c>
      <c r="J101">
        <v>9</v>
      </c>
      <c r="K101" t="s">
        <v>5829</v>
      </c>
      <c r="L101" t="s">
        <v>5644</v>
      </c>
    </row>
    <row r="102" spans="1:12" hidden="1">
      <c r="A102">
        <v>101</v>
      </c>
      <c r="B102">
        <v>2</v>
      </c>
      <c r="C102" t="s">
        <v>4339</v>
      </c>
      <c r="D102">
        <v>8</v>
      </c>
      <c r="E102" t="s">
        <v>4350</v>
      </c>
      <c r="F102">
        <v>11</v>
      </c>
      <c r="G102" t="s">
        <v>4351</v>
      </c>
      <c r="H102">
        <v>10</v>
      </c>
      <c r="I102" t="s">
        <v>5830</v>
      </c>
      <c r="J102">
        <v>10</v>
      </c>
      <c r="K102" t="s">
        <v>5831</v>
      </c>
      <c r="L102" t="s">
        <v>5644</v>
      </c>
    </row>
    <row r="103" spans="1:12" hidden="1">
      <c r="A103">
        <v>102</v>
      </c>
      <c r="B103">
        <v>2</v>
      </c>
      <c r="C103" t="s">
        <v>4339</v>
      </c>
      <c r="D103">
        <v>8</v>
      </c>
      <c r="E103" t="s">
        <v>4350</v>
      </c>
      <c r="F103">
        <v>11</v>
      </c>
      <c r="G103" t="s">
        <v>4351</v>
      </c>
      <c r="H103">
        <v>11</v>
      </c>
      <c r="I103" t="s">
        <v>5832</v>
      </c>
      <c r="J103">
        <v>11</v>
      </c>
      <c r="K103" t="s">
        <v>5833</v>
      </c>
      <c r="L103" t="s">
        <v>5716</v>
      </c>
    </row>
    <row r="104" spans="1:12" hidden="1">
      <c r="A104">
        <v>103</v>
      </c>
      <c r="B104">
        <v>2</v>
      </c>
      <c r="C104" t="s">
        <v>4339</v>
      </c>
      <c r="D104">
        <v>13</v>
      </c>
      <c r="E104" t="s">
        <v>4352</v>
      </c>
      <c r="F104">
        <v>16</v>
      </c>
      <c r="G104" t="s">
        <v>4353</v>
      </c>
      <c r="H104">
        <v>1</v>
      </c>
      <c r="I104" t="s">
        <v>5834</v>
      </c>
      <c r="J104">
        <v>1</v>
      </c>
      <c r="K104" t="s">
        <v>5835</v>
      </c>
      <c r="L104" t="s">
        <v>5836</v>
      </c>
    </row>
    <row r="105" spans="1:12" hidden="1">
      <c r="A105">
        <v>104</v>
      </c>
      <c r="B105">
        <v>2</v>
      </c>
      <c r="C105" t="s">
        <v>4339</v>
      </c>
      <c r="D105">
        <v>13</v>
      </c>
      <c r="E105" t="s">
        <v>4352</v>
      </c>
      <c r="F105">
        <v>16</v>
      </c>
      <c r="G105" t="s">
        <v>4353</v>
      </c>
      <c r="H105">
        <v>2</v>
      </c>
      <c r="I105" t="s">
        <v>5837</v>
      </c>
      <c r="J105">
        <v>2</v>
      </c>
      <c r="K105" t="s">
        <v>5838</v>
      </c>
      <c r="L105" t="s">
        <v>5654</v>
      </c>
    </row>
    <row r="106" spans="1:12" hidden="1">
      <c r="A106">
        <v>105</v>
      </c>
      <c r="B106">
        <v>2</v>
      </c>
      <c r="C106" t="s">
        <v>4339</v>
      </c>
      <c r="D106">
        <v>13</v>
      </c>
      <c r="E106" t="s">
        <v>4352</v>
      </c>
      <c r="F106">
        <v>16</v>
      </c>
      <c r="G106" t="s">
        <v>4353</v>
      </c>
      <c r="H106">
        <v>3</v>
      </c>
      <c r="I106" t="s">
        <v>5839</v>
      </c>
      <c r="J106">
        <v>3</v>
      </c>
      <c r="K106" t="s">
        <v>5840</v>
      </c>
      <c r="L106" t="s">
        <v>5654</v>
      </c>
    </row>
    <row r="107" spans="1:12" hidden="1">
      <c r="A107">
        <v>106</v>
      </c>
      <c r="B107">
        <v>2</v>
      </c>
      <c r="C107" t="s">
        <v>4339</v>
      </c>
      <c r="D107">
        <v>13</v>
      </c>
      <c r="E107" t="s">
        <v>4352</v>
      </c>
      <c r="F107">
        <v>16</v>
      </c>
      <c r="G107" t="s">
        <v>4353</v>
      </c>
      <c r="H107">
        <v>4</v>
      </c>
      <c r="I107" t="s">
        <v>5841</v>
      </c>
      <c r="J107">
        <v>4</v>
      </c>
      <c r="K107" t="s">
        <v>5842</v>
      </c>
      <c r="L107" t="s">
        <v>5654</v>
      </c>
    </row>
    <row r="108" spans="1:12" hidden="1">
      <c r="A108">
        <v>107</v>
      </c>
      <c r="B108">
        <v>2</v>
      </c>
      <c r="C108" t="s">
        <v>4339</v>
      </c>
      <c r="D108">
        <v>13</v>
      </c>
      <c r="E108" t="s">
        <v>4352</v>
      </c>
      <c r="F108">
        <v>16</v>
      </c>
      <c r="G108" t="s">
        <v>4353</v>
      </c>
      <c r="H108">
        <v>5</v>
      </c>
      <c r="I108" t="s">
        <v>5843</v>
      </c>
      <c r="J108">
        <v>5</v>
      </c>
      <c r="K108" t="s">
        <v>5844</v>
      </c>
      <c r="L108" t="s">
        <v>5654</v>
      </c>
    </row>
    <row r="109" spans="1:12" hidden="1">
      <c r="A109">
        <v>108</v>
      </c>
      <c r="B109">
        <v>2</v>
      </c>
      <c r="C109" t="s">
        <v>4339</v>
      </c>
      <c r="D109">
        <v>13</v>
      </c>
      <c r="E109" t="s">
        <v>4352</v>
      </c>
      <c r="F109">
        <v>16</v>
      </c>
      <c r="G109" t="s">
        <v>4353</v>
      </c>
      <c r="H109">
        <v>6</v>
      </c>
      <c r="I109" t="s">
        <v>5845</v>
      </c>
      <c r="J109">
        <v>6</v>
      </c>
      <c r="K109" t="s">
        <v>5846</v>
      </c>
      <c r="L109" t="s">
        <v>5654</v>
      </c>
    </row>
    <row r="110" spans="1:12" hidden="1">
      <c r="A110">
        <v>109</v>
      </c>
      <c r="B110">
        <v>2</v>
      </c>
      <c r="C110" t="s">
        <v>4339</v>
      </c>
      <c r="D110">
        <v>13</v>
      </c>
      <c r="E110" t="s">
        <v>4352</v>
      </c>
      <c r="F110">
        <v>16</v>
      </c>
      <c r="G110" t="s">
        <v>4353</v>
      </c>
      <c r="H110">
        <v>7</v>
      </c>
      <c r="I110" t="s">
        <v>5847</v>
      </c>
      <c r="J110">
        <v>7</v>
      </c>
      <c r="K110" t="s">
        <v>5848</v>
      </c>
      <c r="L110" t="s">
        <v>5705</v>
      </c>
    </row>
    <row r="111" spans="1:12" hidden="1">
      <c r="A111">
        <v>110</v>
      </c>
      <c r="B111">
        <v>2</v>
      </c>
      <c r="C111" t="s">
        <v>4339</v>
      </c>
      <c r="D111">
        <v>13</v>
      </c>
      <c r="E111" t="s">
        <v>4352</v>
      </c>
      <c r="F111">
        <v>16</v>
      </c>
      <c r="G111" t="s">
        <v>4353</v>
      </c>
      <c r="H111">
        <v>8</v>
      </c>
      <c r="I111" t="s">
        <v>5849</v>
      </c>
      <c r="J111">
        <v>8</v>
      </c>
      <c r="K111" t="s">
        <v>5850</v>
      </c>
      <c r="L111" t="s">
        <v>5705</v>
      </c>
    </row>
    <row r="112" spans="1:12" hidden="1">
      <c r="A112">
        <v>111</v>
      </c>
      <c r="B112">
        <v>2</v>
      </c>
      <c r="C112" t="s">
        <v>4339</v>
      </c>
      <c r="D112">
        <v>13</v>
      </c>
      <c r="E112" t="s">
        <v>4352</v>
      </c>
      <c r="F112">
        <v>16</v>
      </c>
      <c r="G112" t="s">
        <v>4353</v>
      </c>
      <c r="H112">
        <v>9</v>
      </c>
      <c r="I112" t="s">
        <v>5851</v>
      </c>
      <c r="J112">
        <v>9</v>
      </c>
      <c r="K112" t="s">
        <v>5852</v>
      </c>
      <c r="L112" t="s">
        <v>5618</v>
      </c>
    </row>
    <row r="113" spans="1:12" hidden="1">
      <c r="A113">
        <v>112</v>
      </c>
      <c r="B113">
        <v>2</v>
      </c>
      <c r="C113" t="s">
        <v>4339</v>
      </c>
      <c r="D113">
        <v>13</v>
      </c>
      <c r="E113" t="s">
        <v>4352</v>
      </c>
      <c r="F113">
        <v>16</v>
      </c>
      <c r="G113" t="s">
        <v>4353</v>
      </c>
      <c r="H113">
        <v>10</v>
      </c>
      <c r="I113" t="s">
        <v>5853</v>
      </c>
      <c r="J113">
        <v>10</v>
      </c>
      <c r="K113" t="s">
        <v>5854</v>
      </c>
      <c r="L113" t="s">
        <v>5618</v>
      </c>
    </row>
    <row r="114" spans="1:12" hidden="1">
      <c r="A114">
        <v>113</v>
      </c>
      <c r="B114">
        <v>2</v>
      </c>
      <c r="C114" t="s">
        <v>4339</v>
      </c>
      <c r="D114">
        <v>13</v>
      </c>
      <c r="E114" t="s">
        <v>4352</v>
      </c>
      <c r="F114">
        <v>16</v>
      </c>
      <c r="G114" t="s">
        <v>4353</v>
      </c>
      <c r="H114">
        <v>11</v>
      </c>
      <c r="I114" t="s">
        <v>5855</v>
      </c>
      <c r="J114">
        <v>11</v>
      </c>
      <c r="K114" t="s">
        <v>5856</v>
      </c>
      <c r="L114" t="s">
        <v>5639</v>
      </c>
    </row>
    <row r="115" spans="1:12" hidden="1">
      <c r="A115">
        <v>114</v>
      </c>
      <c r="B115">
        <v>2</v>
      </c>
      <c r="C115" t="s">
        <v>4339</v>
      </c>
      <c r="D115">
        <v>13</v>
      </c>
      <c r="E115" t="s">
        <v>4352</v>
      </c>
      <c r="F115">
        <v>16</v>
      </c>
      <c r="G115" t="s">
        <v>4353</v>
      </c>
      <c r="H115">
        <v>12</v>
      </c>
      <c r="I115" t="s">
        <v>5857</v>
      </c>
      <c r="J115">
        <v>12</v>
      </c>
      <c r="K115" t="s">
        <v>5858</v>
      </c>
      <c r="L115" t="s">
        <v>5618</v>
      </c>
    </row>
    <row r="116" spans="1:12" hidden="1">
      <c r="A116">
        <v>115</v>
      </c>
      <c r="B116">
        <v>2</v>
      </c>
      <c r="C116" t="s">
        <v>4339</v>
      </c>
      <c r="D116">
        <v>13</v>
      </c>
      <c r="E116" t="s">
        <v>4352</v>
      </c>
      <c r="F116">
        <v>16</v>
      </c>
      <c r="G116" t="s">
        <v>4353</v>
      </c>
      <c r="H116">
        <v>13</v>
      </c>
      <c r="I116" t="s">
        <v>5859</v>
      </c>
      <c r="J116">
        <v>13</v>
      </c>
      <c r="K116" t="s">
        <v>5860</v>
      </c>
      <c r="L116" t="s">
        <v>5618</v>
      </c>
    </row>
    <row r="117" spans="1:12" hidden="1">
      <c r="A117">
        <v>116</v>
      </c>
      <c r="B117">
        <v>2</v>
      </c>
      <c r="C117" t="s">
        <v>4339</v>
      </c>
      <c r="D117">
        <v>13</v>
      </c>
      <c r="E117" t="s">
        <v>4352</v>
      </c>
      <c r="F117">
        <v>16</v>
      </c>
      <c r="G117" t="s">
        <v>4353</v>
      </c>
      <c r="H117">
        <v>14</v>
      </c>
      <c r="I117" t="s">
        <v>5861</v>
      </c>
      <c r="J117">
        <v>14</v>
      </c>
      <c r="K117" t="s">
        <v>5862</v>
      </c>
      <c r="L117" t="s">
        <v>5702</v>
      </c>
    </row>
    <row r="118" spans="1:12" hidden="1">
      <c r="A118">
        <v>117</v>
      </c>
      <c r="B118">
        <v>2</v>
      </c>
      <c r="C118" t="s">
        <v>4339</v>
      </c>
      <c r="D118">
        <v>13</v>
      </c>
      <c r="E118" t="s">
        <v>4352</v>
      </c>
      <c r="F118">
        <v>16</v>
      </c>
      <c r="G118" t="s">
        <v>4353</v>
      </c>
      <c r="H118">
        <v>15</v>
      </c>
      <c r="I118" t="s">
        <v>5863</v>
      </c>
      <c r="J118">
        <v>15</v>
      </c>
      <c r="K118" t="s">
        <v>5864</v>
      </c>
      <c r="L118" t="s">
        <v>5621</v>
      </c>
    </row>
    <row r="119" spans="1:12" hidden="1">
      <c r="A119">
        <v>118</v>
      </c>
      <c r="B119">
        <v>2</v>
      </c>
      <c r="C119" t="s">
        <v>4339</v>
      </c>
      <c r="D119">
        <v>13</v>
      </c>
      <c r="E119" t="s">
        <v>4352</v>
      </c>
      <c r="F119">
        <v>16</v>
      </c>
      <c r="G119" t="s">
        <v>4353</v>
      </c>
      <c r="H119">
        <v>16</v>
      </c>
      <c r="I119" t="s">
        <v>5865</v>
      </c>
      <c r="J119">
        <v>16</v>
      </c>
      <c r="K119" t="s">
        <v>5866</v>
      </c>
      <c r="L119" t="s">
        <v>5621</v>
      </c>
    </row>
    <row r="120" spans="1:12" hidden="1">
      <c r="A120">
        <v>119</v>
      </c>
      <c r="B120">
        <v>2</v>
      </c>
      <c r="C120" t="s">
        <v>4339</v>
      </c>
      <c r="D120">
        <v>13</v>
      </c>
      <c r="E120" t="s">
        <v>4352</v>
      </c>
      <c r="F120">
        <v>16</v>
      </c>
      <c r="G120" t="s">
        <v>4353</v>
      </c>
      <c r="H120">
        <v>17</v>
      </c>
      <c r="I120" t="s">
        <v>5867</v>
      </c>
      <c r="J120">
        <v>17</v>
      </c>
      <c r="K120" t="s">
        <v>5868</v>
      </c>
      <c r="L120" t="s">
        <v>5621</v>
      </c>
    </row>
    <row r="121" spans="1:12" hidden="1">
      <c r="A121">
        <v>120</v>
      </c>
      <c r="B121">
        <v>2</v>
      </c>
      <c r="C121" t="s">
        <v>4339</v>
      </c>
      <c r="D121">
        <v>13</v>
      </c>
      <c r="E121" t="s">
        <v>4352</v>
      </c>
      <c r="F121">
        <v>16</v>
      </c>
      <c r="G121" t="s">
        <v>4353</v>
      </c>
      <c r="H121">
        <v>18</v>
      </c>
      <c r="I121" t="s">
        <v>5869</v>
      </c>
      <c r="J121">
        <v>18</v>
      </c>
      <c r="K121" t="s">
        <v>5870</v>
      </c>
      <c r="L121" t="s">
        <v>5621</v>
      </c>
    </row>
    <row r="122" spans="1:12" hidden="1">
      <c r="A122">
        <v>121</v>
      </c>
      <c r="B122">
        <v>2</v>
      </c>
      <c r="C122" t="s">
        <v>4339</v>
      </c>
      <c r="D122">
        <v>13</v>
      </c>
      <c r="E122" t="s">
        <v>4352</v>
      </c>
      <c r="F122">
        <v>16</v>
      </c>
      <c r="G122" t="s">
        <v>4353</v>
      </c>
      <c r="H122">
        <v>19</v>
      </c>
      <c r="I122" t="s">
        <v>5871</v>
      </c>
      <c r="J122">
        <v>19</v>
      </c>
      <c r="K122" t="s">
        <v>5872</v>
      </c>
      <c r="L122" t="s">
        <v>5639</v>
      </c>
    </row>
    <row r="123" spans="1:12" hidden="1">
      <c r="A123">
        <v>122</v>
      </c>
      <c r="B123">
        <v>2</v>
      </c>
      <c r="C123" t="s">
        <v>4339</v>
      </c>
      <c r="D123">
        <v>13</v>
      </c>
      <c r="E123" t="s">
        <v>4352</v>
      </c>
      <c r="F123">
        <v>16</v>
      </c>
      <c r="G123" t="s">
        <v>4353</v>
      </c>
      <c r="H123">
        <v>20</v>
      </c>
      <c r="I123" t="s">
        <v>5873</v>
      </c>
      <c r="J123">
        <v>20</v>
      </c>
      <c r="K123" t="s">
        <v>5874</v>
      </c>
      <c r="L123" t="s">
        <v>5639</v>
      </c>
    </row>
    <row r="124" spans="1:12" hidden="1">
      <c r="A124">
        <v>123</v>
      </c>
      <c r="B124">
        <v>2</v>
      </c>
      <c r="C124" t="s">
        <v>4339</v>
      </c>
      <c r="D124">
        <v>13</v>
      </c>
      <c r="E124" t="s">
        <v>4352</v>
      </c>
      <c r="F124">
        <v>16</v>
      </c>
      <c r="G124" t="s">
        <v>4353</v>
      </c>
      <c r="H124">
        <v>21</v>
      </c>
      <c r="I124" t="s">
        <v>5875</v>
      </c>
      <c r="J124">
        <v>21</v>
      </c>
      <c r="K124" t="s">
        <v>5876</v>
      </c>
      <c r="L124" t="s">
        <v>5639</v>
      </c>
    </row>
    <row r="125" spans="1:12" hidden="1">
      <c r="A125">
        <v>124</v>
      </c>
      <c r="B125">
        <v>2</v>
      </c>
      <c r="C125" t="s">
        <v>4339</v>
      </c>
      <c r="D125">
        <v>13</v>
      </c>
      <c r="E125" t="s">
        <v>4352</v>
      </c>
      <c r="F125">
        <v>16</v>
      </c>
      <c r="G125" t="s">
        <v>4353</v>
      </c>
      <c r="H125">
        <v>22</v>
      </c>
      <c r="I125" t="s">
        <v>5877</v>
      </c>
      <c r="J125">
        <v>22</v>
      </c>
      <c r="K125" t="s">
        <v>5878</v>
      </c>
      <c r="L125" t="s">
        <v>5639</v>
      </c>
    </row>
    <row r="126" spans="1:12" hidden="1">
      <c r="A126">
        <v>125</v>
      </c>
      <c r="B126">
        <v>2</v>
      </c>
      <c r="C126" t="s">
        <v>4339</v>
      </c>
      <c r="D126">
        <v>13</v>
      </c>
      <c r="E126" t="s">
        <v>4352</v>
      </c>
      <c r="F126">
        <v>16</v>
      </c>
      <c r="G126" t="s">
        <v>4353</v>
      </c>
      <c r="H126">
        <v>23</v>
      </c>
      <c r="I126" t="s">
        <v>5879</v>
      </c>
      <c r="J126">
        <v>23</v>
      </c>
      <c r="K126" t="s">
        <v>5880</v>
      </c>
      <c r="L126" t="s">
        <v>5639</v>
      </c>
    </row>
    <row r="127" spans="1:12" hidden="1">
      <c r="A127">
        <v>126</v>
      </c>
      <c r="B127">
        <v>2</v>
      </c>
      <c r="C127" t="s">
        <v>4339</v>
      </c>
      <c r="D127">
        <v>13</v>
      </c>
      <c r="E127" t="s">
        <v>4352</v>
      </c>
      <c r="F127">
        <v>16</v>
      </c>
      <c r="G127" t="s">
        <v>4353</v>
      </c>
      <c r="H127">
        <v>24</v>
      </c>
      <c r="I127" t="s">
        <v>5881</v>
      </c>
      <c r="J127">
        <v>24</v>
      </c>
      <c r="K127" t="s">
        <v>5882</v>
      </c>
      <c r="L127" t="s">
        <v>5639</v>
      </c>
    </row>
    <row r="128" spans="1:12" hidden="1">
      <c r="A128">
        <v>127</v>
      </c>
      <c r="B128">
        <v>2</v>
      </c>
      <c r="C128" t="s">
        <v>4339</v>
      </c>
      <c r="D128">
        <v>13</v>
      </c>
      <c r="E128" t="s">
        <v>4352</v>
      </c>
      <c r="F128">
        <v>16</v>
      </c>
      <c r="G128" t="s">
        <v>4353</v>
      </c>
      <c r="H128">
        <v>25</v>
      </c>
      <c r="I128" t="s">
        <v>5883</v>
      </c>
      <c r="J128">
        <v>25</v>
      </c>
      <c r="K128" t="s">
        <v>5884</v>
      </c>
      <c r="L128" t="s">
        <v>5685</v>
      </c>
    </row>
    <row r="129" spans="1:12" hidden="1">
      <c r="A129">
        <v>128</v>
      </c>
      <c r="B129">
        <v>2</v>
      </c>
      <c r="C129" t="s">
        <v>4339</v>
      </c>
      <c r="D129">
        <v>13</v>
      </c>
      <c r="E129" t="s">
        <v>4352</v>
      </c>
      <c r="F129">
        <v>16</v>
      </c>
      <c r="G129" t="s">
        <v>4353</v>
      </c>
      <c r="H129">
        <v>26</v>
      </c>
      <c r="I129" t="s">
        <v>5885</v>
      </c>
      <c r="J129">
        <v>26</v>
      </c>
      <c r="K129" t="s">
        <v>5886</v>
      </c>
      <c r="L129" t="s">
        <v>5644</v>
      </c>
    </row>
    <row r="130" spans="1:12" hidden="1">
      <c r="A130">
        <v>129</v>
      </c>
      <c r="B130">
        <v>2</v>
      </c>
      <c r="C130" t="s">
        <v>4339</v>
      </c>
      <c r="D130">
        <v>13</v>
      </c>
      <c r="E130" t="s">
        <v>4352</v>
      </c>
      <c r="F130">
        <v>16</v>
      </c>
      <c r="G130" t="s">
        <v>4353</v>
      </c>
      <c r="H130">
        <v>27</v>
      </c>
      <c r="I130" t="s">
        <v>5887</v>
      </c>
      <c r="J130">
        <v>27</v>
      </c>
      <c r="K130" t="s">
        <v>5888</v>
      </c>
      <c r="L130" t="s">
        <v>5644</v>
      </c>
    </row>
    <row r="131" spans="1:12" hidden="1">
      <c r="A131">
        <v>130</v>
      </c>
      <c r="B131">
        <v>2</v>
      </c>
      <c r="C131" t="s">
        <v>4339</v>
      </c>
      <c r="D131">
        <v>13</v>
      </c>
      <c r="E131" t="s">
        <v>4352</v>
      </c>
      <c r="F131">
        <v>16</v>
      </c>
      <c r="G131" t="s">
        <v>4353</v>
      </c>
      <c r="H131">
        <v>28</v>
      </c>
      <c r="I131" t="s">
        <v>5889</v>
      </c>
      <c r="J131">
        <v>28</v>
      </c>
      <c r="K131" t="s">
        <v>5890</v>
      </c>
      <c r="L131" t="s">
        <v>5891</v>
      </c>
    </row>
    <row r="132" spans="1:12" hidden="1">
      <c r="A132">
        <v>131</v>
      </c>
      <c r="B132">
        <v>2</v>
      </c>
      <c r="C132" t="s">
        <v>4339</v>
      </c>
      <c r="D132">
        <v>13</v>
      </c>
      <c r="E132" t="s">
        <v>4352</v>
      </c>
      <c r="F132">
        <v>16</v>
      </c>
      <c r="G132" t="s">
        <v>4353</v>
      </c>
      <c r="H132">
        <v>29</v>
      </c>
      <c r="I132" t="s">
        <v>5892</v>
      </c>
      <c r="J132">
        <v>29</v>
      </c>
      <c r="K132" t="s">
        <v>5893</v>
      </c>
      <c r="L132" t="s">
        <v>5716</v>
      </c>
    </row>
    <row r="133" spans="1:12" hidden="1">
      <c r="A133">
        <v>132</v>
      </c>
      <c r="B133">
        <v>2</v>
      </c>
      <c r="C133" t="s">
        <v>4339</v>
      </c>
      <c r="D133">
        <v>13</v>
      </c>
      <c r="E133" t="s">
        <v>4352</v>
      </c>
      <c r="F133">
        <v>16</v>
      </c>
      <c r="G133" t="s">
        <v>4353</v>
      </c>
      <c r="H133">
        <v>30</v>
      </c>
      <c r="I133" t="s">
        <v>5894</v>
      </c>
      <c r="J133">
        <v>30</v>
      </c>
      <c r="K133" t="s">
        <v>5895</v>
      </c>
      <c r="L133" t="s">
        <v>5896</v>
      </c>
    </row>
    <row r="134" spans="1:12" hidden="1">
      <c r="A134">
        <v>133</v>
      </c>
      <c r="B134">
        <v>2</v>
      </c>
      <c r="C134" t="s">
        <v>4339</v>
      </c>
      <c r="D134">
        <v>13</v>
      </c>
      <c r="E134" t="s">
        <v>4352</v>
      </c>
      <c r="F134">
        <v>16</v>
      </c>
      <c r="G134" t="s">
        <v>4353</v>
      </c>
      <c r="H134">
        <v>31</v>
      </c>
      <c r="I134" t="s">
        <v>5897</v>
      </c>
      <c r="J134">
        <v>31</v>
      </c>
      <c r="K134" t="s">
        <v>5898</v>
      </c>
      <c r="L134" t="s">
        <v>5899</v>
      </c>
    </row>
    <row r="135" spans="1:12" hidden="1">
      <c r="A135">
        <v>134</v>
      </c>
      <c r="B135">
        <v>2</v>
      </c>
      <c r="C135" t="s">
        <v>4339</v>
      </c>
      <c r="D135">
        <v>13</v>
      </c>
      <c r="E135" t="s">
        <v>4352</v>
      </c>
      <c r="F135">
        <v>16</v>
      </c>
      <c r="G135" t="s">
        <v>4353</v>
      </c>
      <c r="H135">
        <v>32</v>
      </c>
      <c r="I135" t="s">
        <v>5900</v>
      </c>
      <c r="J135">
        <v>32</v>
      </c>
      <c r="K135" t="s">
        <v>5901</v>
      </c>
      <c r="L135" t="s">
        <v>5902</v>
      </c>
    </row>
    <row r="136" spans="1:12" hidden="1">
      <c r="A136">
        <v>135</v>
      </c>
      <c r="B136">
        <v>2</v>
      </c>
      <c r="C136" t="s">
        <v>4339</v>
      </c>
      <c r="D136">
        <v>13</v>
      </c>
      <c r="E136" t="s">
        <v>4352</v>
      </c>
      <c r="F136">
        <v>16</v>
      </c>
      <c r="G136" t="s">
        <v>4353</v>
      </c>
      <c r="H136">
        <v>33</v>
      </c>
      <c r="I136" t="s">
        <v>5903</v>
      </c>
      <c r="J136">
        <v>33</v>
      </c>
      <c r="K136" t="s">
        <v>5904</v>
      </c>
      <c r="L136" t="s">
        <v>5899</v>
      </c>
    </row>
    <row r="137" spans="1:12" hidden="1">
      <c r="A137">
        <v>136</v>
      </c>
      <c r="B137">
        <v>2</v>
      </c>
      <c r="C137" t="s">
        <v>4339</v>
      </c>
      <c r="D137">
        <v>14</v>
      </c>
      <c r="E137" t="s">
        <v>4354</v>
      </c>
      <c r="F137">
        <v>17</v>
      </c>
      <c r="G137" t="s">
        <v>4355</v>
      </c>
      <c r="H137">
        <v>1</v>
      </c>
      <c r="I137" t="s">
        <v>5905</v>
      </c>
      <c r="J137">
        <v>1</v>
      </c>
      <c r="K137" t="s">
        <v>5906</v>
      </c>
      <c r="L137" t="s">
        <v>5907</v>
      </c>
    </row>
    <row r="138" spans="1:12" hidden="1">
      <c r="A138">
        <v>137</v>
      </c>
      <c r="B138">
        <v>2</v>
      </c>
      <c r="C138" t="s">
        <v>4339</v>
      </c>
      <c r="D138">
        <v>14</v>
      </c>
      <c r="E138" t="s">
        <v>4354</v>
      </c>
      <c r="F138">
        <v>17</v>
      </c>
      <c r="G138" t="s">
        <v>4355</v>
      </c>
      <c r="H138">
        <v>2</v>
      </c>
      <c r="I138" t="s">
        <v>5908</v>
      </c>
      <c r="J138">
        <v>2</v>
      </c>
      <c r="K138" t="s">
        <v>5909</v>
      </c>
      <c r="L138" t="s">
        <v>5654</v>
      </c>
    </row>
    <row r="139" spans="1:12" hidden="1">
      <c r="A139">
        <v>138</v>
      </c>
      <c r="B139">
        <v>2</v>
      </c>
      <c r="C139" t="s">
        <v>4339</v>
      </c>
      <c r="D139">
        <v>14</v>
      </c>
      <c r="E139" t="s">
        <v>4354</v>
      </c>
      <c r="F139">
        <v>17</v>
      </c>
      <c r="G139" t="s">
        <v>4355</v>
      </c>
      <c r="H139">
        <v>3</v>
      </c>
      <c r="I139" t="s">
        <v>5910</v>
      </c>
      <c r="J139">
        <v>3</v>
      </c>
      <c r="K139" t="s">
        <v>5911</v>
      </c>
      <c r="L139" t="s">
        <v>5611</v>
      </c>
    </row>
    <row r="140" spans="1:12" hidden="1">
      <c r="A140">
        <v>139</v>
      </c>
      <c r="B140">
        <v>2</v>
      </c>
      <c r="C140" t="s">
        <v>4339</v>
      </c>
      <c r="D140">
        <v>14</v>
      </c>
      <c r="E140" t="s">
        <v>4354</v>
      </c>
      <c r="F140">
        <v>17</v>
      </c>
      <c r="G140" t="s">
        <v>4355</v>
      </c>
      <c r="H140">
        <v>4</v>
      </c>
      <c r="I140" t="s">
        <v>5912</v>
      </c>
      <c r="J140">
        <v>4</v>
      </c>
      <c r="K140" t="s">
        <v>5913</v>
      </c>
      <c r="L140" t="s">
        <v>5682</v>
      </c>
    </row>
    <row r="141" spans="1:12" hidden="1">
      <c r="A141">
        <v>140</v>
      </c>
      <c r="B141">
        <v>2</v>
      </c>
      <c r="C141" t="s">
        <v>4339</v>
      </c>
      <c r="D141">
        <v>14</v>
      </c>
      <c r="E141" t="s">
        <v>4354</v>
      </c>
      <c r="F141">
        <v>17</v>
      </c>
      <c r="G141" t="s">
        <v>4355</v>
      </c>
      <c r="H141">
        <v>5</v>
      </c>
      <c r="I141" t="s">
        <v>5914</v>
      </c>
      <c r="J141">
        <v>5</v>
      </c>
      <c r="K141" t="s">
        <v>5915</v>
      </c>
      <c r="L141" t="s">
        <v>5621</v>
      </c>
    </row>
    <row r="142" spans="1:12" hidden="1">
      <c r="A142">
        <v>141</v>
      </c>
      <c r="B142">
        <v>2</v>
      </c>
      <c r="C142" t="s">
        <v>4339</v>
      </c>
      <c r="D142">
        <v>14</v>
      </c>
      <c r="E142" t="s">
        <v>4354</v>
      </c>
      <c r="F142">
        <v>17</v>
      </c>
      <c r="G142" t="s">
        <v>4355</v>
      </c>
      <c r="H142">
        <v>6</v>
      </c>
      <c r="I142" t="s">
        <v>5916</v>
      </c>
      <c r="J142">
        <v>6</v>
      </c>
      <c r="K142" t="s">
        <v>5917</v>
      </c>
      <c r="L142" t="s">
        <v>5621</v>
      </c>
    </row>
    <row r="143" spans="1:12" hidden="1">
      <c r="A143">
        <v>142</v>
      </c>
      <c r="B143">
        <v>2</v>
      </c>
      <c r="C143" t="s">
        <v>4339</v>
      </c>
      <c r="D143">
        <v>14</v>
      </c>
      <c r="E143" t="s">
        <v>4354</v>
      </c>
      <c r="F143">
        <v>17</v>
      </c>
      <c r="G143" t="s">
        <v>4355</v>
      </c>
      <c r="H143">
        <v>7</v>
      </c>
      <c r="I143" t="s">
        <v>5918</v>
      </c>
      <c r="J143">
        <v>7</v>
      </c>
      <c r="K143" t="s">
        <v>5919</v>
      </c>
      <c r="L143" t="s">
        <v>5702</v>
      </c>
    </row>
    <row r="144" spans="1:12" hidden="1">
      <c r="A144">
        <v>143</v>
      </c>
      <c r="B144">
        <v>2</v>
      </c>
      <c r="C144" t="s">
        <v>4339</v>
      </c>
      <c r="D144">
        <v>14</v>
      </c>
      <c r="E144" t="s">
        <v>4354</v>
      </c>
      <c r="F144">
        <v>17</v>
      </c>
      <c r="G144" t="s">
        <v>4355</v>
      </c>
      <c r="H144">
        <v>8</v>
      </c>
      <c r="I144" t="s">
        <v>5920</v>
      </c>
      <c r="J144">
        <v>8</v>
      </c>
      <c r="K144" t="s">
        <v>5921</v>
      </c>
      <c r="L144" t="s">
        <v>5922</v>
      </c>
    </row>
    <row r="145" spans="1:12" hidden="1">
      <c r="A145">
        <v>144</v>
      </c>
      <c r="B145">
        <v>2</v>
      </c>
      <c r="C145" t="s">
        <v>4339</v>
      </c>
      <c r="D145">
        <v>14</v>
      </c>
      <c r="E145" t="s">
        <v>4354</v>
      </c>
      <c r="F145">
        <v>17</v>
      </c>
      <c r="G145" t="s">
        <v>4355</v>
      </c>
      <c r="H145">
        <v>9</v>
      </c>
      <c r="I145" t="s">
        <v>5923</v>
      </c>
      <c r="J145">
        <v>9</v>
      </c>
      <c r="K145" t="s">
        <v>5924</v>
      </c>
      <c r="L145" t="s">
        <v>5639</v>
      </c>
    </row>
    <row r="146" spans="1:12" hidden="1">
      <c r="A146">
        <v>145</v>
      </c>
      <c r="B146">
        <v>2</v>
      </c>
      <c r="C146" t="s">
        <v>4339</v>
      </c>
      <c r="D146">
        <v>14</v>
      </c>
      <c r="E146" t="s">
        <v>4354</v>
      </c>
      <c r="F146">
        <v>17</v>
      </c>
      <c r="G146" t="s">
        <v>4355</v>
      </c>
      <c r="H146">
        <v>10</v>
      </c>
      <c r="I146" t="s">
        <v>5925</v>
      </c>
      <c r="J146">
        <v>10</v>
      </c>
      <c r="K146" t="s">
        <v>5926</v>
      </c>
      <c r="L146" t="s">
        <v>5644</v>
      </c>
    </row>
    <row r="147" spans="1:12" hidden="1">
      <c r="A147">
        <v>146</v>
      </c>
      <c r="B147">
        <v>2</v>
      </c>
      <c r="C147" t="s">
        <v>4339</v>
      </c>
      <c r="D147">
        <v>10</v>
      </c>
      <c r="E147" t="s">
        <v>4356</v>
      </c>
      <c r="F147">
        <v>13</v>
      </c>
      <c r="G147" t="s">
        <v>4357</v>
      </c>
      <c r="H147">
        <v>1</v>
      </c>
      <c r="I147" t="s">
        <v>5927</v>
      </c>
      <c r="J147">
        <v>1</v>
      </c>
      <c r="K147" t="s">
        <v>5928</v>
      </c>
      <c r="L147" t="s">
        <v>5768</v>
      </c>
    </row>
    <row r="148" spans="1:12" hidden="1">
      <c r="A148">
        <v>147</v>
      </c>
      <c r="B148">
        <v>2</v>
      </c>
      <c r="C148" t="s">
        <v>4339</v>
      </c>
      <c r="D148">
        <v>10</v>
      </c>
      <c r="E148" t="s">
        <v>4356</v>
      </c>
      <c r="F148">
        <v>13</v>
      </c>
      <c r="G148" t="s">
        <v>4357</v>
      </c>
      <c r="H148">
        <v>2</v>
      </c>
      <c r="I148" t="s">
        <v>5929</v>
      </c>
      <c r="J148">
        <v>2</v>
      </c>
      <c r="K148" t="s">
        <v>5930</v>
      </c>
      <c r="L148" t="s">
        <v>5654</v>
      </c>
    </row>
    <row r="149" spans="1:12" hidden="1">
      <c r="A149">
        <v>148</v>
      </c>
      <c r="B149">
        <v>2</v>
      </c>
      <c r="C149" t="s">
        <v>4339</v>
      </c>
      <c r="D149">
        <v>10</v>
      </c>
      <c r="E149" t="s">
        <v>4356</v>
      </c>
      <c r="F149">
        <v>13</v>
      </c>
      <c r="G149" t="s">
        <v>4357</v>
      </c>
      <c r="H149">
        <v>3</v>
      </c>
      <c r="I149" t="s">
        <v>5931</v>
      </c>
      <c r="J149">
        <v>3</v>
      </c>
      <c r="K149" t="s">
        <v>5932</v>
      </c>
      <c r="L149" t="s">
        <v>5705</v>
      </c>
    </row>
    <row r="150" spans="1:12" hidden="1">
      <c r="A150">
        <v>149</v>
      </c>
      <c r="B150">
        <v>2</v>
      </c>
      <c r="C150" t="s">
        <v>4339</v>
      </c>
      <c r="D150">
        <v>10</v>
      </c>
      <c r="E150" t="s">
        <v>4356</v>
      </c>
      <c r="F150">
        <v>13</v>
      </c>
      <c r="G150" t="s">
        <v>4357</v>
      </c>
      <c r="H150">
        <v>4</v>
      </c>
      <c r="I150" t="s">
        <v>5933</v>
      </c>
      <c r="J150">
        <v>4</v>
      </c>
      <c r="K150" t="s">
        <v>5934</v>
      </c>
      <c r="L150" t="s">
        <v>5705</v>
      </c>
    </row>
    <row r="151" spans="1:12" hidden="1">
      <c r="A151">
        <v>150</v>
      </c>
      <c r="B151">
        <v>2</v>
      </c>
      <c r="C151" t="s">
        <v>4339</v>
      </c>
      <c r="D151">
        <v>10</v>
      </c>
      <c r="E151" t="s">
        <v>4356</v>
      </c>
      <c r="F151">
        <v>13</v>
      </c>
      <c r="G151" t="s">
        <v>4357</v>
      </c>
      <c r="H151">
        <v>5</v>
      </c>
      <c r="I151" t="s">
        <v>5935</v>
      </c>
      <c r="J151">
        <v>5</v>
      </c>
      <c r="K151" t="s">
        <v>5936</v>
      </c>
      <c r="L151" t="s">
        <v>5618</v>
      </c>
    </row>
    <row r="152" spans="1:12" hidden="1">
      <c r="A152">
        <v>151</v>
      </c>
      <c r="B152">
        <v>2</v>
      </c>
      <c r="C152" t="s">
        <v>4339</v>
      </c>
      <c r="D152">
        <v>10</v>
      </c>
      <c r="E152" t="s">
        <v>4356</v>
      </c>
      <c r="F152">
        <v>13</v>
      </c>
      <c r="G152" t="s">
        <v>4357</v>
      </c>
      <c r="H152">
        <v>6</v>
      </c>
      <c r="I152" t="s">
        <v>5937</v>
      </c>
      <c r="J152">
        <v>6</v>
      </c>
      <c r="K152" t="s">
        <v>5938</v>
      </c>
      <c r="L152" t="s">
        <v>5618</v>
      </c>
    </row>
    <row r="153" spans="1:12" hidden="1">
      <c r="A153">
        <v>152</v>
      </c>
      <c r="B153">
        <v>2</v>
      </c>
      <c r="C153" t="s">
        <v>4339</v>
      </c>
      <c r="D153">
        <v>10</v>
      </c>
      <c r="E153" t="s">
        <v>4356</v>
      </c>
      <c r="F153">
        <v>13</v>
      </c>
      <c r="G153" t="s">
        <v>4357</v>
      </c>
      <c r="H153">
        <v>7</v>
      </c>
      <c r="I153" t="s">
        <v>5939</v>
      </c>
      <c r="J153">
        <v>7</v>
      </c>
      <c r="K153" t="s">
        <v>5940</v>
      </c>
      <c r="L153" t="s">
        <v>5639</v>
      </c>
    </row>
    <row r="154" spans="1:12" hidden="1">
      <c r="A154">
        <v>153</v>
      </c>
      <c r="B154">
        <v>2</v>
      </c>
      <c r="C154" t="s">
        <v>4339</v>
      </c>
      <c r="D154">
        <v>10</v>
      </c>
      <c r="E154" t="s">
        <v>4356</v>
      </c>
      <c r="F154">
        <v>13</v>
      </c>
      <c r="G154" t="s">
        <v>4357</v>
      </c>
      <c r="H154">
        <v>8</v>
      </c>
      <c r="I154" t="s">
        <v>5941</v>
      </c>
      <c r="J154">
        <v>8</v>
      </c>
      <c r="K154" t="s">
        <v>5942</v>
      </c>
      <c r="L154" t="s">
        <v>5618</v>
      </c>
    </row>
    <row r="155" spans="1:12" hidden="1">
      <c r="A155">
        <v>154</v>
      </c>
      <c r="B155">
        <v>2</v>
      </c>
      <c r="C155" t="s">
        <v>4339</v>
      </c>
      <c r="D155">
        <v>10</v>
      </c>
      <c r="E155" t="s">
        <v>4356</v>
      </c>
      <c r="F155">
        <v>13</v>
      </c>
      <c r="G155" t="s">
        <v>4357</v>
      </c>
      <c r="H155">
        <v>9</v>
      </c>
      <c r="I155" t="s">
        <v>5943</v>
      </c>
      <c r="J155">
        <v>9</v>
      </c>
      <c r="K155" t="s">
        <v>5944</v>
      </c>
      <c r="L155" t="s">
        <v>5702</v>
      </c>
    </row>
    <row r="156" spans="1:12" hidden="1">
      <c r="A156">
        <v>155</v>
      </c>
      <c r="B156">
        <v>2</v>
      </c>
      <c r="C156" t="s">
        <v>4339</v>
      </c>
      <c r="D156">
        <v>10</v>
      </c>
      <c r="E156" t="s">
        <v>4356</v>
      </c>
      <c r="F156">
        <v>13</v>
      </c>
      <c r="G156" t="s">
        <v>4357</v>
      </c>
      <c r="H156">
        <v>10</v>
      </c>
      <c r="I156" t="s">
        <v>5945</v>
      </c>
      <c r="J156">
        <v>10</v>
      </c>
      <c r="K156" t="s">
        <v>5946</v>
      </c>
      <c r="L156" t="s">
        <v>5621</v>
      </c>
    </row>
    <row r="157" spans="1:12" hidden="1">
      <c r="A157">
        <v>156</v>
      </c>
      <c r="B157">
        <v>2</v>
      </c>
      <c r="C157" t="s">
        <v>4339</v>
      </c>
      <c r="D157">
        <v>10</v>
      </c>
      <c r="E157" t="s">
        <v>4356</v>
      </c>
      <c r="F157">
        <v>13</v>
      </c>
      <c r="G157" t="s">
        <v>4357</v>
      </c>
      <c r="H157">
        <v>11</v>
      </c>
      <c r="I157" t="s">
        <v>5947</v>
      </c>
      <c r="J157">
        <v>11</v>
      </c>
      <c r="K157" t="s">
        <v>5948</v>
      </c>
      <c r="L157" t="s">
        <v>5702</v>
      </c>
    </row>
    <row r="158" spans="1:12" hidden="1">
      <c r="A158">
        <v>157</v>
      </c>
      <c r="B158">
        <v>2</v>
      </c>
      <c r="C158" t="s">
        <v>4339</v>
      </c>
      <c r="D158">
        <v>10</v>
      </c>
      <c r="E158" t="s">
        <v>4356</v>
      </c>
      <c r="F158">
        <v>13</v>
      </c>
      <c r="G158" t="s">
        <v>4357</v>
      </c>
      <c r="H158">
        <v>12</v>
      </c>
      <c r="I158" t="s">
        <v>5949</v>
      </c>
      <c r="J158">
        <v>12</v>
      </c>
      <c r="K158" t="s">
        <v>5950</v>
      </c>
      <c r="L158" t="s">
        <v>5639</v>
      </c>
    </row>
    <row r="159" spans="1:12" hidden="1">
      <c r="A159">
        <v>158</v>
      </c>
      <c r="B159">
        <v>2</v>
      </c>
      <c r="C159" t="s">
        <v>4339</v>
      </c>
      <c r="D159">
        <v>10</v>
      </c>
      <c r="E159" t="s">
        <v>4356</v>
      </c>
      <c r="F159">
        <v>13</v>
      </c>
      <c r="G159" t="s">
        <v>4357</v>
      </c>
      <c r="H159">
        <v>13</v>
      </c>
      <c r="I159" t="s">
        <v>5951</v>
      </c>
      <c r="J159">
        <v>13</v>
      </c>
      <c r="K159" t="s">
        <v>5952</v>
      </c>
      <c r="L159" t="s">
        <v>5639</v>
      </c>
    </row>
    <row r="160" spans="1:12" hidden="1">
      <c r="A160">
        <v>159</v>
      </c>
      <c r="B160">
        <v>2</v>
      </c>
      <c r="C160" t="s">
        <v>4339</v>
      </c>
      <c r="D160">
        <v>10</v>
      </c>
      <c r="E160" t="s">
        <v>4356</v>
      </c>
      <c r="F160">
        <v>13</v>
      </c>
      <c r="G160" t="s">
        <v>4357</v>
      </c>
      <c r="H160">
        <v>14</v>
      </c>
      <c r="I160" t="s">
        <v>5953</v>
      </c>
      <c r="J160">
        <v>14</v>
      </c>
      <c r="K160" t="s">
        <v>5954</v>
      </c>
      <c r="L160" t="s">
        <v>5644</v>
      </c>
    </row>
    <row r="161" spans="1:12" hidden="1">
      <c r="A161">
        <v>160</v>
      </c>
      <c r="B161">
        <v>1</v>
      </c>
      <c r="C161" t="s">
        <v>4358</v>
      </c>
      <c r="D161">
        <v>22</v>
      </c>
      <c r="E161" t="s">
        <v>4359</v>
      </c>
      <c r="F161">
        <v>6</v>
      </c>
      <c r="G161" t="s">
        <v>4360</v>
      </c>
      <c r="H161">
        <v>1</v>
      </c>
      <c r="I161" t="s">
        <v>5955</v>
      </c>
      <c r="J161">
        <v>1</v>
      </c>
      <c r="K161" t="s">
        <v>5956</v>
      </c>
      <c r="L161" t="s">
        <v>5957</v>
      </c>
    </row>
    <row r="162" spans="1:12" hidden="1">
      <c r="A162">
        <v>161</v>
      </c>
      <c r="B162">
        <v>1</v>
      </c>
      <c r="C162" t="s">
        <v>4358</v>
      </c>
      <c r="D162">
        <v>22</v>
      </c>
      <c r="E162" t="s">
        <v>4359</v>
      </c>
      <c r="F162">
        <v>6</v>
      </c>
      <c r="G162" t="s">
        <v>4360</v>
      </c>
      <c r="H162">
        <v>2</v>
      </c>
      <c r="I162" t="s">
        <v>5958</v>
      </c>
      <c r="J162">
        <v>2</v>
      </c>
      <c r="K162" t="s">
        <v>5959</v>
      </c>
      <c r="L162" t="s">
        <v>5960</v>
      </c>
    </row>
    <row r="163" spans="1:12" hidden="1">
      <c r="A163">
        <v>162</v>
      </c>
      <c r="B163">
        <v>1</v>
      </c>
      <c r="C163" t="s">
        <v>4358</v>
      </c>
      <c r="D163">
        <v>22</v>
      </c>
      <c r="E163" t="s">
        <v>4359</v>
      </c>
      <c r="F163">
        <v>6</v>
      </c>
      <c r="G163" t="s">
        <v>4360</v>
      </c>
      <c r="H163">
        <v>3</v>
      </c>
      <c r="I163" t="s">
        <v>5961</v>
      </c>
      <c r="J163">
        <v>3</v>
      </c>
      <c r="K163" t="s">
        <v>5962</v>
      </c>
      <c r="L163" t="s">
        <v>5644</v>
      </c>
    </row>
    <row r="164" spans="1:12" hidden="1">
      <c r="A164">
        <v>163</v>
      </c>
      <c r="B164">
        <v>1</v>
      </c>
      <c r="C164" t="s">
        <v>4358</v>
      </c>
      <c r="D164">
        <v>22</v>
      </c>
      <c r="E164" t="s">
        <v>4359</v>
      </c>
      <c r="F164">
        <v>6</v>
      </c>
      <c r="G164" t="s">
        <v>4360</v>
      </c>
      <c r="H164">
        <v>4</v>
      </c>
      <c r="I164" t="s">
        <v>5963</v>
      </c>
      <c r="J164">
        <v>4</v>
      </c>
      <c r="K164" t="s">
        <v>5964</v>
      </c>
      <c r="L164" t="s">
        <v>5965</v>
      </c>
    </row>
    <row r="165" spans="1:12" hidden="1">
      <c r="A165">
        <v>164</v>
      </c>
      <c r="B165">
        <v>1</v>
      </c>
      <c r="C165" t="s">
        <v>4358</v>
      </c>
      <c r="D165">
        <v>22</v>
      </c>
      <c r="E165" t="s">
        <v>4359</v>
      </c>
      <c r="F165">
        <v>6</v>
      </c>
      <c r="G165" t="s">
        <v>4360</v>
      </c>
      <c r="H165">
        <v>5</v>
      </c>
      <c r="I165" t="s">
        <v>5966</v>
      </c>
      <c r="J165">
        <v>5</v>
      </c>
      <c r="K165" t="s">
        <v>5967</v>
      </c>
      <c r="L165" t="s">
        <v>5702</v>
      </c>
    </row>
    <row r="166" spans="1:12" hidden="1">
      <c r="A166">
        <v>165</v>
      </c>
      <c r="B166">
        <v>1</v>
      </c>
      <c r="C166" t="s">
        <v>4358</v>
      </c>
      <c r="D166">
        <v>22</v>
      </c>
      <c r="E166" t="s">
        <v>4359</v>
      </c>
      <c r="F166">
        <v>6</v>
      </c>
      <c r="G166" t="s">
        <v>4360</v>
      </c>
      <c r="H166">
        <v>6</v>
      </c>
      <c r="I166" t="s">
        <v>5968</v>
      </c>
      <c r="J166">
        <v>6</v>
      </c>
      <c r="K166" t="s">
        <v>5969</v>
      </c>
      <c r="L166" t="s">
        <v>5702</v>
      </c>
    </row>
    <row r="167" spans="1:12" hidden="1">
      <c r="A167">
        <v>166</v>
      </c>
      <c r="B167">
        <v>1</v>
      </c>
      <c r="C167" t="s">
        <v>4358</v>
      </c>
      <c r="D167">
        <v>22</v>
      </c>
      <c r="E167" t="s">
        <v>4359</v>
      </c>
      <c r="F167">
        <v>6</v>
      </c>
      <c r="G167" t="s">
        <v>4360</v>
      </c>
      <c r="H167">
        <v>7</v>
      </c>
      <c r="I167" t="s">
        <v>5970</v>
      </c>
      <c r="J167">
        <v>7</v>
      </c>
      <c r="K167" t="s">
        <v>5971</v>
      </c>
      <c r="L167" t="s">
        <v>5621</v>
      </c>
    </row>
    <row r="168" spans="1:12" hidden="1">
      <c r="A168">
        <v>167</v>
      </c>
      <c r="B168">
        <v>1</v>
      </c>
      <c r="C168" t="s">
        <v>4358</v>
      </c>
      <c r="D168">
        <v>22</v>
      </c>
      <c r="E168" t="s">
        <v>4359</v>
      </c>
      <c r="F168">
        <v>6</v>
      </c>
      <c r="G168" t="s">
        <v>4360</v>
      </c>
      <c r="H168">
        <v>8</v>
      </c>
      <c r="I168" t="s">
        <v>5972</v>
      </c>
      <c r="J168">
        <v>8</v>
      </c>
      <c r="K168" t="s">
        <v>5973</v>
      </c>
      <c r="L168" t="s">
        <v>5621</v>
      </c>
    </row>
    <row r="169" spans="1:12" hidden="1">
      <c r="A169">
        <v>168</v>
      </c>
      <c r="B169">
        <v>1</v>
      </c>
      <c r="C169" t="s">
        <v>4358</v>
      </c>
      <c r="D169">
        <v>22</v>
      </c>
      <c r="E169" t="s">
        <v>4359</v>
      </c>
      <c r="F169">
        <v>6</v>
      </c>
      <c r="G169" t="s">
        <v>4360</v>
      </c>
      <c r="H169">
        <v>9</v>
      </c>
      <c r="I169" t="s">
        <v>5974</v>
      </c>
      <c r="J169">
        <v>9</v>
      </c>
      <c r="K169" t="s">
        <v>5975</v>
      </c>
      <c r="L169" t="s">
        <v>5621</v>
      </c>
    </row>
    <row r="170" spans="1:12" hidden="1">
      <c r="A170">
        <v>169</v>
      </c>
      <c r="B170">
        <v>1</v>
      </c>
      <c r="C170" t="s">
        <v>4358</v>
      </c>
      <c r="D170">
        <v>22</v>
      </c>
      <c r="E170" t="s">
        <v>4359</v>
      </c>
      <c r="F170">
        <v>6</v>
      </c>
      <c r="G170" t="s">
        <v>4360</v>
      </c>
      <c r="H170">
        <v>10</v>
      </c>
      <c r="I170" t="s">
        <v>5976</v>
      </c>
      <c r="J170">
        <v>10</v>
      </c>
      <c r="K170" t="s">
        <v>5977</v>
      </c>
      <c r="L170" t="s">
        <v>5978</v>
      </c>
    </row>
    <row r="171" spans="1:12" hidden="1">
      <c r="A171">
        <v>170</v>
      </c>
      <c r="B171">
        <v>1</v>
      </c>
      <c r="C171" t="s">
        <v>4358</v>
      </c>
      <c r="D171">
        <v>22</v>
      </c>
      <c r="E171" t="s">
        <v>4359</v>
      </c>
      <c r="F171">
        <v>6</v>
      </c>
      <c r="G171" t="s">
        <v>4360</v>
      </c>
      <c r="H171">
        <v>11</v>
      </c>
      <c r="I171" t="s">
        <v>5979</v>
      </c>
      <c r="J171">
        <v>11</v>
      </c>
      <c r="K171" t="s">
        <v>5980</v>
      </c>
      <c r="L171" t="s">
        <v>5634</v>
      </c>
    </row>
    <row r="172" spans="1:12" hidden="1">
      <c r="A172">
        <v>171</v>
      </c>
      <c r="B172">
        <v>1</v>
      </c>
      <c r="C172" t="s">
        <v>4358</v>
      </c>
      <c r="D172">
        <v>22</v>
      </c>
      <c r="E172" t="s">
        <v>4359</v>
      </c>
      <c r="F172">
        <v>6</v>
      </c>
      <c r="G172" t="s">
        <v>4360</v>
      </c>
      <c r="H172">
        <v>12</v>
      </c>
      <c r="I172" t="s">
        <v>5981</v>
      </c>
      <c r="J172">
        <v>12</v>
      </c>
      <c r="K172" t="s">
        <v>5982</v>
      </c>
      <c r="L172" t="s">
        <v>5634</v>
      </c>
    </row>
    <row r="173" spans="1:12" hidden="1">
      <c r="A173">
        <v>172</v>
      </c>
      <c r="B173">
        <v>1</v>
      </c>
      <c r="C173" t="s">
        <v>4358</v>
      </c>
      <c r="D173">
        <v>18</v>
      </c>
      <c r="E173" t="s">
        <v>4361</v>
      </c>
      <c r="F173">
        <v>8</v>
      </c>
      <c r="G173" t="s">
        <v>4362</v>
      </c>
      <c r="H173">
        <v>1</v>
      </c>
      <c r="I173" t="s">
        <v>5983</v>
      </c>
      <c r="J173">
        <v>1</v>
      </c>
      <c r="K173" t="s">
        <v>5984</v>
      </c>
      <c r="L173" t="s">
        <v>5985</v>
      </c>
    </row>
    <row r="174" spans="1:12" hidden="1">
      <c r="A174">
        <v>173</v>
      </c>
      <c r="B174">
        <v>1</v>
      </c>
      <c r="C174" t="s">
        <v>4358</v>
      </c>
      <c r="D174">
        <v>18</v>
      </c>
      <c r="E174" t="s">
        <v>4361</v>
      </c>
      <c r="F174">
        <v>8</v>
      </c>
      <c r="G174" t="s">
        <v>4362</v>
      </c>
      <c r="H174">
        <v>2</v>
      </c>
      <c r="I174" t="s">
        <v>5986</v>
      </c>
      <c r="J174">
        <v>2</v>
      </c>
      <c r="K174" t="s">
        <v>5987</v>
      </c>
      <c r="L174" t="s">
        <v>5644</v>
      </c>
    </row>
    <row r="175" spans="1:12" hidden="1">
      <c r="A175">
        <v>174</v>
      </c>
      <c r="B175">
        <v>1</v>
      </c>
      <c r="C175" t="s">
        <v>4358</v>
      </c>
      <c r="D175">
        <v>18</v>
      </c>
      <c r="E175" t="s">
        <v>4361</v>
      </c>
      <c r="F175">
        <v>8</v>
      </c>
      <c r="G175" t="s">
        <v>4362</v>
      </c>
      <c r="H175">
        <v>3</v>
      </c>
      <c r="I175" t="s">
        <v>5988</v>
      </c>
      <c r="J175">
        <v>3</v>
      </c>
      <c r="K175" t="s">
        <v>5989</v>
      </c>
      <c r="L175" t="s">
        <v>5644</v>
      </c>
    </row>
    <row r="176" spans="1:12" hidden="1">
      <c r="A176">
        <v>175</v>
      </c>
      <c r="B176">
        <v>1</v>
      </c>
      <c r="C176" t="s">
        <v>4358</v>
      </c>
      <c r="D176">
        <v>18</v>
      </c>
      <c r="E176" t="s">
        <v>4361</v>
      </c>
      <c r="F176">
        <v>8</v>
      </c>
      <c r="G176" t="s">
        <v>4362</v>
      </c>
      <c r="H176">
        <v>4</v>
      </c>
      <c r="I176" t="s">
        <v>5990</v>
      </c>
      <c r="J176">
        <v>4</v>
      </c>
      <c r="K176" t="s">
        <v>5991</v>
      </c>
      <c r="L176" t="s">
        <v>5965</v>
      </c>
    </row>
    <row r="177" spans="1:12" hidden="1">
      <c r="A177">
        <v>176</v>
      </c>
      <c r="B177">
        <v>1</v>
      </c>
      <c r="C177" t="s">
        <v>4358</v>
      </c>
      <c r="D177">
        <v>18</v>
      </c>
      <c r="E177" t="s">
        <v>4361</v>
      </c>
      <c r="F177">
        <v>8</v>
      </c>
      <c r="G177" t="s">
        <v>4362</v>
      </c>
      <c r="H177">
        <v>5</v>
      </c>
      <c r="I177" t="s">
        <v>5992</v>
      </c>
      <c r="J177">
        <v>5</v>
      </c>
      <c r="K177" t="s">
        <v>5993</v>
      </c>
      <c r="L177" t="s">
        <v>5702</v>
      </c>
    </row>
    <row r="178" spans="1:12" hidden="1">
      <c r="A178">
        <v>177</v>
      </c>
      <c r="B178">
        <v>1</v>
      </c>
      <c r="C178" t="s">
        <v>4358</v>
      </c>
      <c r="D178">
        <v>18</v>
      </c>
      <c r="E178" t="s">
        <v>4361</v>
      </c>
      <c r="F178">
        <v>8</v>
      </c>
      <c r="G178" t="s">
        <v>4362</v>
      </c>
      <c r="H178">
        <v>6</v>
      </c>
      <c r="I178" t="s">
        <v>5994</v>
      </c>
      <c r="J178">
        <v>6</v>
      </c>
      <c r="K178" t="s">
        <v>5995</v>
      </c>
      <c r="L178" t="s">
        <v>5996</v>
      </c>
    </row>
    <row r="179" spans="1:12" hidden="1">
      <c r="A179">
        <v>178</v>
      </c>
      <c r="B179">
        <v>1</v>
      </c>
      <c r="C179" t="s">
        <v>4358</v>
      </c>
      <c r="D179">
        <v>18</v>
      </c>
      <c r="E179" t="s">
        <v>4361</v>
      </c>
      <c r="F179">
        <v>8</v>
      </c>
      <c r="G179" t="s">
        <v>4362</v>
      </c>
      <c r="H179">
        <v>7</v>
      </c>
      <c r="I179" t="s">
        <v>5997</v>
      </c>
      <c r="J179">
        <v>7</v>
      </c>
      <c r="K179" t="s">
        <v>5998</v>
      </c>
      <c r="L179" t="s">
        <v>5702</v>
      </c>
    </row>
    <row r="180" spans="1:12" hidden="1">
      <c r="A180">
        <v>179</v>
      </c>
      <c r="B180">
        <v>1</v>
      </c>
      <c r="C180" t="s">
        <v>4358</v>
      </c>
      <c r="D180">
        <v>18</v>
      </c>
      <c r="E180" t="s">
        <v>4361</v>
      </c>
      <c r="F180">
        <v>8</v>
      </c>
      <c r="G180" t="s">
        <v>4362</v>
      </c>
      <c r="H180">
        <v>8</v>
      </c>
      <c r="I180" t="s">
        <v>5999</v>
      </c>
      <c r="J180">
        <v>8</v>
      </c>
      <c r="K180" t="s">
        <v>6000</v>
      </c>
      <c r="L180" t="s">
        <v>5621</v>
      </c>
    </row>
    <row r="181" spans="1:12" hidden="1">
      <c r="A181">
        <v>180</v>
      </c>
      <c r="B181">
        <v>1</v>
      </c>
      <c r="C181" t="s">
        <v>4358</v>
      </c>
      <c r="D181">
        <v>18</v>
      </c>
      <c r="E181" t="s">
        <v>4361</v>
      </c>
      <c r="F181">
        <v>8</v>
      </c>
      <c r="G181" t="s">
        <v>4362</v>
      </c>
      <c r="H181">
        <v>9</v>
      </c>
      <c r="I181" t="s">
        <v>6001</v>
      </c>
      <c r="J181">
        <v>9</v>
      </c>
      <c r="K181" t="s">
        <v>6002</v>
      </c>
      <c r="L181" t="s">
        <v>5621</v>
      </c>
    </row>
    <row r="182" spans="1:12" hidden="1">
      <c r="A182">
        <v>181</v>
      </c>
      <c r="B182">
        <v>1</v>
      </c>
      <c r="C182" t="s">
        <v>4358</v>
      </c>
      <c r="D182">
        <v>18</v>
      </c>
      <c r="E182" t="s">
        <v>4361</v>
      </c>
      <c r="F182">
        <v>8</v>
      </c>
      <c r="G182" t="s">
        <v>4362</v>
      </c>
      <c r="H182">
        <v>10</v>
      </c>
      <c r="I182" t="s">
        <v>6003</v>
      </c>
      <c r="J182">
        <v>10</v>
      </c>
      <c r="K182" t="s">
        <v>6004</v>
      </c>
      <c r="L182" t="s">
        <v>5702</v>
      </c>
    </row>
    <row r="183" spans="1:12" hidden="1">
      <c r="A183">
        <v>182</v>
      </c>
      <c r="B183">
        <v>1</v>
      </c>
      <c r="C183" t="s">
        <v>4358</v>
      </c>
      <c r="D183">
        <v>18</v>
      </c>
      <c r="E183" t="s">
        <v>4361</v>
      </c>
      <c r="F183">
        <v>8</v>
      </c>
      <c r="G183" t="s">
        <v>4362</v>
      </c>
      <c r="H183">
        <v>11</v>
      </c>
      <c r="I183" t="s">
        <v>6005</v>
      </c>
      <c r="J183">
        <v>11</v>
      </c>
      <c r="K183" t="s">
        <v>6006</v>
      </c>
      <c r="L183" t="s">
        <v>5978</v>
      </c>
    </row>
    <row r="184" spans="1:12" hidden="1">
      <c r="A184">
        <v>183</v>
      </c>
      <c r="B184">
        <v>1</v>
      </c>
      <c r="C184" t="s">
        <v>4358</v>
      </c>
      <c r="D184">
        <v>18</v>
      </c>
      <c r="E184" t="s">
        <v>4361</v>
      </c>
      <c r="F184">
        <v>8</v>
      </c>
      <c r="G184" t="s">
        <v>4362</v>
      </c>
      <c r="H184">
        <v>12</v>
      </c>
      <c r="I184" t="s">
        <v>6007</v>
      </c>
      <c r="J184">
        <v>12</v>
      </c>
      <c r="K184" t="s">
        <v>6008</v>
      </c>
      <c r="L184" t="s">
        <v>6009</v>
      </c>
    </row>
    <row r="185" spans="1:12" hidden="1">
      <c r="A185">
        <v>184</v>
      </c>
      <c r="B185">
        <v>1</v>
      </c>
      <c r="C185" t="s">
        <v>4358</v>
      </c>
      <c r="D185">
        <v>18</v>
      </c>
      <c r="E185" t="s">
        <v>4361</v>
      </c>
      <c r="F185">
        <v>8</v>
      </c>
      <c r="G185" t="s">
        <v>4362</v>
      </c>
      <c r="H185">
        <v>13</v>
      </c>
      <c r="I185" t="s">
        <v>6010</v>
      </c>
      <c r="J185">
        <v>13</v>
      </c>
      <c r="K185" t="s">
        <v>6011</v>
      </c>
      <c r="L185" t="s">
        <v>5634</v>
      </c>
    </row>
    <row r="186" spans="1:12" hidden="1">
      <c r="A186">
        <v>185</v>
      </c>
      <c r="B186">
        <v>1</v>
      </c>
      <c r="C186" t="s">
        <v>4358</v>
      </c>
      <c r="D186">
        <v>18</v>
      </c>
      <c r="E186" t="s">
        <v>4361</v>
      </c>
      <c r="F186">
        <v>8</v>
      </c>
      <c r="G186" t="s">
        <v>4362</v>
      </c>
      <c r="H186">
        <v>14</v>
      </c>
      <c r="I186" t="s">
        <v>6012</v>
      </c>
      <c r="J186">
        <v>14</v>
      </c>
      <c r="K186" t="s">
        <v>6013</v>
      </c>
      <c r="L186" t="s">
        <v>5634</v>
      </c>
    </row>
    <row r="187" spans="1:12" hidden="1">
      <c r="A187">
        <v>186</v>
      </c>
      <c r="B187">
        <v>1</v>
      </c>
      <c r="C187" t="s">
        <v>4358</v>
      </c>
      <c r="D187">
        <v>15</v>
      </c>
      <c r="E187" t="s">
        <v>4363</v>
      </c>
      <c r="F187">
        <v>5</v>
      </c>
      <c r="G187" t="s">
        <v>4364</v>
      </c>
      <c r="H187">
        <v>1</v>
      </c>
      <c r="I187" t="s">
        <v>6014</v>
      </c>
      <c r="J187">
        <v>1</v>
      </c>
      <c r="K187" t="s">
        <v>6015</v>
      </c>
      <c r="L187" t="s">
        <v>6016</v>
      </c>
    </row>
    <row r="188" spans="1:12" hidden="1">
      <c r="A188">
        <v>187</v>
      </c>
      <c r="B188">
        <v>1</v>
      </c>
      <c r="C188" t="s">
        <v>4358</v>
      </c>
      <c r="D188">
        <v>15</v>
      </c>
      <c r="E188" t="s">
        <v>4363</v>
      </c>
      <c r="F188">
        <v>5</v>
      </c>
      <c r="G188" t="s">
        <v>4364</v>
      </c>
      <c r="H188">
        <v>2</v>
      </c>
      <c r="I188" t="s">
        <v>6017</v>
      </c>
      <c r="J188">
        <v>2</v>
      </c>
      <c r="K188" t="s">
        <v>6018</v>
      </c>
      <c r="L188" t="s">
        <v>5644</v>
      </c>
    </row>
    <row r="189" spans="1:12" hidden="1">
      <c r="A189">
        <v>188</v>
      </c>
      <c r="B189">
        <v>1</v>
      </c>
      <c r="C189" t="s">
        <v>4358</v>
      </c>
      <c r="D189">
        <v>15</v>
      </c>
      <c r="E189" t="s">
        <v>4363</v>
      </c>
      <c r="F189">
        <v>5</v>
      </c>
      <c r="G189" t="s">
        <v>4364</v>
      </c>
      <c r="H189">
        <v>3</v>
      </c>
      <c r="I189" t="s">
        <v>6019</v>
      </c>
      <c r="J189">
        <v>3</v>
      </c>
      <c r="K189" t="s">
        <v>6020</v>
      </c>
      <c r="L189" t="s">
        <v>5644</v>
      </c>
    </row>
    <row r="190" spans="1:12" hidden="1">
      <c r="A190">
        <v>189</v>
      </c>
      <c r="B190">
        <v>1</v>
      </c>
      <c r="C190" t="s">
        <v>4358</v>
      </c>
      <c r="D190">
        <v>15</v>
      </c>
      <c r="E190" t="s">
        <v>4363</v>
      </c>
      <c r="F190">
        <v>5</v>
      </c>
      <c r="G190" t="s">
        <v>4364</v>
      </c>
      <c r="H190">
        <v>4</v>
      </c>
      <c r="I190" t="s">
        <v>6021</v>
      </c>
      <c r="J190">
        <v>4</v>
      </c>
      <c r="K190" t="s">
        <v>6022</v>
      </c>
      <c r="L190" t="s">
        <v>5654</v>
      </c>
    </row>
    <row r="191" spans="1:12" hidden="1">
      <c r="A191">
        <v>190</v>
      </c>
      <c r="B191">
        <v>1</v>
      </c>
      <c r="C191" t="s">
        <v>4358</v>
      </c>
      <c r="D191">
        <v>15</v>
      </c>
      <c r="E191" t="s">
        <v>4363</v>
      </c>
      <c r="F191">
        <v>5</v>
      </c>
      <c r="G191" t="s">
        <v>4364</v>
      </c>
      <c r="H191">
        <v>5</v>
      </c>
      <c r="I191" t="s">
        <v>6023</v>
      </c>
      <c r="J191">
        <v>5</v>
      </c>
      <c r="K191" t="s">
        <v>6024</v>
      </c>
      <c r="L191" t="s">
        <v>5965</v>
      </c>
    </row>
    <row r="192" spans="1:12" hidden="1">
      <c r="A192">
        <v>191</v>
      </c>
      <c r="B192">
        <v>1</v>
      </c>
      <c r="C192" t="s">
        <v>4358</v>
      </c>
      <c r="D192">
        <v>15</v>
      </c>
      <c r="E192" t="s">
        <v>4363</v>
      </c>
      <c r="F192">
        <v>5</v>
      </c>
      <c r="G192" t="s">
        <v>4364</v>
      </c>
      <c r="H192">
        <v>6</v>
      </c>
      <c r="I192" t="s">
        <v>6025</v>
      </c>
      <c r="J192">
        <v>6</v>
      </c>
      <c r="K192" t="s">
        <v>6026</v>
      </c>
      <c r="L192" t="s">
        <v>6027</v>
      </c>
    </row>
    <row r="193" spans="1:12" hidden="1">
      <c r="A193">
        <v>192</v>
      </c>
      <c r="B193">
        <v>1</v>
      </c>
      <c r="C193" t="s">
        <v>4358</v>
      </c>
      <c r="D193">
        <v>15</v>
      </c>
      <c r="E193" t="s">
        <v>4363</v>
      </c>
      <c r="F193">
        <v>5</v>
      </c>
      <c r="G193" t="s">
        <v>4364</v>
      </c>
      <c r="H193">
        <v>7</v>
      </c>
      <c r="I193" t="s">
        <v>6028</v>
      </c>
      <c r="J193">
        <v>7</v>
      </c>
      <c r="K193" t="s">
        <v>6029</v>
      </c>
      <c r="L193" t="s">
        <v>5621</v>
      </c>
    </row>
    <row r="194" spans="1:12" hidden="1">
      <c r="A194">
        <v>193</v>
      </c>
      <c r="B194">
        <v>1</v>
      </c>
      <c r="C194" t="s">
        <v>4358</v>
      </c>
      <c r="D194">
        <v>15</v>
      </c>
      <c r="E194" t="s">
        <v>4363</v>
      </c>
      <c r="F194">
        <v>5</v>
      </c>
      <c r="G194" t="s">
        <v>4364</v>
      </c>
      <c r="H194">
        <v>8</v>
      </c>
      <c r="I194" t="s">
        <v>6030</v>
      </c>
      <c r="J194">
        <v>8</v>
      </c>
      <c r="K194" t="s">
        <v>5800</v>
      </c>
      <c r="L194" t="s">
        <v>6031</v>
      </c>
    </row>
    <row r="195" spans="1:12" hidden="1">
      <c r="A195">
        <v>194</v>
      </c>
      <c r="B195">
        <v>1</v>
      </c>
      <c r="C195" t="s">
        <v>4358</v>
      </c>
      <c r="D195">
        <v>15</v>
      </c>
      <c r="E195" t="s">
        <v>4363</v>
      </c>
      <c r="F195">
        <v>5</v>
      </c>
      <c r="G195" t="s">
        <v>4364</v>
      </c>
      <c r="H195">
        <v>9</v>
      </c>
      <c r="I195" t="s">
        <v>6032</v>
      </c>
      <c r="J195">
        <v>9</v>
      </c>
      <c r="K195" t="s">
        <v>6033</v>
      </c>
      <c r="L195" t="s">
        <v>6034</v>
      </c>
    </row>
    <row r="196" spans="1:12" hidden="1">
      <c r="A196">
        <v>195</v>
      </c>
      <c r="B196">
        <v>1</v>
      </c>
      <c r="C196" t="s">
        <v>4358</v>
      </c>
      <c r="D196">
        <v>15</v>
      </c>
      <c r="E196" t="s">
        <v>4363</v>
      </c>
      <c r="F196">
        <v>5</v>
      </c>
      <c r="G196" t="s">
        <v>4364</v>
      </c>
      <c r="H196">
        <v>10</v>
      </c>
      <c r="I196" t="s">
        <v>6035</v>
      </c>
      <c r="J196">
        <v>10</v>
      </c>
      <c r="K196" t="s">
        <v>6036</v>
      </c>
      <c r="L196" t="s">
        <v>5634</v>
      </c>
    </row>
    <row r="197" spans="1:12" hidden="1">
      <c r="A197">
        <v>196</v>
      </c>
      <c r="B197">
        <v>1</v>
      </c>
      <c r="C197" t="s">
        <v>4358</v>
      </c>
      <c r="D197">
        <v>15</v>
      </c>
      <c r="E197" t="s">
        <v>4363</v>
      </c>
      <c r="F197">
        <v>5</v>
      </c>
      <c r="G197" t="s">
        <v>4364</v>
      </c>
      <c r="H197">
        <v>11</v>
      </c>
      <c r="I197" t="s">
        <v>6037</v>
      </c>
      <c r="J197">
        <v>11</v>
      </c>
      <c r="K197" t="s">
        <v>6038</v>
      </c>
      <c r="L197" t="s">
        <v>5634</v>
      </c>
    </row>
    <row r="198" spans="1:12" hidden="1">
      <c r="A198">
        <v>197</v>
      </c>
      <c r="B198">
        <v>1</v>
      </c>
      <c r="C198" t="s">
        <v>4358</v>
      </c>
      <c r="D198">
        <v>15</v>
      </c>
      <c r="E198" t="s">
        <v>4363</v>
      </c>
      <c r="F198">
        <v>5</v>
      </c>
      <c r="G198" t="s">
        <v>4364</v>
      </c>
      <c r="H198">
        <v>12</v>
      </c>
      <c r="I198" t="s">
        <v>6039</v>
      </c>
      <c r="J198">
        <v>12</v>
      </c>
      <c r="K198" t="s">
        <v>6040</v>
      </c>
      <c r="L198" t="s">
        <v>5978</v>
      </c>
    </row>
    <row r="199" spans="1:12" hidden="1">
      <c r="A199">
        <v>198</v>
      </c>
      <c r="B199">
        <v>1</v>
      </c>
      <c r="C199" t="s">
        <v>4358</v>
      </c>
      <c r="D199">
        <v>20</v>
      </c>
      <c r="E199" t="s">
        <v>4365</v>
      </c>
      <c r="F199">
        <v>2</v>
      </c>
      <c r="G199" t="s">
        <v>4366</v>
      </c>
      <c r="H199">
        <v>1</v>
      </c>
      <c r="I199" t="s">
        <v>6041</v>
      </c>
      <c r="J199">
        <v>1</v>
      </c>
      <c r="K199" t="s">
        <v>6042</v>
      </c>
      <c r="L199" t="s">
        <v>5985</v>
      </c>
    </row>
    <row r="200" spans="1:12" hidden="1">
      <c r="A200">
        <v>199</v>
      </c>
      <c r="B200">
        <v>1</v>
      </c>
      <c r="C200" t="s">
        <v>4358</v>
      </c>
      <c r="D200">
        <v>20</v>
      </c>
      <c r="E200" t="s">
        <v>4365</v>
      </c>
      <c r="F200">
        <v>2</v>
      </c>
      <c r="G200" t="s">
        <v>4366</v>
      </c>
      <c r="H200">
        <v>2</v>
      </c>
      <c r="I200" t="s">
        <v>6043</v>
      </c>
      <c r="J200">
        <v>2</v>
      </c>
      <c r="K200" t="s">
        <v>6044</v>
      </c>
      <c r="L200" t="s">
        <v>5804</v>
      </c>
    </row>
    <row r="201" spans="1:12" hidden="1">
      <c r="A201">
        <v>200</v>
      </c>
      <c r="B201">
        <v>1</v>
      </c>
      <c r="C201" t="s">
        <v>4358</v>
      </c>
      <c r="D201">
        <v>20</v>
      </c>
      <c r="E201" t="s">
        <v>4365</v>
      </c>
      <c r="F201">
        <v>2</v>
      </c>
      <c r="G201" t="s">
        <v>4366</v>
      </c>
      <c r="H201">
        <v>3</v>
      </c>
      <c r="I201" t="s">
        <v>6045</v>
      </c>
      <c r="J201">
        <v>3</v>
      </c>
      <c r="K201" t="s">
        <v>6046</v>
      </c>
      <c r="L201" t="s">
        <v>5644</v>
      </c>
    </row>
    <row r="202" spans="1:12" hidden="1">
      <c r="A202">
        <v>201</v>
      </c>
      <c r="B202">
        <v>1</v>
      </c>
      <c r="C202" t="s">
        <v>4358</v>
      </c>
      <c r="D202">
        <v>20</v>
      </c>
      <c r="E202" t="s">
        <v>4365</v>
      </c>
      <c r="F202">
        <v>2</v>
      </c>
      <c r="G202" t="s">
        <v>4366</v>
      </c>
      <c r="H202">
        <v>4</v>
      </c>
      <c r="I202" t="s">
        <v>6047</v>
      </c>
      <c r="J202">
        <v>4</v>
      </c>
      <c r="K202" t="s">
        <v>6048</v>
      </c>
      <c r="L202" t="s">
        <v>6049</v>
      </c>
    </row>
    <row r="203" spans="1:12" hidden="1">
      <c r="A203">
        <v>202</v>
      </c>
      <c r="B203">
        <v>1</v>
      </c>
      <c r="C203" t="s">
        <v>4358</v>
      </c>
      <c r="D203">
        <v>20</v>
      </c>
      <c r="E203" t="s">
        <v>4365</v>
      </c>
      <c r="F203">
        <v>2</v>
      </c>
      <c r="G203" t="s">
        <v>4366</v>
      </c>
      <c r="H203">
        <v>5</v>
      </c>
      <c r="I203" t="s">
        <v>6050</v>
      </c>
      <c r="J203">
        <v>5</v>
      </c>
      <c r="K203" t="s">
        <v>6051</v>
      </c>
      <c r="L203" t="s">
        <v>6052</v>
      </c>
    </row>
    <row r="204" spans="1:12" hidden="1">
      <c r="A204">
        <v>203</v>
      </c>
      <c r="B204">
        <v>1</v>
      </c>
      <c r="C204" t="s">
        <v>4358</v>
      </c>
      <c r="D204">
        <v>20</v>
      </c>
      <c r="E204" t="s">
        <v>4365</v>
      </c>
      <c r="F204">
        <v>2</v>
      </c>
      <c r="G204" t="s">
        <v>4366</v>
      </c>
      <c r="H204">
        <v>6</v>
      </c>
      <c r="I204" t="s">
        <v>6053</v>
      </c>
      <c r="J204">
        <v>6</v>
      </c>
      <c r="K204" t="s">
        <v>6054</v>
      </c>
      <c r="L204" t="s">
        <v>5996</v>
      </c>
    </row>
    <row r="205" spans="1:12" hidden="1">
      <c r="A205">
        <v>204</v>
      </c>
      <c r="B205">
        <v>1</v>
      </c>
      <c r="C205" t="s">
        <v>4358</v>
      </c>
      <c r="D205">
        <v>20</v>
      </c>
      <c r="E205" t="s">
        <v>4365</v>
      </c>
      <c r="F205">
        <v>2</v>
      </c>
      <c r="G205" t="s">
        <v>4366</v>
      </c>
      <c r="H205">
        <v>7</v>
      </c>
      <c r="I205" t="s">
        <v>6055</v>
      </c>
      <c r="J205">
        <v>7</v>
      </c>
      <c r="K205" t="s">
        <v>6056</v>
      </c>
      <c r="L205" t="s">
        <v>5621</v>
      </c>
    </row>
    <row r="206" spans="1:12" hidden="1">
      <c r="A206">
        <v>205</v>
      </c>
      <c r="B206">
        <v>1</v>
      </c>
      <c r="C206" t="s">
        <v>4358</v>
      </c>
      <c r="D206">
        <v>20</v>
      </c>
      <c r="E206" t="s">
        <v>4365</v>
      </c>
      <c r="F206">
        <v>2</v>
      </c>
      <c r="G206" t="s">
        <v>4366</v>
      </c>
      <c r="H206">
        <v>8</v>
      </c>
      <c r="I206" t="s">
        <v>6057</v>
      </c>
      <c r="J206">
        <v>8</v>
      </c>
      <c r="K206" t="s">
        <v>6058</v>
      </c>
      <c r="L206" t="s">
        <v>5621</v>
      </c>
    </row>
    <row r="207" spans="1:12" hidden="1">
      <c r="A207">
        <v>206</v>
      </c>
      <c r="B207">
        <v>1</v>
      </c>
      <c r="C207" t="s">
        <v>4358</v>
      </c>
      <c r="D207">
        <v>20</v>
      </c>
      <c r="E207" t="s">
        <v>4365</v>
      </c>
      <c r="F207">
        <v>2</v>
      </c>
      <c r="G207" t="s">
        <v>4366</v>
      </c>
      <c r="H207">
        <v>9</v>
      </c>
      <c r="I207" t="s">
        <v>6059</v>
      </c>
      <c r="J207">
        <v>9</v>
      </c>
      <c r="K207" t="s">
        <v>6060</v>
      </c>
      <c r="L207" t="s">
        <v>6009</v>
      </c>
    </row>
    <row r="208" spans="1:12" hidden="1">
      <c r="A208">
        <v>207</v>
      </c>
      <c r="B208">
        <v>1</v>
      </c>
      <c r="C208" t="s">
        <v>4358</v>
      </c>
      <c r="D208">
        <v>20</v>
      </c>
      <c r="E208" t="s">
        <v>4365</v>
      </c>
      <c r="F208">
        <v>2</v>
      </c>
      <c r="G208" t="s">
        <v>4366</v>
      </c>
      <c r="H208">
        <v>10</v>
      </c>
      <c r="I208" t="s">
        <v>6061</v>
      </c>
      <c r="J208">
        <v>10</v>
      </c>
      <c r="K208" t="s">
        <v>6062</v>
      </c>
      <c r="L208" t="s">
        <v>5634</v>
      </c>
    </row>
    <row r="209" spans="1:12" hidden="1">
      <c r="A209">
        <v>208</v>
      </c>
      <c r="B209">
        <v>1</v>
      </c>
      <c r="C209" t="s">
        <v>4358</v>
      </c>
      <c r="D209">
        <v>20</v>
      </c>
      <c r="E209" t="s">
        <v>4365</v>
      </c>
      <c r="F209">
        <v>2</v>
      </c>
      <c r="G209" t="s">
        <v>4366</v>
      </c>
      <c r="H209">
        <v>11</v>
      </c>
      <c r="I209" t="s">
        <v>6063</v>
      </c>
      <c r="J209">
        <v>11</v>
      </c>
      <c r="K209" t="s">
        <v>6064</v>
      </c>
      <c r="L209" t="s">
        <v>5978</v>
      </c>
    </row>
    <row r="210" spans="1:12" hidden="1">
      <c r="A210">
        <v>209</v>
      </c>
      <c r="B210">
        <v>1</v>
      </c>
      <c r="C210" t="s">
        <v>4358</v>
      </c>
      <c r="D210">
        <v>17</v>
      </c>
      <c r="E210" t="s">
        <v>4367</v>
      </c>
      <c r="F210">
        <v>7</v>
      </c>
      <c r="G210" t="s">
        <v>6065</v>
      </c>
      <c r="H210">
        <v>1</v>
      </c>
      <c r="I210" t="s">
        <v>6066</v>
      </c>
      <c r="J210">
        <v>1</v>
      </c>
      <c r="K210" t="s">
        <v>6067</v>
      </c>
      <c r="L210" t="s">
        <v>5985</v>
      </c>
    </row>
    <row r="211" spans="1:12" hidden="1">
      <c r="A211">
        <v>210</v>
      </c>
      <c r="B211">
        <v>1</v>
      </c>
      <c r="C211" t="s">
        <v>4358</v>
      </c>
      <c r="D211">
        <v>17</v>
      </c>
      <c r="E211" t="s">
        <v>4367</v>
      </c>
      <c r="F211">
        <v>7</v>
      </c>
      <c r="G211" t="s">
        <v>6065</v>
      </c>
      <c r="H211">
        <v>2</v>
      </c>
      <c r="I211" t="s">
        <v>6068</v>
      </c>
      <c r="J211">
        <v>2</v>
      </c>
      <c r="K211" t="s">
        <v>6069</v>
      </c>
      <c r="L211" t="s">
        <v>5644</v>
      </c>
    </row>
    <row r="212" spans="1:12" hidden="1">
      <c r="A212">
        <v>211</v>
      </c>
      <c r="B212">
        <v>1</v>
      </c>
      <c r="C212" t="s">
        <v>4358</v>
      </c>
      <c r="D212">
        <v>17</v>
      </c>
      <c r="E212" t="s">
        <v>4367</v>
      </c>
      <c r="F212">
        <v>7</v>
      </c>
      <c r="G212" t="s">
        <v>6065</v>
      </c>
      <c r="H212">
        <v>3</v>
      </c>
      <c r="I212" t="s">
        <v>6070</v>
      </c>
      <c r="J212">
        <v>3</v>
      </c>
      <c r="K212" t="s">
        <v>6071</v>
      </c>
      <c r="L212" t="s">
        <v>5965</v>
      </c>
    </row>
    <row r="213" spans="1:12" hidden="1">
      <c r="A213">
        <v>212</v>
      </c>
      <c r="B213">
        <v>1</v>
      </c>
      <c r="C213" t="s">
        <v>4358</v>
      </c>
      <c r="D213">
        <v>17</v>
      </c>
      <c r="E213" t="s">
        <v>4367</v>
      </c>
      <c r="F213">
        <v>7</v>
      </c>
      <c r="G213" t="s">
        <v>6065</v>
      </c>
      <c r="H213">
        <v>4</v>
      </c>
      <c r="I213" t="s">
        <v>6072</v>
      </c>
      <c r="J213">
        <v>4</v>
      </c>
      <c r="K213" t="s">
        <v>6073</v>
      </c>
      <c r="L213" t="s">
        <v>6052</v>
      </c>
    </row>
    <row r="214" spans="1:12" hidden="1">
      <c r="A214">
        <v>213</v>
      </c>
      <c r="B214">
        <v>1</v>
      </c>
      <c r="C214" t="s">
        <v>4358</v>
      </c>
      <c r="D214">
        <v>17</v>
      </c>
      <c r="E214" t="s">
        <v>4367</v>
      </c>
      <c r="F214">
        <v>7</v>
      </c>
      <c r="G214" t="s">
        <v>6065</v>
      </c>
      <c r="H214">
        <v>5</v>
      </c>
      <c r="I214" t="s">
        <v>6074</v>
      </c>
      <c r="J214">
        <v>5</v>
      </c>
      <c r="K214" t="s">
        <v>6075</v>
      </c>
      <c r="L214" t="s">
        <v>5702</v>
      </c>
    </row>
    <row r="215" spans="1:12" hidden="1">
      <c r="A215">
        <v>214</v>
      </c>
      <c r="B215">
        <v>1</v>
      </c>
      <c r="C215" t="s">
        <v>4358</v>
      </c>
      <c r="D215">
        <v>17</v>
      </c>
      <c r="E215" t="s">
        <v>4367</v>
      </c>
      <c r="F215">
        <v>7</v>
      </c>
      <c r="G215" t="s">
        <v>6065</v>
      </c>
      <c r="H215">
        <v>6</v>
      </c>
      <c r="I215" t="s">
        <v>6076</v>
      </c>
      <c r="J215">
        <v>6</v>
      </c>
      <c r="K215" t="s">
        <v>6077</v>
      </c>
      <c r="L215" t="s">
        <v>5621</v>
      </c>
    </row>
    <row r="216" spans="1:12" hidden="1">
      <c r="A216">
        <v>215</v>
      </c>
      <c r="B216">
        <v>1</v>
      </c>
      <c r="C216" t="s">
        <v>4358</v>
      </c>
      <c r="D216">
        <v>17</v>
      </c>
      <c r="E216" t="s">
        <v>4367</v>
      </c>
      <c r="F216">
        <v>7</v>
      </c>
      <c r="G216" t="s">
        <v>6065</v>
      </c>
      <c r="H216">
        <v>7</v>
      </c>
      <c r="I216" t="s">
        <v>6078</v>
      </c>
      <c r="J216">
        <v>7</v>
      </c>
      <c r="K216" t="s">
        <v>6079</v>
      </c>
      <c r="L216" t="s">
        <v>5634</v>
      </c>
    </row>
    <row r="217" spans="1:12" hidden="1">
      <c r="A217">
        <v>216</v>
      </c>
      <c r="B217">
        <v>1</v>
      </c>
      <c r="C217" t="s">
        <v>4358</v>
      </c>
      <c r="D217">
        <v>19</v>
      </c>
      <c r="E217" t="s">
        <v>4368</v>
      </c>
      <c r="F217">
        <v>3</v>
      </c>
      <c r="G217" t="s">
        <v>4369</v>
      </c>
      <c r="H217">
        <v>1</v>
      </c>
      <c r="I217" t="s">
        <v>6080</v>
      </c>
      <c r="J217">
        <v>1</v>
      </c>
      <c r="K217" t="s">
        <v>6081</v>
      </c>
      <c r="L217" t="s">
        <v>5957</v>
      </c>
    </row>
    <row r="218" spans="1:12" hidden="1">
      <c r="A218">
        <v>217</v>
      </c>
      <c r="B218">
        <v>1</v>
      </c>
      <c r="C218" t="s">
        <v>4358</v>
      </c>
      <c r="D218">
        <v>19</v>
      </c>
      <c r="E218" t="s">
        <v>4368</v>
      </c>
      <c r="F218">
        <v>3</v>
      </c>
      <c r="G218" t="s">
        <v>4369</v>
      </c>
      <c r="H218">
        <v>2</v>
      </c>
      <c r="I218" t="s">
        <v>6082</v>
      </c>
      <c r="J218">
        <v>2</v>
      </c>
      <c r="K218" t="s">
        <v>6083</v>
      </c>
      <c r="L218" t="s">
        <v>5804</v>
      </c>
    </row>
    <row r="219" spans="1:12" hidden="1">
      <c r="A219">
        <v>218</v>
      </c>
      <c r="B219">
        <v>1</v>
      </c>
      <c r="C219" t="s">
        <v>4358</v>
      </c>
      <c r="D219">
        <v>19</v>
      </c>
      <c r="E219" t="s">
        <v>4368</v>
      </c>
      <c r="F219">
        <v>3</v>
      </c>
      <c r="G219" t="s">
        <v>4369</v>
      </c>
      <c r="H219">
        <v>3</v>
      </c>
      <c r="I219" t="s">
        <v>6084</v>
      </c>
      <c r="J219">
        <v>3</v>
      </c>
      <c r="K219" t="s">
        <v>6085</v>
      </c>
      <c r="L219" t="s">
        <v>5644</v>
      </c>
    </row>
    <row r="220" spans="1:12" hidden="1">
      <c r="A220">
        <v>219</v>
      </c>
      <c r="B220">
        <v>1</v>
      </c>
      <c r="C220" t="s">
        <v>4358</v>
      </c>
      <c r="D220">
        <v>19</v>
      </c>
      <c r="E220" t="s">
        <v>4368</v>
      </c>
      <c r="F220">
        <v>3</v>
      </c>
      <c r="G220" t="s">
        <v>4369</v>
      </c>
      <c r="H220">
        <v>4</v>
      </c>
      <c r="I220" t="s">
        <v>6086</v>
      </c>
      <c r="J220">
        <v>4</v>
      </c>
      <c r="K220" t="s">
        <v>6087</v>
      </c>
      <c r="L220" t="s">
        <v>5644</v>
      </c>
    </row>
    <row r="221" spans="1:12" hidden="1">
      <c r="A221">
        <v>220</v>
      </c>
      <c r="B221">
        <v>1</v>
      </c>
      <c r="C221" t="s">
        <v>4358</v>
      </c>
      <c r="D221">
        <v>19</v>
      </c>
      <c r="E221" t="s">
        <v>4368</v>
      </c>
      <c r="F221">
        <v>3</v>
      </c>
      <c r="G221" t="s">
        <v>4369</v>
      </c>
      <c r="H221">
        <v>5</v>
      </c>
      <c r="I221" t="s">
        <v>6088</v>
      </c>
      <c r="J221">
        <v>5</v>
      </c>
      <c r="K221" t="s">
        <v>6089</v>
      </c>
      <c r="L221" t="s">
        <v>6049</v>
      </c>
    </row>
    <row r="222" spans="1:12" hidden="1">
      <c r="A222">
        <v>221</v>
      </c>
      <c r="B222">
        <v>1</v>
      </c>
      <c r="C222" t="s">
        <v>4358</v>
      </c>
      <c r="D222">
        <v>19</v>
      </c>
      <c r="E222" t="s">
        <v>4368</v>
      </c>
      <c r="F222">
        <v>3</v>
      </c>
      <c r="G222" t="s">
        <v>4369</v>
      </c>
      <c r="H222">
        <v>6</v>
      </c>
      <c r="I222" t="s">
        <v>6090</v>
      </c>
      <c r="J222">
        <v>6</v>
      </c>
      <c r="K222" t="s">
        <v>6091</v>
      </c>
      <c r="L222" t="s">
        <v>5965</v>
      </c>
    </row>
    <row r="223" spans="1:12" hidden="1">
      <c r="A223">
        <v>222</v>
      </c>
      <c r="B223">
        <v>1</v>
      </c>
      <c r="C223" t="s">
        <v>4358</v>
      </c>
      <c r="D223">
        <v>19</v>
      </c>
      <c r="E223" t="s">
        <v>4368</v>
      </c>
      <c r="F223">
        <v>3</v>
      </c>
      <c r="G223" t="s">
        <v>4369</v>
      </c>
      <c r="H223">
        <v>7</v>
      </c>
      <c r="I223" t="s">
        <v>6092</v>
      </c>
      <c r="J223">
        <v>7</v>
      </c>
      <c r="K223" t="s">
        <v>6093</v>
      </c>
      <c r="L223" t="s">
        <v>6052</v>
      </c>
    </row>
    <row r="224" spans="1:12" hidden="1">
      <c r="A224">
        <v>223</v>
      </c>
      <c r="B224">
        <v>1</v>
      </c>
      <c r="C224" t="s">
        <v>4358</v>
      </c>
      <c r="D224">
        <v>19</v>
      </c>
      <c r="E224" t="s">
        <v>4368</v>
      </c>
      <c r="F224">
        <v>3</v>
      </c>
      <c r="G224" t="s">
        <v>4369</v>
      </c>
      <c r="H224">
        <v>8</v>
      </c>
      <c r="I224" t="s">
        <v>6094</v>
      </c>
      <c r="J224">
        <v>8</v>
      </c>
      <c r="K224" t="s">
        <v>6095</v>
      </c>
      <c r="L224" t="s">
        <v>5621</v>
      </c>
    </row>
    <row r="225" spans="1:12" hidden="1">
      <c r="A225">
        <v>224</v>
      </c>
      <c r="B225">
        <v>1</v>
      </c>
      <c r="C225" t="s">
        <v>4358</v>
      </c>
      <c r="D225">
        <v>19</v>
      </c>
      <c r="E225" t="s">
        <v>4368</v>
      </c>
      <c r="F225">
        <v>3</v>
      </c>
      <c r="G225" t="s">
        <v>4369</v>
      </c>
      <c r="H225">
        <v>9</v>
      </c>
      <c r="I225" t="s">
        <v>6096</v>
      </c>
      <c r="J225">
        <v>9</v>
      </c>
      <c r="K225" t="s">
        <v>6097</v>
      </c>
      <c r="L225" t="s">
        <v>5621</v>
      </c>
    </row>
    <row r="226" spans="1:12" hidden="1">
      <c r="A226">
        <v>225</v>
      </c>
      <c r="B226">
        <v>1</v>
      </c>
      <c r="C226" t="s">
        <v>4358</v>
      </c>
      <c r="D226">
        <v>19</v>
      </c>
      <c r="E226" t="s">
        <v>4368</v>
      </c>
      <c r="F226">
        <v>3</v>
      </c>
      <c r="G226" t="s">
        <v>4369</v>
      </c>
      <c r="H226">
        <v>10</v>
      </c>
      <c r="I226" t="s">
        <v>6098</v>
      </c>
      <c r="J226">
        <v>10</v>
      </c>
      <c r="K226" t="s">
        <v>6099</v>
      </c>
      <c r="L226" t="s">
        <v>6100</v>
      </c>
    </row>
    <row r="227" spans="1:12" hidden="1">
      <c r="A227">
        <v>226</v>
      </c>
      <c r="B227">
        <v>1</v>
      </c>
      <c r="C227" t="s">
        <v>4358</v>
      </c>
      <c r="D227">
        <v>19</v>
      </c>
      <c r="E227" t="s">
        <v>4368</v>
      </c>
      <c r="F227">
        <v>3</v>
      </c>
      <c r="G227" t="s">
        <v>4369</v>
      </c>
      <c r="H227">
        <v>11</v>
      </c>
      <c r="I227" t="s">
        <v>6101</v>
      </c>
      <c r="J227">
        <v>11</v>
      </c>
      <c r="K227" t="s">
        <v>6102</v>
      </c>
      <c r="L227" t="s">
        <v>5978</v>
      </c>
    </row>
    <row r="228" spans="1:12" hidden="1">
      <c r="A228">
        <v>227</v>
      </c>
      <c r="B228">
        <v>1</v>
      </c>
      <c r="C228" t="s">
        <v>4358</v>
      </c>
      <c r="D228">
        <v>19</v>
      </c>
      <c r="E228" t="s">
        <v>4368</v>
      </c>
      <c r="F228">
        <v>3</v>
      </c>
      <c r="G228" t="s">
        <v>4369</v>
      </c>
      <c r="H228">
        <v>12</v>
      </c>
      <c r="I228" t="s">
        <v>6103</v>
      </c>
      <c r="J228">
        <v>12</v>
      </c>
      <c r="K228" t="s">
        <v>6104</v>
      </c>
      <c r="L228" t="s">
        <v>5634</v>
      </c>
    </row>
    <row r="229" spans="1:12" hidden="1">
      <c r="A229">
        <v>228</v>
      </c>
      <c r="B229">
        <v>1</v>
      </c>
      <c r="C229" t="s">
        <v>4358</v>
      </c>
      <c r="D229">
        <v>19</v>
      </c>
      <c r="E229" t="s">
        <v>4368</v>
      </c>
      <c r="F229">
        <v>3</v>
      </c>
      <c r="G229" t="s">
        <v>4369</v>
      </c>
      <c r="H229">
        <v>13</v>
      </c>
      <c r="I229" t="s">
        <v>6105</v>
      </c>
      <c r="J229">
        <v>13</v>
      </c>
      <c r="K229" t="s">
        <v>6106</v>
      </c>
      <c r="L229" t="s">
        <v>5634</v>
      </c>
    </row>
    <row r="230" spans="1:12" hidden="1">
      <c r="A230">
        <v>229</v>
      </c>
      <c r="B230">
        <v>1</v>
      </c>
      <c r="C230" t="s">
        <v>4358</v>
      </c>
      <c r="D230">
        <v>19</v>
      </c>
      <c r="E230" t="s">
        <v>4368</v>
      </c>
      <c r="F230">
        <v>3</v>
      </c>
      <c r="G230" t="s">
        <v>4369</v>
      </c>
      <c r="H230">
        <v>14</v>
      </c>
      <c r="I230" t="s">
        <v>6107</v>
      </c>
      <c r="J230">
        <v>14</v>
      </c>
      <c r="K230" t="s">
        <v>6108</v>
      </c>
      <c r="L230" t="s">
        <v>5634</v>
      </c>
    </row>
    <row r="231" spans="1:12" hidden="1">
      <c r="A231">
        <v>230</v>
      </c>
      <c r="B231">
        <v>1</v>
      </c>
      <c r="C231" t="s">
        <v>4358</v>
      </c>
      <c r="D231">
        <v>21</v>
      </c>
      <c r="E231" t="s">
        <v>4370</v>
      </c>
      <c r="F231">
        <v>4</v>
      </c>
      <c r="G231" t="s">
        <v>4371</v>
      </c>
      <c r="H231">
        <v>1</v>
      </c>
      <c r="I231" t="s">
        <v>6109</v>
      </c>
      <c r="J231">
        <v>1</v>
      </c>
      <c r="K231" t="s">
        <v>6110</v>
      </c>
      <c r="L231" t="s">
        <v>6016</v>
      </c>
    </row>
    <row r="232" spans="1:12" hidden="1">
      <c r="A232">
        <v>231</v>
      </c>
      <c r="B232">
        <v>1</v>
      </c>
      <c r="C232" t="s">
        <v>4358</v>
      </c>
      <c r="D232">
        <v>21</v>
      </c>
      <c r="E232" t="s">
        <v>4370</v>
      </c>
      <c r="F232">
        <v>4</v>
      </c>
      <c r="G232" t="s">
        <v>4371</v>
      </c>
      <c r="H232">
        <v>2</v>
      </c>
      <c r="I232" t="s">
        <v>6111</v>
      </c>
      <c r="J232">
        <v>2</v>
      </c>
      <c r="K232" t="s">
        <v>6112</v>
      </c>
      <c r="L232" t="s">
        <v>5654</v>
      </c>
    </row>
    <row r="233" spans="1:12" hidden="1">
      <c r="A233">
        <v>232</v>
      </c>
      <c r="B233">
        <v>1</v>
      </c>
      <c r="C233" t="s">
        <v>4358</v>
      </c>
      <c r="D233">
        <v>21</v>
      </c>
      <c r="E233" t="s">
        <v>4370</v>
      </c>
      <c r="F233">
        <v>4</v>
      </c>
      <c r="G233" t="s">
        <v>4371</v>
      </c>
      <c r="H233">
        <v>3</v>
      </c>
      <c r="I233" t="s">
        <v>6113</v>
      </c>
      <c r="J233">
        <v>3</v>
      </c>
      <c r="K233" t="s">
        <v>6114</v>
      </c>
      <c r="L233" t="s">
        <v>5644</v>
      </c>
    </row>
    <row r="234" spans="1:12" hidden="1">
      <c r="A234">
        <v>233</v>
      </c>
      <c r="B234">
        <v>1</v>
      </c>
      <c r="C234" t="s">
        <v>4358</v>
      </c>
      <c r="D234">
        <v>21</v>
      </c>
      <c r="E234" t="s">
        <v>4370</v>
      </c>
      <c r="F234">
        <v>4</v>
      </c>
      <c r="G234" t="s">
        <v>4371</v>
      </c>
      <c r="H234">
        <v>4</v>
      </c>
      <c r="I234" t="s">
        <v>6115</v>
      </c>
      <c r="J234">
        <v>4</v>
      </c>
      <c r="K234" t="s">
        <v>6116</v>
      </c>
      <c r="L234" t="s">
        <v>5965</v>
      </c>
    </row>
    <row r="235" spans="1:12" hidden="1">
      <c r="A235">
        <v>234</v>
      </c>
      <c r="B235">
        <v>1</v>
      </c>
      <c r="C235" t="s">
        <v>4358</v>
      </c>
      <c r="D235">
        <v>21</v>
      </c>
      <c r="E235" t="s">
        <v>4370</v>
      </c>
      <c r="F235">
        <v>4</v>
      </c>
      <c r="G235" t="s">
        <v>4371</v>
      </c>
      <c r="H235">
        <v>5</v>
      </c>
      <c r="I235" t="s">
        <v>6117</v>
      </c>
      <c r="J235">
        <v>5</v>
      </c>
      <c r="K235" t="s">
        <v>6118</v>
      </c>
      <c r="L235" t="s">
        <v>5965</v>
      </c>
    </row>
    <row r="236" spans="1:12" hidden="1">
      <c r="A236">
        <v>235</v>
      </c>
      <c r="B236">
        <v>1</v>
      </c>
      <c r="C236" t="s">
        <v>4358</v>
      </c>
      <c r="D236">
        <v>21</v>
      </c>
      <c r="E236" t="s">
        <v>4370</v>
      </c>
      <c r="F236">
        <v>4</v>
      </c>
      <c r="G236" t="s">
        <v>4371</v>
      </c>
      <c r="H236">
        <v>6</v>
      </c>
      <c r="I236" t="s">
        <v>6119</v>
      </c>
      <c r="J236">
        <v>6</v>
      </c>
      <c r="K236" t="s">
        <v>6120</v>
      </c>
      <c r="L236" t="s">
        <v>5621</v>
      </c>
    </row>
    <row r="237" spans="1:12" hidden="1">
      <c r="A237">
        <v>236</v>
      </c>
      <c r="B237">
        <v>1</v>
      </c>
      <c r="C237" t="s">
        <v>4358</v>
      </c>
      <c r="D237">
        <v>21</v>
      </c>
      <c r="E237" t="s">
        <v>4370</v>
      </c>
      <c r="F237">
        <v>4</v>
      </c>
      <c r="G237" t="s">
        <v>4371</v>
      </c>
      <c r="H237">
        <v>7</v>
      </c>
      <c r="I237" t="s">
        <v>6121</v>
      </c>
      <c r="J237">
        <v>7</v>
      </c>
      <c r="K237" t="s">
        <v>6122</v>
      </c>
      <c r="L237" t="s">
        <v>5702</v>
      </c>
    </row>
    <row r="238" spans="1:12" hidden="1">
      <c r="A238">
        <v>237</v>
      </c>
      <c r="B238">
        <v>1</v>
      </c>
      <c r="C238" t="s">
        <v>4358</v>
      </c>
      <c r="D238">
        <v>21</v>
      </c>
      <c r="E238" t="s">
        <v>4370</v>
      </c>
      <c r="F238">
        <v>4</v>
      </c>
      <c r="G238" t="s">
        <v>4371</v>
      </c>
      <c r="H238">
        <v>8</v>
      </c>
      <c r="I238" t="s">
        <v>6123</v>
      </c>
      <c r="J238">
        <v>8</v>
      </c>
      <c r="K238" t="s">
        <v>6124</v>
      </c>
      <c r="L238" t="s">
        <v>6052</v>
      </c>
    </row>
    <row r="239" spans="1:12" hidden="1">
      <c r="A239">
        <v>238</v>
      </c>
      <c r="B239">
        <v>1</v>
      </c>
      <c r="C239" t="s">
        <v>4358</v>
      </c>
      <c r="D239">
        <v>21</v>
      </c>
      <c r="E239" t="s">
        <v>4370</v>
      </c>
      <c r="F239">
        <v>4</v>
      </c>
      <c r="G239" t="s">
        <v>4371</v>
      </c>
      <c r="H239">
        <v>9</v>
      </c>
      <c r="I239" t="s">
        <v>6125</v>
      </c>
      <c r="J239">
        <v>9</v>
      </c>
      <c r="K239" t="s">
        <v>6126</v>
      </c>
      <c r="L239" t="s">
        <v>5978</v>
      </c>
    </row>
    <row r="240" spans="1:12" hidden="1">
      <c r="A240">
        <v>239</v>
      </c>
      <c r="B240">
        <v>1</v>
      </c>
      <c r="C240" t="s">
        <v>4358</v>
      </c>
      <c r="D240">
        <v>21</v>
      </c>
      <c r="E240" t="s">
        <v>4370</v>
      </c>
      <c r="F240">
        <v>4</v>
      </c>
      <c r="G240" t="s">
        <v>4371</v>
      </c>
      <c r="H240">
        <v>10</v>
      </c>
      <c r="I240" t="s">
        <v>6127</v>
      </c>
      <c r="J240">
        <v>10</v>
      </c>
      <c r="K240" t="s">
        <v>6128</v>
      </c>
      <c r="L240" t="s">
        <v>5634</v>
      </c>
    </row>
    <row r="241" spans="1:12" hidden="1">
      <c r="A241">
        <v>240</v>
      </c>
      <c r="B241">
        <v>1</v>
      </c>
      <c r="C241" t="s">
        <v>4358</v>
      </c>
      <c r="D241">
        <v>16</v>
      </c>
      <c r="E241" t="s">
        <v>4372</v>
      </c>
      <c r="F241">
        <v>1</v>
      </c>
      <c r="G241" t="s">
        <v>4373</v>
      </c>
      <c r="H241">
        <v>1</v>
      </c>
      <c r="I241" t="s">
        <v>6129</v>
      </c>
      <c r="J241">
        <v>1</v>
      </c>
      <c r="K241" t="s">
        <v>6130</v>
      </c>
      <c r="L241" t="s">
        <v>6016</v>
      </c>
    </row>
    <row r="242" spans="1:12" hidden="1">
      <c r="A242">
        <v>241</v>
      </c>
      <c r="B242">
        <v>1</v>
      </c>
      <c r="C242" t="s">
        <v>4358</v>
      </c>
      <c r="D242">
        <v>16</v>
      </c>
      <c r="E242" t="s">
        <v>4372</v>
      </c>
      <c r="F242">
        <v>1</v>
      </c>
      <c r="G242" t="s">
        <v>4373</v>
      </c>
      <c r="H242">
        <v>2</v>
      </c>
      <c r="I242" t="s">
        <v>6131</v>
      </c>
      <c r="J242">
        <v>2</v>
      </c>
      <c r="K242" t="s">
        <v>6132</v>
      </c>
    </row>
    <row r="243" spans="1:12" hidden="1">
      <c r="A243">
        <v>242</v>
      </c>
      <c r="B243">
        <v>1</v>
      </c>
      <c r="C243" t="s">
        <v>4358</v>
      </c>
      <c r="D243">
        <v>16</v>
      </c>
      <c r="E243" t="s">
        <v>4372</v>
      </c>
      <c r="F243">
        <v>1</v>
      </c>
      <c r="G243" t="s">
        <v>4373</v>
      </c>
      <c r="H243">
        <v>3</v>
      </c>
      <c r="I243" t="s">
        <v>6133</v>
      </c>
      <c r="J243">
        <v>3</v>
      </c>
      <c r="K243" t="s">
        <v>6134</v>
      </c>
      <c r="L243" t="s">
        <v>6135</v>
      </c>
    </row>
    <row r="244" spans="1:12" hidden="1">
      <c r="A244">
        <v>243</v>
      </c>
      <c r="B244">
        <v>1</v>
      </c>
      <c r="C244" t="s">
        <v>4358</v>
      </c>
      <c r="D244">
        <v>16</v>
      </c>
      <c r="E244" t="s">
        <v>4372</v>
      </c>
      <c r="F244">
        <v>1</v>
      </c>
      <c r="G244" t="s">
        <v>4373</v>
      </c>
      <c r="H244">
        <v>4</v>
      </c>
      <c r="I244" t="s">
        <v>6136</v>
      </c>
      <c r="J244">
        <v>4</v>
      </c>
      <c r="K244" t="s">
        <v>6137</v>
      </c>
      <c r="L244" t="s">
        <v>6138</v>
      </c>
    </row>
    <row r="245" spans="1:12" hidden="1">
      <c r="A245">
        <v>244</v>
      </c>
      <c r="B245">
        <v>1</v>
      </c>
      <c r="C245" t="s">
        <v>4358</v>
      </c>
      <c r="D245">
        <v>16</v>
      </c>
      <c r="E245" t="s">
        <v>4372</v>
      </c>
      <c r="F245">
        <v>1</v>
      </c>
      <c r="G245" t="s">
        <v>4373</v>
      </c>
      <c r="H245">
        <v>5</v>
      </c>
      <c r="I245" t="s">
        <v>6139</v>
      </c>
      <c r="J245">
        <v>5</v>
      </c>
      <c r="K245" t="s">
        <v>6140</v>
      </c>
      <c r="L245" t="s">
        <v>5804</v>
      </c>
    </row>
    <row r="246" spans="1:12" hidden="1">
      <c r="A246">
        <v>245</v>
      </c>
      <c r="B246">
        <v>1</v>
      </c>
      <c r="C246" t="s">
        <v>4358</v>
      </c>
      <c r="D246">
        <v>16</v>
      </c>
      <c r="E246" t="s">
        <v>4372</v>
      </c>
      <c r="F246">
        <v>1</v>
      </c>
      <c r="G246" t="s">
        <v>4373</v>
      </c>
      <c r="H246">
        <v>6</v>
      </c>
      <c r="I246" t="s">
        <v>6141</v>
      </c>
      <c r="J246">
        <v>6</v>
      </c>
      <c r="K246" t="s">
        <v>6142</v>
      </c>
      <c r="L246" t="s">
        <v>5644</v>
      </c>
    </row>
    <row r="247" spans="1:12" hidden="1">
      <c r="A247">
        <v>246</v>
      </c>
      <c r="B247">
        <v>1</v>
      </c>
      <c r="C247" t="s">
        <v>4358</v>
      </c>
      <c r="D247">
        <v>16</v>
      </c>
      <c r="E247" t="s">
        <v>4372</v>
      </c>
      <c r="F247">
        <v>1</v>
      </c>
      <c r="G247" t="s">
        <v>4373</v>
      </c>
      <c r="H247">
        <v>7</v>
      </c>
      <c r="I247" t="s">
        <v>6143</v>
      </c>
      <c r="J247">
        <v>7</v>
      </c>
      <c r="K247" t="s">
        <v>6144</v>
      </c>
      <c r="L247" t="s">
        <v>5644</v>
      </c>
    </row>
    <row r="248" spans="1:12" hidden="1">
      <c r="A248">
        <v>247</v>
      </c>
      <c r="B248">
        <v>1</v>
      </c>
      <c r="C248" t="s">
        <v>4358</v>
      </c>
      <c r="D248">
        <v>16</v>
      </c>
      <c r="E248" t="s">
        <v>4372</v>
      </c>
      <c r="F248">
        <v>1</v>
      </c>
      <c r="G248" t="s">
        <v>4373</v>
      </c>
      <c r="H248">
        <v>8</v>
      </c>
      <c r="I248" t="s">
        <v>6145</v>
      </c>
      <c r="J248">
        <v>8</v>
      </c>
      <c r="K248" t="s">
        <v>6146</v>
      </c>
      <c r="L248" t="s">
        <v>5644</v>
      </c>
    </row>
    <row r="249" spans="1:12" hidden="1">
      <c r="A249">
        <v>248</v>
      </c>
      <c r="B249">
        <v>1</v>
      </c>
      <c r="C249" t="s">
        <v>4358</v>
      </c>
      <c r="D249">
        <v>16</v>
      </c>
      <c r="E249" t="s">
        <v>4372</v>
      </c>
      <c r="F249">
        <v>1</v>
      </c>
      <c r="G249" t="s">
        <v>4373</v>
      </c>
      <c r="H249">
        <v>9</v>
      </c>
      <c r="I249" t="s">
        <v>6147</v>
      </c>
      <c r="J249">
        <v>9</v>
      </c>
      <c r="K249" t="s">
        <v>6148</v>
      </c>
      <c r="L249" t="s">
        <v>5644</v>
      </c>
    </row>
    <row r="250" spans="1:12" hidden="1">
      <c r="A250">
        <v>249</v>
      </c>
      <c r="B250">
        <v>1</v>
      </c>
      <c r="C250" t="s">
        <v>4358</v>
      </c>
      <c r="D250">
        <v>16</v>
      </c>
      <c r="E250" t="s">
        <v>4372</v>
      </c>
      <c r="F250">
        <v>1</v>
      </c>
      <c r="G250" t="s">
        <v>4373</v>
      </c>
      <c r="H250">
        <v>10</v>
      </c>
      <c r="I250" t="s">
        <v>6149</v>
      </c>
      <c r="J250">
        <v>10</v>
      </c>
      <c r="K250" t="s">
        <v>6150</v>
      </c>
      <c r="L250" t="s">
        <v>5644</v>
      </c>
    </row>
    <row r="251" spans="1:12" hidden="1">
      <c r="A251">
        <v>250</v>
      </c>
      <c r="B251">
        <v>1</v>
      </c>
      <c r="C251" t="s">
        <v>4358</v>
      </c>
      <c r="D251">
        <v>16</v>
      </c>
      <c r="E251" t="s">
        <v>4372</v>
      </c>
      <c r="F251">
        <v>1</v>
      </c>
      <c r="G251" t="s">
        <v>4373</v>
      </c>
      <c r="H251">
        <v>11</v>
      </c>
      <c r="I251" t="s">
        <v>6151</v>
      </c>
      <c r="J251">
        <v>11</v>
      </c>
      <c r="K251" t="s">
        <v>6152</v>
      </c>
      <c r="L251" t="s">
        <v>5644</v>
      </c>
    </row>
    <row r="252" spans="1:12" hidden="1">
      <c r="A252">
        <v>251</v>
      </c>
      <c r="B252">
        <v>1</v>
      </c>
      <c r="C252" t="s">
        <v>4358</v>
      </c>
      <c r="D252">
        <v>16</v>
      </c>
      <c r="E252" t="s">
        <v>4372</v>
      </c>
      <c r="F252">
        <v>1</v>
      </c>
      <c r="G252" t="s">
        <v>4373</v>
      </c>
      <c r="H252">
        <v>12</v>
      </c>
      <c r="I252" t="s">
        <v>6153</v>
      </c>
      <c r="J252">
        <v>12</v>
      </c>
      <c r="K252" t="s">
        <v>6154</v>
      </c>
      <c r="L252" t="s">
        <v>6155</v>
      </c>
    </row>
    <row r="253" spans="1:12" hidden="1">
      <c r="A253">
        <v>252</v>
      </c>
      <c r="B253">
        <v>1</v>
      </c>
      <c r="C253" t="s">
        <v>4358</v>
      </c>
      <c r="D253">
        <v>16</v>
      </c>
      <c r="E253" t="s">
        <v>4372</v>
      </c>
      <c r="F253">
        <v>1</v>
      </c>
      <c r="G253" t="s">
        <v>4373</v>
      </c>
      <c r="H253">
        <v>13</v>
      </c>
      <c r="I253" t="s">
        <v>6156</v>
      </c>
      <c r="J253">
        <v>13</v>
      </c>
      <c r="K253" t="s">
        <v>6157</v>
      </c>
      <c r="L253" t="s">
        <v>5654</v>
      </c>
    </row>
    <row r="254" spans="1:12" hidden="1">
      <c r="A254">
        <v>253</v>
      </c>
      <c r="B254">
        <v>1</v>
      </c>
      <c r="C254" t="s">
        <v>4358</v>
      </c>
      <c r="D254">
        <v>16</v>
      </c>
      <c r="E254" t="s">
        <v>4372</v>
      </c>
      <c r="F254">
        <v>1</v>
      </c>
      <c r="G254" t="s">
        <v>4373</v>
      </c>
      <c r="H254">
        <v>14</v>
      </c>
      <c r="I254" t="s">
        <v>6158</v>
      </c>
      <c r="J254">
        <v>14</v>
      </c>
      <c r="K254" t="s">
        <v>6159</v>
      </c>
      <c r="L254" t="s">
        <v>5654</v>
      </c>
    </row>
    <row r="255" spans="1:12" hidden="1">
      <c r="A255">
        <v>254</v>
      </c>
      <c r="B255">
        <v>1</v>
      </c>
      <c r="C255" t="s">
        <v>4358</v>
      </c>
      <c r="D255">
        <v>16</v>
      </c>
      <c r="E255" t="s">
        <v>4372</v>
      </c>
      <c r="F255">
        <v>1</v>
      </c>
      <c r="G255" t="s">
        <v>4373</v>
      </c>
      <c r="H255">
        <v>15</v>
      </c>
      <c r="I255" t="s">
        <v>6160</v>
      </c>
      <c r="J255">
        <v>15</v>
      </c>
      <c r="K255" t="s">
        <v>6161</v>
      </c>
      <c r="L255" t="s">
        <v>5654</v>
      </c>
    </row>
    <row r="256" spans="1:12" hidden="1">
      <c r="A256">
        <v>255</v>
      </c>
      <c r="B256">
        <v>1</v>
      </c>
      <c r="C256" t="s">
        <v>4358</v>
      </c>
      <c r="D256">
        <v>16</v>
      </c>
      <c r="E256" t="s">
        <v>4372</v>
      </c>
      <c r="F256">
        <v>1</v>
      </c>
      <c r="G256" t="s">
        <v>4373</v>
      </c>
      <c r="H256">
        <v>16</v>
      </c>
      <c r="I256" t="s">
        <v>6162</v>
      </c>
      <c r="J256">
        <v>16</v>
      </c>
      <c r="K256" t="s">
        <v>6163</v>
      </c>
      <c r="L256" t="s">
        <v>5654</v>
      </c>
    </row>
    <row r="257" spans="1:12" hidden="1">
      <c r="A257">
        <v>256</v>
      </c>
      <c r="B257">
        <v>1</v>
      </c>
      <c r="C257" t="s">
        <v>4358</v>
      </c>
      <c r="D257">
        <v>16</v>
      </c>
      <c r="E257" t="s">
        <v>4372</v>
      </c>
      <c r="F257">
        <v>1</v>
      </c>
      <c r="G257" t="s">
        <v>4373</v>
      </c>
      <c r="H257">
        <v>17</v>
      </c>
      <c r="I257" t="s">
        <v>6164</v>
      </c>
      <c r="J257">
        <v>17</v>
      </c>
      <c r="K257" t="s">
        <v>6165</v>
      </c>
      <c r="L257" t="s">
        <v>5654</v>
      </c>
    </row>
    <row r="258" spans="1:12" hidden="1">
      <c r="A258">
        <v>257</v>
      </c>
      <c r="B258">
        <v>1</v>
      </c>
      <c r="C258" t="s">
        <v>4358</v>
      </c>
      <c r="D258">
        <v>16</v>
      </c>
      <c r="E258" t="s">
        <v>4372</v>
      </c>
      <c r="F258">
        <v>1</v>
      </c>
      <c r="G258" t="s">
        <v>4373</v>
      </c>
      <c r="H258">
        <v>18</v>
      </c>
      <c r="I258" t="s">
        <v>6166</v>
      </c>
      <c r="J258">
        <v>18</v>
      </c>
      <c r="K258" t="s">
        <v>5866</v>
      </c>
      <c r="L258" t="s">
        <v>5654</v>
      </c>
    </row>
    <row r="259" spans="1:12" hidden="1">
      <c r="A259">
        <v>258</v>
      </c>
      <c r="B259">
        <v>1</v>
      </c>
      <c r="C259" t="s">
        <v>4358</v>
      </c>
      <c r="D259">
        <v>16</v>
      </c>
      <c r="E259" t="s">
        <v>4372</v>
      </c>
      <c r="F259">
        <v>1</v>
      </c>
      <c r="G259" t="s">
        <v>4373</v>
      </c>
      <c r="H259">
        <v>19</v>
      </c>
      <c r="I259" t="s">
        <v>6167</v>
      </c>
      <c r="J259">
        <v>19</v>
      </c>
      <c r="K259" t="s">
        <v>6168</v>
      </c>
      <c r="L259" t="s">
        <v>5654</v>
      </c>
    </row>
    <row r="260" spans="1:12" hidden="1">
      <c r="A260">
        <v>259</v>
      </c>
      <c r="B260">
        <v>1</v>
      </c>
      <c r="C260" t="s">
        <v>4358</v>
      </c>
      <c r="D260">
        <v>16</v>
      </c>
      <c r="E260" t="s">
        <v>4372</v>
      </c>
      <c r="F260">
        <v>1</v>
      </c>
      <c r="G260" t="s">
        <v>4373</v>
      </c>
      <c r="H260">
        <v>20</v>
      </c>
      <c r="I260" t="s">
        <v>6169</v>
      </c>
      <c r="J260">
        <v>20</v>
      </c>
      <c r="K260" t="s">
        <v>6170</v>
      </c>
      <c r="L260" t="s">
        <v>5654</v>
      </c>
    </row>
    <row r="261" spans="1:12" hidden="1">
      <c r="A261">
        <v>260</v>
      </c>
      <c r="B261">
        <v>1</v>
      </c>
      <c r="C261" t="s">
        <v>4358</v>
      </c>
      <c r="D261">
        <v>16</v>
      </c>
      <c r="E261" t="s">
        <v>4372</v>
      </c>
      <c r="F261">
        <v>1</v>
      </c>
      <c r="G261" t="s">
        <v>4373</v>
      </c>
      <c r="H261">
        <v>21</v>
      </c>
      <c r="I261" t="s">
        <v>6171</v>
      </c>
      <c r="J261">
        <v>21</v>
      </c>
      <c r="K261" t="s">
        <v>6172</v>
      </c>
      <c r="L261" t="s">
        <v>6049</v>
      </c>
    </row>
    <row r="262" spans="1:12" hidden="1">
      <c r="A262">
        <v>261</v>
      </c>
      <c r="B262">
        <v>1</v>
      </c>
      <c r="C262" t="s">
        <v>4358</v>
      </c>
      <c r="D262">
        <v>16</v>
      </c>
      <c r="E262" t="s">
        <v>4372</v>
      </c>
      <c r="F262">
        <v>1</v>
      </c>
      <c r="G262" t="s">
        <v>4373</v>
      </c>
      <c r="H262">
        <v>22</v>
      </c>
      <c r="I262" t="s">
        <v>6173</v>
      </c>
      <c r="J262">
        <v>22</v>
      </c>
      <c r="K262" t="s">
        <v>6174</v>
      </c>
      <c r="L262" t="s">
        <v>6049</v>
      </c>
    </row>
    <row r="263" spans="1:12" hidden="1">
      <c r="A263">
        <v>262</v>
      </c>
      <c r="B263">
        <v>1</v>
      </c>
      <c r="C263" t="s">
        <v>4358</v>
      </c>
      <c r="D263">
        <v>16</v>
      </c>
      <c r="E263" t="s">
        <v>4372</v>
      </c>
      <c r="F263">
        <v>1</v>
      </c>
      <c r="G263" t="s">
        <v>4373</v>
      </c>
      <c r="H263">
        <v>23</v>
      </c>
      <c r="I263" t="s">
        <v>6175</v>
      </c>
      <c r="J263">
        <v>23</v>
      </c>
      <c r="K263" t="s">
        <v>6176</v>
      </c>
      <c r="L263" t="s">
        <v>6049</v>
      </c>
    </row>
    <row r="264" spans="1:12" hidden="1">
      <c r="A264">
        <v>263</v>
      </c>
      <c r="B264">
        <v>1</v>
      </c>
      <c r="C264" t="s">
        <v>4358</v>
      </c>
      <c r="D264">
        <v>16</v>
      </c>
      <c r="E264" t="s">
        <v>4372</v>
      </c>
      <c r="F264">
        <v>1</v>
      </c>
      <c r="G264" t="s">
        <v>4373</v>
      </c>
      <c r="H264">
        <v>24</v>
      </c>
      <c r="I264" t="s">
        <v>6177</v>
      </c>
      <c r="J264">
        <v>24</v>
      </c>
      <c r="K264" t="s">
        <v>6178</v>
      </c>
      <c r="L264" t="s">
        <v>6049</v>
      </c>
    </row>
    <row r="265" spans="1:12" hidden="1">
      <c r="A265">
        <v>264</v>
      </c>
      <c r="B265">
        <v>1</v>
      </c>
      <c r="C265" t="s">
        <v>4358</v>
      </c>
      <c r="D265">
        <v>16</v>
      </c>
      <c r="E265" t="s">
        <v>4372</v>
      </c>
      <c r="F265">
        <v>1</v>
      </c>
      <c r="G265" t="s">
        <v>4373</v>
      </c>
      <c r="H265">
        <v>25</v>
      </c>
      <c r="I265" t="s">
        <v>6179</v>
      </c>
      <c r="J265">
        <v>25</v>
      </c>
      <c r="K265" t="s">
        <v>6180</v>
      </c>
      <c r="L265" t="s">
        <v>6049</v>
      </c>
    </row>
    <row r="266" spans="1:12" hidden="1">
      <c r="A266">
        <v>265</v>
      </c>
      <c r="B266">
        <v>1</v>
      </c>
      <c r="C266" t="s">
        <v>4358</v>
      </c>
      <c r="D266">
        <v>16</v>
      </c>
      <c r="E266" t="s">
        <v>4372</v>
      </c>
      <c r="F266">
        <v>1</v>
      </c>
      <c r="G266" t="s">
        <v>4373</v>
      </c>
      <c r="H266">
        <v>26</v>
      </c>
      <c r="I266" t="s">
        <v>6181</v>
      </c>
      <c r="J266">
        <v>26</v>
      </c>
      <c r="K266" t="s">
        <v>6182</v>
      </c>
      <c r="L266" t="s">
        <v>5965</v>
      </c>
    </row>
    <row r="267" spans="1:12" hidden="1">
      <c r="A267">
        <v>266</v>
      </c>
      <c r="B267">
        <v>1</v>
      </c>
      <c r="C267" t="s">
        <v>4358</v>
      </c>
      <c r="D267">
        <v>16</v>
      </c>
      <c r="E267" t="s">
        <v>4372</v>
      </c>
      <c r="F267">
        <v>1</v>
      </c>
      <c r="G267" t="s">
        <v>4373</v>
      </c>
      <c r="H267">
        <v>27</v>
      </c>
      <c r="I267" t="s">
        <v>6183</v>
      </c>
      <c r="J267">
        <v>27</v>
      </c>
      <c r="K267" t="s">
        <v>6184</v>
      </c>
      <c r="L267" t="s">
        <v>5965</v>
      </c>
    </row>
    <row r="268" spans="1:12" hidden="1">
      <c r="A268">
        <v>267</v>
      </c>
      <c r="B268">
        <v>1</v>
      </c>
      <c r="C268" t="s">
        <v>4358</v>
      </c>
      <c r="D268">
        <v>16</v>
      </c>
      <c r="E268" t="s">
        <v>4372</v>
      </c>
      <c r="F268">
        <v>1</v>
      </c>
      <c r="G268" t="s">
        <v>4373</v>
      </c>
      <c r="H268">
        <v>28</v>
      </c>
      <c r="I268" t="s">
        <v>6185</v>
      </c>
      <c r="J268">
        <v>28</v>
      </c>
      <c r="K268" t="s">
        <v>6186</v>
      </c>
      <c r="L268" t="s">
        <v>5965</v>
      </c>
    </row>
    <row r="269" spans="1:12" hidden="1">
      <c r="A269">
        <v>268</v>
      </c>
      <c r="B269">
        <v>1</v>
      </c>
      <c r="C269" t="s">
        <v>4358</v>
      </c>
      <c r="D269">
        <v>16</v>
      </c>
      <c r="E269" t="s">
        <v>4372</v>
      </c>
      <c r="F269">
        <v>1</v>
      </c>
      <c r="G269" t="s">
        <v>4373</v>
      </c>
      <c r="H269">
        <v>29</v>
      </c>
      <c r="I269" t="s">
        <v>6187</v>
      </c>
      <c r="J269">
        <v>29</v>
      </c>
      <c r="K269" t="s">
        <v>6188</v>
      </c>
      <c r="L269" t="s">
        <v>5965</v>
      </c>
    </row>
    <row r="270" spans="1:12" hidden="1">
      <c r="A270">
        <v>269</v>
      </c>
      <c r="B270">
        <v>1</v>
      </c>
      <c r="C270" t="s">
        <v>4358</v>
      </c>
      <c r="D270">
        <v>16</v>
      </c>
      <c r="E270" t="s">
        <v>4372</v>
      </c>
      <c r="F270">
        <v>1</v>
      </c>
      <c r="G270" t="s">
        <v>4373</v>
      </c>
      <c r="H270">
        <v>30</v>
      </c>
      <c r="I270" t="s">
        <v>6189</v>
      </c>
      <c r="J270">
        <v>30</v>
      </c>
      <c r="K270" t="s">
        <v>6190</v>
      </c>
      <c r="L270" t="s">
        <v>5965</v>
      </c>
    </row>
    <row r="271" spans="1:12" hidden="1">
      <c r="A271">
        <v>270</v>
      </c>
      <c r="B271">
        <v>1</v>
      </c>
      <c r="C271" t="s">
        <v>4358</v>
      </c>
      <c r="D271">
        <v>16</v>
      </c>
      <c r="E271" t="s">
        <v>4372</v>
      </c>
      <c r="F271">
        <v>1</v>
      </c>
      <c r="G271" t="s">
        <v>4373</v>
      </c>
      <c r="H271">
        <v>31</v>
      </c>
      <c r="I271" t="s">
        <v>6191</v>
      </c>
      <c r="J271">
        <v>31</v>
      </c>
      <c r="K271" t="s">
        <v>6192</v>
      </c>
      <c r="L271" t="s">
        <v>5965</v>
      </c>
    </row>
    <row r="272" spans="1:12" hidden="1">
      <c r="A272">
        <v>271</v>
      </c>
      <c r="B272">
        <v>1</v>
      </c>
      <c r="C272" t="s">
        <v>4358</v>
      </c>
      <c r="D272">
        <v>16</v>
      </c>
      <c r="E272" t="s">
        <v>4372</v>
      </c>
      <c r="F272">
        <v>1</v>
      </c>
      <c r="G272" t="s">
        <v>4373</v>
      </c>
      <c r="H272">
        <v>32</v>
      </c>
      <c r="I272" t="s">
        <v>6193</v>
      </c>
      <c r="J272">
        <v>32</v>
      </c>
      <c r="K272" t="s">
        <v>6194</v>
      </c>
      <c r="L272" t="s">
        <v>6052</v>
      </c>
    </row>
    <row r="273" spans="1:12" hidden="1">
      <c r="A273">
        <v>272</v>
      </c>
      <c r="B273">
        <v>1</v>
      </c>
      <c r="C273" t="s">
        <v>4358</v>
      </c>
      <c r="D273">
        <v>16</v>
      </c>
      <c r="E273" t="s">
        <v>4372</v>
      </c>
      <c r="F273">
        <v>1</v>
      </c>
      <c r="G273" t="s">
        <v>4373</v>
      </c>
      <c r="H273">
        <v>33</v>
      </c>
      <c r="I273" t="s">
        <v>6195</v>
      </c>
      <c r="J273">
        <v>33</v>
      </c>
      <c r="K273" t="s">
        <v>6196</v>
      </c>
      <c r="L273" t="s">
        <v>6052</v>
      </c>
    </row>
    <row r="274" spans="1:12" hidden="1">
      <c r="A274">
        <v>273</v>
      </c>
      <c r="B274">
        <v>1</v>
      </c>
      <c r="C274" t="s">
        <v>4358</v>
      </c>
      <c r="D274">
        <v>16</v>
      </c>
      <c r="E274" t="s">
        <v>4372</v>
      </c>
      <c r="F274">
        <v>1</v>
      </c>
      <c r="G274" t="s">
        <v>4373</v>
      </c>
      <c r="H274">
        <v>34</v>
      </c>
      <c r="I274" t="s">
        <v>6197</v>
      </c>
      <c r="J274">
        <v>34</v>
      </c>
      <c r="K274" t="s">
        <v>6198</v>
      </c>
      <c r="L274" t="s">
        <v>6052</v>
      </c>
    </row>
    <row r="275" spans="1:12" hidden="1">
      <c r="A275">
        <v>274</v>
      </c>
      <c r="B275">
        <v>1</v>
      </c>
      <c r="C275" t="s">
        <v>4358</v>
      </c>
      <c r="D275">
        <v>16</v>
      </c>
      <c r="E275" t="s">
        <v>4372</v>
      </c>
      <c r="F275">
        <v>1</v>
      </c>
      <c r="G275" t="s">
        <v>4373</v>
      </c>
      <c r="H275">
        <v>35</v>
      </c>
      <c r="I275" t="s">
        <v>6199</v>
      </c>
      <c r="J275">
        <v>35</v>
      </c>
      <c r="K275" t="s">
        <v>6200</v>
      </c>
      <c r="L275" t="s">
        <v>6052</v>
      </c>
    </row>
    <row r="276" spans="1:12" hidden="1">
      <c r="A276">
        <v>275</v>
      </c>
      <c r="B276">
        <v>1</v>
      </c>
      <c r="C276" t="s">
        <v>4358</v>
      </c>
      <c r="D276">
        <v>16</v>
      </c>
      <c r="E276" t="s">
        <v>4372</v>
      </c>
      <c r="F276">
        <v>1</v>
      </c>
      <c r="G276" t="s">
        <v>4373</v>
      </c>
      <c r="H276">
        <v>36</v>
      </c>
      <c r="I276" t="s">
        <v>6201</v>
      </c>
      <c r="J276">
        <v>36</v>
      </c>
      <c r="K276" t="s">
        <v>6202</v>
      </c>
      <c r="L276" t="s">
        <v>5702</v>
      </c>
    </row>
    <row r="277" spans="1:12" hidden="1">
      <c r="A277">
        <v>276</v>
      </c>
      <c r="B277">
        <v>1</v>
      </c>
      <c r="C277" t="s">
        <v>4358</v>
      </c>
      <c r="D277">
        <v>16</v>
      </c>
      <c r="E277" t="s">
        <v>4372</v>
      </c>
      <c r="F277">
        <v>1</v>
      </c>
      <c r="G277" t="s">
        <v>4373</v>
      </c>
      <c r="H277">
        <v>37</v>
      </c>
      <c r="I277" t="s">
        <v>6203</v>
      </c>
      <c r="J277">
        <v>37</v>
      </c>
      <c r="K277" t="s">
        <v>6204</v>
      </c>
      <c r="L277" t="s">
        <v>5702</v>
      </c>
    </row>
    <row r="278" spans="1:12" hidden="1">
      <c r="A278">
        <v>277</v>
      </c>
      <c r="B278">
        <v>1</v>
      </c>
      <c r="C278" t="s">
        <v>4358</v>
      </c>
      <c r="D278">
        <v>16</v>
      </c>
      <c r="E278" t="s">
        <v>4372</v>
      </c>
      <c r="F278">
        <v>1</v>
      </c>
      <c r="G278" t="s">
        <v>4373</v>
      </c>
      <c r="H278">
        <v>38</v>
      </c>
      <c r="I278" t="s">
        <v>6205</v>
      </c>
      <c r="J278">
        <v>38</v>
      </c>
      <c r="K278" t="s">
        <v>6206</v>
      </c>
      <c r="L278" t="s">
        <v>5621</v>
      </c>
    </row>
    <row r="279" spans="1:12" hidden="1">
      <c r="A279">
        <v>278</v>
      </c>
      <c r="B279">
        <v>1</v>
      </c>
      <c r="C279" t="s">
        <v>4358</v>
      </c>
      <c r="D279">
        <v>16</v>
      </c>
      <c r="E279" t="s">
        <v>4372</v>
      </c>
      <c r="F279">
        <v>1</v>
      </c>
      <c r="G279" t="s">
        <v>4373</v>
      </c>
      <c r="H279">
        <v>39</v>
      </c>
      <c r="I279" t="s">
        <v>6207</v>
      </c>
      <c r="J279">
        <v>39</v>
      </c>
      <c r="K279" t="s">
        <v>6208</v>
      </c>
      <c r="L279" t="s">
        <v>5621</v>
      </c>
    </row>
    <row r="280" spans="1:12" hidden="1">
      <c r="A280">
        <v>279</v>
      </c>
      <c r="B280">
        <v>1</v>
      </c>
      <c r="C280" t="s">
        <v>4358</v>
      </c>
      <c r="D280">
        <v>16</v>
      </c>
      <c r="E280" t="s">
        <v>4372</v>
      </c>
      <c r="F280">
        <v>1</v>
      </c>
      <c r="G280" t="s">
        <v>4373</v>
      </c>
      <c r="H280">
        <v>40</v>
      </c>
      <c r="I280" t="s">
        <v>6209</v>
      </c>
      <c r="J280">
        <v>40</v>
      </c>
      <c r="K280" t="s">
        <v>6210</v>
      </c>
      <c r="L280" t="s">
        <v>5621</v>
      </c>
    </row>
    <row r="281" spans="1:12" hidden="1">
      <c r="A281">
        <v>280</v>
      </c>
      <c r="B281">
        <v>1</v>
      </c>
      <c r="C281" t="s">
        <v>4358</v>
      </c>
      <c r="D281">
        <v>16</v>
      </c>
      <c r="E281" t="s">
        <v>4372</v>
      </c>
      <c r="F281">
        <v>1</v>
      </c>
      <c r="G281" t="s">
        <v>4373</v>
      </c>
      <c r="H281">
        <v>41</v>
      </c>
      <c r="I281" t="s">
        <v>6211</v>
      </c>
      <c r="J281">
        <v>41</v>
      </c>
      <c r="K281" t="s">
        <v>6212</v>
      </c>
      <c r="L281" t="s">
        <v>6052</v>
      </c>
    </row>
    <row r="282" spans="1:12" hidden="1">
      <c r="A282">
        <v>281</v>
      </c>
      <c r="B282">
        <v>1</v>
      </c>
      <c r="C282" t="s">
        <v>4358</v>
      </c>
      <c r="D282">
        <v>16</v>
      </c>
      <c r="E282" t="s">
        <v>4372</v>
      </c>
      <c r="F282">
        <v>1</v>
      </c>
      <c r="G282" t="s">
        <v>4373</v>
      </c>
      <c r="H282">
        <v>42</v>
      </c>
      <c r="I282" t="s">
        <v>6213</v>
      </c>
      <c r="J282">
        <v>42</v>
      </c>
      <c r="K282" t="s">
        <v>6214</v>
      </c>
      <c r="L282" t="s">
        <v>6215</v>
      </c>
    </row>
    <row r="283" spans="1:12" hidden="1">
      <c r="A283">
        <v>282</v>
      </c>
      <c r="B283">
        <v>1</v>
      </c>
      <c r="C283" t="s">
        <v>4358</v>
      </c>
      <c r="D283">
        <v>16</v>
      </c>
      <c r="E283" t="s">
        <v>4372</v>
      </c>
      <c r="F283">
        <v>1</v>
      </c>
      <c r="G283" t="s">
        <v>4373</v>
      </c>
      <c r="H283">
        <v>43</v>
      </c>
      <c r="I283" t="s">
        <v>6216</v>
      </c>
      <c r="J283">
        <v>43</v>
      </c>
      <c r="K283" t="s">
        <v>6217</v>
      </c>
      <c r="L283" t="s">
        <v>6215</v>
      </c>
    </row>
    <row r="284" spans="1:12" hidden="1">
      <c r="A284">
        <v>283</v>
      </c>
      <c r="B284">
        <v>1</v>
      </c>
      <c r="C284" t="s">
        <v>4358</v>
      </c>
      <c r="D284">
        <v>16</v>
      </c>
      <c r="E284" t="s">
        <v>4372</v>
      </c>
      <c r="F284">
        <v>1</v>
      </c>
      <c r="G284" t="s">
        <v>4373</v>
      </c>
      <c r="H284">
        <v>44</v>
      </c>
      <c r="I284" t="s">
        <v>6218</v>
      </c>
      <c r="J284">
        <v>44</v>
      </c>
      <c r="K284" t="s">
        <v>6219</v>
      </c>
      <c r="L284" t="s">
        <v>5634</v>
      </c>
    </row>
    <row r="285" spans="1:12" hidden="1">
      <c r="A285">
        <v>284</v>
      </c>
      <c r="B285">
        <v>1</v>
      </c>
      <c r="C285" t="s">
        <v>4358</v>
      </c>
      <c r="D285">
        <v>16</v>
      </c>
      <c r="E285" t="s">
        <v>4372</v>
      </c>
      <c r="F285">
        <v>1</v>
      </c>
      <c r="G285" t="s">
        <v>4373</v>
      </c>
      <c r="H285">
        <v>45</v>
      </c>
      <c r="I285" t="s">
        <v>6220</v>
      </c>
      <c r="J285">
        <v>45</v>
      </c>
      <c r="K285" t="s">
        <v>6221</v>
      </c>
      <c r="L285" t="s">
        <v>4264</v>
      </c>
    </row>
    <row r="286" spans="1:12" hidden="1">
      <c r="A286">
        <v>285</v>
      </c>
      <c r="B286">
        <v>1</v>
      </c>
      <c r="C286" t="s">
        <v>4358</v>
      </c>
      <c r="D286">
        <v>16</v>
      </c>
      <c r="E286" t="s">
        <v>4372</v>
      </c>
      <c r="F286">
        <v>1</v>
      </c>
      <c r="G286" t="s">
        <v>4373</v>
      </c>
      <c r="H286">
        <v>46</v>
      </c>
      <c r="I286" t="s">
        <v>6222</v>
      </c>
      <c r="J286">
        <v>46</v>
      </c>
      <c r="K286" t="s">
        <v>6223</v>
      </c>
      <c r="L286" t="s">
        <v>5978</v>
      </c>
    </row>
    <row r="287" spans="1:12" hidden="1">
      <c r="A287">
        <v>286</v>
      </c>
      <c r="B287">
        <v>1</v>
      </c>
      <c r="C287" t="s">
        <v>4358</v>
      </c>
      <c r="D287">
        <v>16</v>
      </c>
      <c r="E287" t="s">
        <v>4372</v>
      </c>
      <c r="F287">
        <v>1</v>
      </c>
      <c r="G287" t="s">
        <v>4373</v>
      </c>
      <c r="H287">
        <v>47</v>
      </c>
      <c r="I287" t="s">
        <v>6224</v>
      </c>
      <c r="J287">
        <v>47</v>
      </c>
      <c r="K287" t="s">
        <v>6225</v>
      </c>
      <c r="L287" t="s">
        <v>5978</v>
      </c>
    </row>
    <row r="288" spans="1:12" hidden="1">
      <c r="A288">
        <v>287</v>
      </c>
      <c r="B288">
        <v>1</v>
      </c>
      <c r="C288" t="s">
        <v>4358</v>
      </c>
      <c r="D288">
        <v>16</v>
      </c>
      <c r="E288" t="s">
        <v>4372</v>
      </c>
      <c r="F288">
        <v>1</v>
      </c>
      <c r="G288" t="s">
        <v>4373</v>
      </c>
      <c r="H288">
        <v>48</v>
      </c>
      <c r="I288" t="s">
        <v>6226</v>
      </c>
      <c r="J288">
        <v>48</v>
      </c>
      <c r="K288" t="s">
        <v>6227</v>
      </c>
      <c r="L288" t="s">
        <v>5978</v>
      </c>
    </row>
    <row r="289" spans="1:12" hidden="1">
      <c r="A289">
        <v>288</v>
      </c>
      <c r="B289">
        <v>1</v>
      </c>
      <c r="C289" t="s">
        <v>4358</v>
      </c>
      <c r="D289">
        <v>16</v>
      </c>
      <c r="E289" t="s">
        <v>4372</v>
      </c>
      <c r="F289">
        <v>1</v>
      </c>
      <c r="G289" t="s">
        <v>4373</v>
      </c>
      <c r="H289">
        <v>49</v>
      </c>
      <c r="I289" t="s">
        <v>6228</v>
      </c>
      <c r="J289">
        <v>49</v>
      </c>
      <c r="K289" t="s">
        <v>6229</v>
      </c>
      <c r="L289" t="s">
        <v>6100</v>
      </c>
    </row>
    <row r="290" spans="1:12" hidden="1">
      <c r="A290">
        <v>289</v>
      </c>
      <c r="B290">
        <v>1</v>
      </c>
      <c r="C290" t="s">
        <v>4358</v>
      </c>
      <c r="D290">
        <v>16</v>
      </c>
      <c r="E290" t="s">
        <v>4372</v>
      </c>
      <c r="F290">
        <v>1</v>
      </c>
      <c r="G290" t="s">
        <v>4373</v>
      </c>
      <c r="H290">
        <v>50</v>
      </c>
      <c r="I290" t="s">
        <v>6230</v>
      </c>
      <c r="J290">
        <v>50</v>
      </c>
      <c r="K290" t="s">
        <v>6231</v>
      </c>
      <c r="L290" t="s">
        <v>6100</v>
      </c>
    </row>
    <row r="291" spans="1:12" hidden="1">
      <c r="A291">
        <v>290</v>
      </c>
      <c r="B291">
        <v>1</v>
      </c>
      <c r="C291" t="s">
        <v>4358</v>
      </c>
      <c r="D291">
        <v>16</v>
      </c>
      <c r="E291" t="s">
        <v>4372</v>
      </c>
      <c r="F291">
        <v>1</v>
      </c>
      <c r="G291" t="s">
        <v>4373</v>
      </c>
      <c r="H291">
        <v>51</v>
      </c>
      <c r="I291" t="s">
        <v>6232</v>
      </c>
      <c r="J291">
        <v>51</v>
      </c>
      <c r="K291" t="s">
        <v>6233</v>
      </c>
      <c r="L291" t="s">
        <v>5634</v>
      </c>
    </row>
    <row r="292" spans="1:12" hidden="1">
      <c r="A292">
        <v>291</v>
      </c>
      <c r="B292">
        <v>1</v>
      </c>
      <c r="C292" t="s">
        <v>4358</v>
      </c>
      <c r="D292">
        <v>16</v>
      </c>
      <c r="E292" t="s">
        <v>4372</v>
      </c>
      <c r="F292">
        <v>1</v>
      </c>
      <c r="G292" t="s">
        <v>4373</v>
      </c>
      <c r="H292">
        <v>52</v>
      </c>
      <c r="I292" t="s">
        <v>6234</v>
      </c>
      <c r="J292">
        <v>52</v>
      </c>
      <c r="K292" t="s">
        <v>6235</v>
      </c>
      <c r="L292" t="s">
        <v>5634</v>
      </c>
    </row>
    <row r="293" spans="1:12" hidden="1">
      <c r="A293">
        <v>292</v>
      </c>
      <c r="B293">
        <v>1</v>
      </c>
      <c r="C293" t="s">
        <v>4358</v>
      </c>
      <c r="D293">
        <v>16</v>
      </c>
      <c r="E293" t="s">
        <v>4372</v>
      </c>
      <c r="F293">
        <v>1</v>
      </c>
      <c r="G293" t="s">
        <v>4373</v>
      </c>
      <c r="H293">
        <v>53</v>
      </c>
      <c r="I293" t="s">
        <v>6236</v>
      </c>
      <c r="J293">
        <v>53</v>
      </c>
      <c r="K293" t="s">
        <v>6237</v>
      </c>
      <c r="L293" t="s">
        <v>5634</v>
      </c>
    </row>
    <row r="294" spans="1:12" hidden="1">
      <c r="A294">
        <v>293</v>
      </c>
      <c r="B294">
        <v>1</v>
      </c>
      <c r="C294" t="s">
        <v>4358</v>
      </c>
      <c r="D294">
        <v>16</v>
      </c>
      <c r="E294" t="s">
        <v>4372</v>
      </c>
      <c r="F294">
        <v>1</v>
      </c>
      <c r="G294" t="s">
        <v>4373</v>
      </c>
      <c r="H294">
        <v>54</v>
      </c>
      <c r="I294" t="s">
        <v>6238</v>
      </c>
      <c r="J294">
        <v>54</v>
      </c>
      <c r="K294" t="s">
        <v>6239</v>
      </c>
      <c r="L294" t="s">
        <v>5634</v>
      </c>
    </row>
    <row r="295" spans="1:12" hidden="1">
      <c r="A295">
        <v>294</v>
      </c>
      <c r="B295">
        <v>1</v>
      </c>
      <c r="C295" t="s">
        <v>4358</v>
      </c>
      <c r="D295">
        <v>16</v>
      </c>
      <c r="E295" t="s">
        <v>4372</v>
      </c>
      <c r="F295">
        <v>1</v>
      </c>
      <c r="G295" t="s">
        <v>4373</v>
      </c>
      <c r="H295">
        <v>55</v>
      </c>
      <c r="I295" t="s">
        <v>6240</v>
      </c>
      <c r="J295">
        <v>55</v>
      </c>
      <c r="K295" t="s">
        <v>6241</v>
      </c>
      <c r="L295" t="s">
        <v>5634</v>
      </c>
    </row>
    <row r="296" spans="1:12" hidden="1">
      <c r="A296">
        <v>295</v>
      </c>
      <c r="B296">
        <v>1</v>
      </c>
      <c r="C296" t="s">
        <v>4358</v>
      </c>
      <c r="D296">
        <v>16</v>
      </c>
      <c r="E296" t="s">
        <v>4372</v>
      </c>
      <c r="F296">
        <v>1</v>
      </c>
      <c r="G296" t="s">
        <v>4373</v>
      </c>
      <c r="H296">
        <v>56</v>
      </c>
      <c r="I296" t="s">
        <v>6242</v>
      </c>
      <c r="J296">
        <v>56</v>
      </c>
      <c r="K296" t="s">
        <v>6243</v>
      </c>
      <c r="L296" t="s">
        <v>5634</v>
      </c>
    </row>
    <row r="297" spans="1:12" hidden="1">
      <c r="A297">
        <v>296</v>
      </c>
      <c r="B297">
        <v>1</v>
      </c>
      <c r="C297" t="s">
        <v>4358</v>
      </c>
      <c r="D297">
        <v>16</v>
      </c>
      <c r="E297" t="s">
        <v>4372</v>
      </c>
      <c r="F297">
        <v>1</v>
      </c>
      <c r="G297" t="s">
        <v>4373</v>
      </c>
      <c r="H297">
        <v>57</v>
      </c>
      <c r="I297" t="s">
        <v>6244</v>
      </c>
      <c r="J297">
        <v>57</v>
      </c>
      <c r="K297" t="s">
        <v>6245</v>
      </c>
      <c r="L297" t="s">
        <v>5634</v>
      </c>
    </row>
    <row r="298" spans="1:12" hidden="1">
      <c r="A298">
        <v>297</v>
      </c>
      <c r="B298">
        <v>1</v>
      </c>
      <c r="C298" t="s">
        <v>4358</v>
      </c>
      <c r="D298">
        <v>16</v>
      </c>
      <c r="E298" t="s">
        <v>4372</v>
      </c>
      <c r="F298">
        <v>1</v>
      </c>
      <c r="G298" t="s">
        <v>4373</v>
      </c>
      <c r="H298">
        <v>58</v>
      </c>
      <c r="I298" t="s">
        <v>6246</v>
      </c>
      <c r="J298">
        <v>58</v>
      </c>
      <c r="K298" t="s">
        <v>6247</v>
      </c>
      <c r="L298" t="s">
        <v>5634</v>
      </c>
    </row>
    <row r="299" spans="1:12" hidden="1">
      <c r="A299">
        <v>298</v>
      </c>
      <c r="B299">
        <v>1</v>
      </c>
      <c r="C299" t="s">
        <v>4358</v>
      </c>
      <c r="D299">
        <v>16</v>
      </c>
      <c r="E299" t="s">
        <v>4372</v>
      </c>
      <c r="F299">
        <v>1</v>
      </c>
      <c r="G299" t="s">
        <v>4373</v>
      </c>
      <c r="H299">
        <v>59</v>
      </c>
      <c r="I299" t="s">
        <v>6248</v>
      </c>
      <c r="J299">
        <v>59</v>
      </c>
      <c r="K299" t="s">
        <v>5915</v>
      </c>
      <c r="L299" t="s">
        <v>5634</v>
      </c>
    </row>
    <row r="300" spans="1:12" hidden="1">
      <c r="A300">
        <v>299</v>
      </c>
      <c r="B300">
        <v>1</v>
      </c>
      <c r="C300" t="s">
        <v>4358</v>
      </c>
      <c r="D300">
        <v>16</v>
      </c>
      <c r="E300" t="s">
        <v>4372</v>
      </c>
      <c r="F300">
        <v>1</v>
      </c>
      <c r="G300" t="s">
        <v>4373</v>
      </c>
      <c r="H300">
        <v>60</v>
      </c>
      <c r="I300" t="s">
        <v>6249</v>
      </c>
      <c r="J300">
        <v>60</v>
      </c>
      <c r="K300" t="s">
        <v>6250</v>
      </c>
      <c r="L300" t="s">
        <v>5634</v>
      </c>
    </row>
    <row r="301" spans="1:12" hidden="1">
      <c r="A301">
        <v>300</v>
      </c>
      <c r="B301">
        <v>1</v>
      </c>
      <c r="C301" t="s">
        <v>4358</v>
      </c>
      <c r="D301">
        <v>16</v>
      </c>
      <c r="E301" t="s">
        <v>4372</v>
      </c>
      <c r="F301">
        <v>1</v>
      </c>
      <c r="G301" t="s">
        <v>4373</v>
      </c>
      <c r="H301">
        <v>61</v>
      </c>
      <c r="I301" t="s">
        <v>6251</v>
      </c>
      <c r="J301">
        <v>61</v>
      </c>
      <c r="K301" t="s">
        <v>6252</v>
      </c>
      <c r="L301" t="s">
        <v>5634</v>
      </c>
    </row>
    <row r="302" spans="1:12" hidden="1">
      <c r="A302">
        <v>301</v>
      </c>
      <c r="B302">
        <v>1</v>
      </c>
      <c r="C302" t="s">
        <v>4358</v>
      </c>
      <c r="D302">
        <v>16</v>
      </c>
      <c r="E302" t="s">
        <v>4372</v>
      </c>
      <c r="F302">
        <v>1</v>
      </c>
      <c r="G302" t="s">
        <v>4373</v>
      </c>
      <c r="H302">
        <v>62</v>
      </c>
      <c r="I302" t="s">
        <v>6253</v>
      </c>
      <c r="J302">
        <v>62</v>
      </c>
      <c r="K302" t="s">
        <v>6254</v>
      </c>
      <c r="L302" t="s">
        <v>5634</v>
      </c>
    </row>
    <row r="303" spans="1:12" hidden="1">
      <c r="A303">
        <v>302</v>
      </c>
      <c r="B303">
        <v>1</v>
      </c>
      <c r="C303" t="s">
        <v>4358</v>
      </c>
      <c r="D303">
        <v>16</v>
      </c>
      <c r="E303" t="s">
        <v>4372</v>
      </c>
      <c r="F303">
        <v>1</v>
      </c>
      <c r="G303" t="s">
        <v>4373</v>
      </c>
      <c r="H303">
        <v>63</v>
      </c>
      <c r="I303" t="s">
        <v>6255</v>
      </c>
      <c r="J303">
        <v>63</v>
      </c>
      <c r="K303" t="s">
        <v>6256</v>
      </c>
      <c r="L303" t="s">
        <v>5634</v>
      </c>
    </row>
    <row r="304" spans="1:12" hidden="1">
      <c r="A304">
        <v>303</v>
      </c>
      <c r="B304">
        <v>1</v>
      </c>
      <c r="C304" t="s">
        <v>4358</v>
      </c>
      <c r="D304">
        <v>16</v>
      </c>
      <c r="E304" t="s">
        <v>4372</v>
      </c>
      <c r="F304">
        <v>1</v>
      </c>
      <c r="G304" t="s">
        <v>4373</v>
      </c>
      <c r="H304">
        <v>64</v>
      </c>
      <c r="I304" t="s">
        <v>6257</v>
      </c>
      <c r="J304">
        <v>64</v>
      </c>
      <c r="K304" t="s">
        <v>6258</v>
      </c>
      <c r="L304" t="s">
        <v>5634</v>
      </c>
    </row>
    <row r="305" spans="1:12" hidden="1">
      <c r="A305">
        <v>304</v>
      </c>
      <c r="B305">
        <v>1</v>
      </c>
      <c r="C305" t="s">
        <v>4358</v>
      </c>
      <c r="D305">
        <v>16</v>
      </c>
      <c r="E305" t="s">
        <v>4372</v>
      </c>
      <c r="F305">
        <v>1</v>
      </c>
      <c r="G305" t="s">
        <v>4373</v>
      </c>
      <c r="H305">
        <v>65</v>
      </c>
      <c r="I305" t="s">
        <v>6259</v>
      </c>
      <c r="J305">
        <v>65</v>
      </c>
      <c r="K305" t="s">
        <v>6260</v>
      </c>
      <c r="L305" t="s">
        <v>5634</v>
      </c>
    </row>
    <row r="306" spans="1:12">
      <c r="A306">
        <v>305</v>
      </c>
      <c r="B306">
        <v>3</v>
      </c>
      <c r="C306" t="s">
        <v>6261</v>
      </c>
      <c r="D306">
        <v>1</v>
      </c>
      <c r="E306" t="s">
        <v>4374</v>
      </c>
      <c r="F306">
        <v>20</v>
      </c>
      <c r="G306" t="s">
        <v>4375</v>
      </c>
      <c r="H306">
        <v>1</v>
      </c>
      <c r="I306" t="s">
        <v>6262</v>
      </c>
      <c r="J306">
        <v>1</v>
      </c>
      <c r="K306" t="s">
        <v>6263</v>
      </c>
      <c r="L306" t="s">
        <v>5611</v>
      </c>
    </row>
    <row r="307" spans="1:12">
      <c r="A307">
        <v>306</v>
      </c>
      <c r="B307">
        <v>3</v>
      </c>
      <c r="C307" t="s">
        <v>6261</v>
      </c>
      <c r="D307">
        <v>1</v>
      </c>
      <c r="E307" t="s">
        <v>4374</v>
      </c>
      <c r="F307">
        <v>20</v>
      </c>
      <c r="G307" t="s">
        <v>4375</v>
      </c>
      <c r="H307">
        <v>2</v>
      </c>
      <c r="I307" t="s">
        <v>6264</v>
      </c>
      <c r="J307">
        <v>2</v>
      </c>
      <c r="K307" t="s">
        <v>6265</v>
      </c>
      <c r="L307" t="s">
        <v>5611</v>
      </c>
    </row>
    <row r="308" spans="1:12">
      <c r="A308">
        <v>307</v>
      </c>
      <c r="B308">
        <v>3</v>
      </c>
      <c r="C308" t="s">
        <v>6261</v>
      </c>
      <c r="D308">
        <v>1</v>
      </c>
      <c r="E308" t="s">
        <v>4374</v>
      </c>
      <c r="F308">
        <v>20</v>
      </c>
      <c r="G308" t="s">
        <v>4375</v>
      </c>
      <c r="H308">
        <v>3</v>
      </c>
      <c r="I308" t="s">
        <v>6266</v>
      </c>
      <c r="J308">
        <v>3</v>
      </c>
      <c r="K308" t="s">
        <v>6267</v>
      </c>
      <c r="L308" t="s">
        <v>5654</v>
      </c>
    </row>
    <row r="309" spans="1:12">
      <c r="A309">
        <v>308</v>
      </c>
      <c r="B309">
        <v>3</v>
      </c>
      <c r="C309" t="s">
        <v>6261</v>
      </c>
      <c r="D309">
        <v>1</v>
      </c>
      <c r="E309" t="s">
        <v>4374</v>
      </c>
      <c r="F309">
        <v>20</v>
      </c>
      <c r="G309" t="s">
        <v>4375</v>
      </c>
      <c r="H309">
        <v>4</v>
      </c>
      <c r="I309" t="s">
        <v>6268</v>
      </c>
      <c r="J309">
        <v>4</v>
      </c>
      <c r="K309" t="s">
        <v>6269</v>
      </c>
      <c r="L309" t="s">
        <v>5644</v>
      </c>
    </row>
    <row r="310" spans="1:12">
      <c r="A310">
        <v>309</v>
      </c>
      <c r="B310">
        <v>3</v>
      </c>
      <c r="C310" t="s">
        <v>6261</v>
      </c>
      <c r="D310">
        <v>1</v>
      </c>
      <c r="E310" t="s">
        <v>4374</v>
      </c>
      <c r="F310">
        <v>20</v>
      </c>
      <c r="G310" t="s">
        <v>4375</v>
      </c>
      <c r="H310">
        <v>5</v>
      </c>
      <c r="I310" t="s">
        <v>6270</v>
      </c>
      <c r="J310">
        <v>5</v>
      </c>
      <c r="K310" t="s">
        <v>6271</v>
      </c>
      <c r="L310" t="s">
        <v>5644</v>
      </c>
    </row>
    <row r="311" spans="1:12">
      <c r="A311">
        <v>310</v>
      </c>
      <c r="B311">
        <v>3</v>
      </c>
      <c r="C311" t="s">
        <v>6261</v>
      </c>
      <c r="D311">
        <v>1</v>
      </c>
      <c r="E311" t="s">
        <v>4374</v>
      </c>
      <c r="F311">
        <v>20</v>
      </c>
      <c r="G311" t="s">
        <v>4375</v>
      </c>
      <c r="H311">
        <v>6</v>
      </c>
      <c r="I311" t="s">
        <v>6272</v>
      </c>
      <c r="J311">
        <v>6</v>
      </c>
      <c r="K311" t="s">
        <v>6273</v>
      </c>
      <c r="L311" t="s">
        <v>5702</v>
      </c>
    </row>
    <row r="312" spans="1:12">
      <c r="A312">
        <v>311</v>
      </c>
      <c r="B312">
        <v>3</v>
      </c>
      <c r="C312" t="s">
        <v>6261</v>
      </c>
      <c r="D312">
        <v>1</v>
      </c>
      <c r="E312" t="s">
        <v>4374</v>
      </c>
      <c r="F312">
        <v>20</v>
      </c>
      <c r="G312" t="s">
        <v>4375</v>
      </c>
      <c r="H312">
        <v>7</v>
      </c>
      <c r="I312" t="s">
        <v>6274</v>
      </c>
      <c r="J312">
        <v>7</v>
      </c>
      <c r="K312" t="s">
        <v>6275</v>
      </c>
      <c r="L312" t="s">
        <v>6276</v>
      </c>
    </row>
    <row r="313" spans="1:12">
      <c r="A313">
        <v>312</v>
      </c>
      <c r="B313">
        <v>3</v>
      </c>
      <c r="C313" t="s">
        <v>6261</v>
      </c>
      <c r="D313">
        <v>1</v>
      </c>
      <c r="E313" t="s">
        <v>4374</v>
      </c>
      <c r="F313">
        <v>20</v>
      </c>
      <c r="G313" t="s">
        <v>4375</v>
      </c>
      <c r="H313">
        <v>8</v>
      </c>
      <c r="I313" t="s">
        <v>6277</v>
      </c>
      <c r="J313">
        <v>8</v>
      </c>
      <c r="K313" t="s">
        <v>6278</v>
      </c>
      <c r="L313" t="s">
        <v>5621</v>
      </c>
    </row>
    <row r="314" spans="1:12">
      <c r="A314">
        <v>313</v>
      </c>
      <c r="B314">
        <v>3</v>
      </c>
      <c r="C314" t="s">
        <v>6261</v>
      </c>
      <c r="D314">
        <v>1</v>
      </c>
      <c r="E314" t="s">
        <v>4374</v>
      </c>
      <c r="F314">
        <v>20</v>
      </c>
      <c r="G314" t="s">
        <v>4375</v>
      </c>
      <c r="H314">
        <v>9</v>
      </c>
      <c r="I314" t="s">
        <v>6279</v>
      </c>
      <c r="J314">
        <v>9</v>
      </c>
      <c r="K314" t="s">
        <v>6280</v>
      </c>
      <c r="L314" t="s">
        <v>5621</v>
      </c>
    </row>
    <row r="315" spans="1:12">
      <c r="A315">
        <v>314</v>
      </c>
      <c r="B315">
        <v>3</v>
      </c>
      <c r="C315" t="s">
        <v>6261</v>
      </c>
      <c r="D315">
        <v>1</v>
      </c>
      <c r="E315" t="s">
        <v>4374</v>
      </c>
      <c r="F315">
        <v>20</v>
      </c>
      <c r="G315" t="s">
        <v>4375</v>
      </c>
      <c r="H315">
        <v>10</v>
      </c>
      <c r="I315" t="s">
        <v>6281</v>
      </c>
      <c r="J315">
        <v>10</v>
      </c>
      <c r="K315" t="s">
        <v>6282</v>
      </c>
      <c r="L315" t="s">
        <v>5618</v>
      </c>
    </row>
    <row r="316" spans="1:12">
      <c r="A316">
        <v>315</v>
      </c>
      <c r="B316">
        <v>3</v>
      </c>
      <c r="C316" t="s">
        <v>6261</v>
      </c>
      <c r="D316">
        <v>1</v>
      </c>
      <c r="E316" t="s">
        <v>4374</v>
      </c>
      <c r="F316">
        <v>20</v>
      </c>
      <c r="G316" t="s">
        <v>4375</v>
      </c>
      <c r="H316">
        <v>11</v>
      </c>
      <c r="I316" t="s">
        <v>6283</v>
      </c>
      <c r="J316">
        <v>11</v>
      </c>
      <c r="K316" t="s">
        <v>6284</v>
      </c>
      <c r="L316" t="s">
        <v>5702</v>
      </c>
    </row>
    <row r="317" spans="1:12">
      <c r="A317">
        <v>316</v>
      </c>
      <c r="B317">
        <v>3</v>
      </c>
      <c r="C317" t="s">
        <v>6261</v>
      </c>
      <c r="D317">
        <v>1</v>
      </c>
      <c r="E317" t="s">
        <v>4374</v>
      </c>
      <c r="F317">
        <v>20</v>
      </c>
      <c r="G317" t="s">
        <v>4375</v>
      </c>
      <c r="H317">
        <v>12</v>
      </c>
      <c r="I317" t="s">
        <v>6285</v>
      </c>
      <c r="J317">
        <v>12</v>
      </c>
      <c r="K317" t="s">
        <v>6286</v>
      </c>
      <c r="L317" t="s">
        <v>5639</v>
      </c>
    </row>
    <row r="318" spans="1:12">
      <c r="A318">
        <v>317</v>
      </c>
      <c r="B318">
        <v>3</v>
      </c>
      <c r="C318" t="s">
        <v>6261</v>
      </c>
      <c r="D318">
        <v>1</v>
      </c>
      <c r="E318" t="s">
        <v>4374</v>
      </c>
      <c r="F318">
        <v>20</v>
      </c>
      <c r="G318" t="s">
        <v>4375</v>
      </c>
      <c r="H318">
        <v>13</v>
      </c>
      <c r="I318" t="s">
        <v>6287</v>
      </c>
      <c r="J318">
        <v>13</v>
      </c>
      <c r="K318" t="s">
        <v>6288</v>
      </c>
      <c r="L318" t="s">
        <v>5639</v>
      </c>
    </row>
    <row r="319" spans="1:12">
      <c r="A319">
        <v>318</v>
      </c>
      <c r="B319">
        <v>3</v>
      </c>
      <c r="C319" t="s">
        <v>6261</v>
      </c>
      <c r="D319">
        <v>1</v>
      </c>
      <c r="E319" t="s">
        <v>4374</v>
      </c>
      <c r="F319">
        <v>20</v>
      </c>
      <c r="G319" t="s">
        <v>4375</v>
      </c>
      <c r="H319">
        <v>14</v>
      </c>
      <c r="I319" t="s">
        <v>6289</v>
      </c>
      <c r="J319">
        <v>14</v>
      </c>
      <c r="K319" t="s">
        <v>6290</v>
      </c>
      <c r="L319" t="s">
        <v>5639</v>
      </c>
    </row>
    <row r="320" spans="1:12">
      <c r="A320">
        <v>319</v>
      </c>
      <c r="B320">
        <v>3</v>
      </c>
      <c r="C320" t="s">
        <v>6261</v>
      </c>
      <c r="D320">
        <v>1</v>
      </c>
      <c r="E320" t="s">
        <v>4374</v>
      </c>
      <c r="F320">
        <v>20</v>
      </c>
      <c r="G320" t="s">
        <v>4375</v>
      </c>
      <c r="H320">
        <v>15</v>
      </c>
      <c r="I320" t="s">
        <v>6291</v>
      </c>
      <c r="J320">
        <v>15</v>
      </c>
      <c r="K320" t="s">
        <v>6292</v>
      </c>
      <c r="L320" t="s">
        <v>6293</v>
      </c>
    </row>
    <row r="321" spans="1:12">
      <c r="A321">
        <v>320</v>
      </c>
      <c r="B321">
        <v>3</v>
      </c>
      <c r="C321" t="s">
        <v>6261</v>
      </c>
      <c r="D321">
        <v>4</v>
      </c>
      <c r="E321" t="s">
        <v>4376</v>
      </c>
      <c r="F321">
        <v>19</v>
      </c>
      <c r="G321" t="s">
        <v>4377</v>
      </c>
      <c r="H321">
        <v>1</v>
      </c>
      <c r="I321" t="s">
        <v>6294</v>
      </c>
      <c r="J321">
        <v>1</v>
      </c>
      <c r="K321" t="s">
        <v>5806</v>
      </c>
      <c r="L321" t="s">
        <v>6295</v>
      </c>
    </row>
    <row r="322" spans="1:12">
      <c r="A322">
        <v>321</v>
      </c>
      <c r="B322">
        <v>3</v>
      </c>
      <c r="C322" t="s">
        <v>6261</v>
      </c>
      <c r="D322">
        <v>4</v>
      </c>
      <c r="E322" t="s">
        <v>4376</v>
      </c>
      <c r="F322">
        <v>19</v>
      </c>
      <c r="G322" t="s">
        <v>4377</v>
      </c>
      <c r="H322">
        <v>2</v>
      </c>
      <c r="I322" t="s">
        <v>6296</v>
      </c>
      <c r="J322">
        <v>2</v>
      </c>
      <c r="K322" t="s">
        <v>6297</v>
      </c>
      <c r="L322" t="s">
        <v>6298</v>
      </c>
    </row>
    <row r="323" spans="1:12">
      <c r="A323">
        <v>322</v>
      </c>
      <c r="B323">
        <v>3</v>
      </c>
      <c r="C323" t="s">
        <v>6261</v>
      </c>
      <c r="D323">
        <v>4</v>
      </c>
      <c r="E323" t="s">
        <v>4376</v>
      </c>
      <c r="F323">
        <v>19</v>
      </c>
      <c r="G323" t="s">
        <v>4377</v>
      </c>
      <c r="H323">
        <v>3</v>
      </c>
      <c r="I323" t="s">
        <v>6299</v>
      </c>
      <c r="J323">
        <v>3</v>
      </c>
      <c r="K323" t="s">
        <v>6300</v>
      </c>
      <c r="L323" t="s">
        <v>6301</v>
      </c>
    </row>
    <row r="324" spans="1:12">
      <c r="A324">
        <v>323</v>
      </c>
      <c r="B324">
        <v>3</v>
      </c>
      <c r="C324" t="s">
        <v>6261</v>
      </c>
      <c r="D324">
        <v>4</v>
      </c>
      <c r="E324" t="s">
        <v>4376</v>
      </c>
      <c r="F324">
        <v>19</v>
      </c>
      <c r="G324" t="s">
        <v>4377</v>
      </c>
      <c r="H324">
        <v>4</v>
      </c>
      <c r="I324" t="s">
        <v>6302</v>
      </c>
      <c r="J324">
        <v>4</v>
      </c>
      <c r="K324" t="s">
        <v>6097</v>
      </c>
      <c r="L324" t="s">
        <v>6303</v>
      </c>
    </row>
    <row r="325" spans="1:12">
      <c r="A325">
        <v>324</v>
      </c>
      <c r="B325">
        <v>3</v>
      </c>
      <c r="C325" t="s">
        <v>6261</v>
      </c>
      <c r="D325">
        <v>4</v>
      </c>
      <c r="E325" t="s">
        <v>4376</v>
      </c>
      <c r="F325">
        <v>19</v>
      </c>
      <c r="G325" t="s">
        <v>4377</v>
      </c>
      <c r="H325">
        <v>5</v>
      </c>
      <c r="I325" t="s">
        <v>6304</v>
      </c>
      <c r="J325">
        <v>5</v>
      </c>
      <c r="K325" t="s">
        <v>6305</v>
      </c>
      <c r="L325" t="s">
        <v>6303</v>
      </c>
    </row>
    <row r="326" spans="1:12">
      <c r="A326">
        <v>325</v>
      </c>
      <c r="B326">
        <v>3</v>
      </c>
      <c r="C326" t="s">
        <v>6261</v>
      </c>
      <c r="D326">
        <v>4</v>
      </c>
      <c r="E326" t="s">
        <v>4376</v>
      </c>
      <c r="F326">
        <v>19</v>
      </c>
      <c r="G326" t="s">
        <v>4377</v>
      </c>
      <c r="H326">
        <v>6</v>
      </c>
      <c r="I326" t="s">
        <v>6306</v>
      </c>
      <c r="J326">
        <v>6</v>
      </c>
      <c r="K326" t="s">
        <v>6307</v>
      </c>
      <c r="L326" t="s">
        <v>6308</v>
      </c>
    </row>
    <row r="327" spans="1:12">
      <c r="A327">
        <v>326</v>
      </c>
      <c r="B327">
        <v>3</v>
      </c>
      <c r="C327" t="s">
        <v>6261</v>
      </c>
      <c r="D327">
        <v>4</v>
      </c>
      <c r="E327" t="s">
        <v>4376</v>
      </c>
      <c r="F327">
        <v>19</v>
      </c>
      <c r="G327" t="s">
        <v>4377</v>
      </c>
      <c r="H327">
        <v>7</v>
      </c>
      <c r="I327" t="s">
        <v>6309</v>
      </c>
      <c r="J327">
        <v>7</v>
      </c>
      <c r="K327" t="s">
        <v>6310</v>
      </c>
      <c r="L327" t="s">
        <v>6311</v>
      </c>
    </row>
    <row r="328" spans="1:12">
      <c r="A328">
        <v>327</v>
      </c>
      <c r="B328">
        <v>3</v>
      </c>
      <c r="C328" t="s">
        <v>6261</v>
      </c>
      <c r="D328">
        <v>4</v>
      </c>
      <c r="E328" t="s">
        <v>4376</v>
      </c>
      <c r="F328">
        <v>19</v>
      </c>
      <c r="G328" t="s">
        <v>4377</v>
      </c>
      <c r="H328">
        <v>8</v>
      </c>
      <c r="I328" t="s">
        <v>6312</v>
      </c>
      <c r="J328">
        <v>8</v>
      </c>
      <c r="K328" t="s">
        <v>6313</v>
      </c>
      <c r="L328" t="s">
        <v>3117</v>
      </c>
    </row>
    <row r="329" spans="1:12">
      <c r="A329">
        <v>328</v>
      </c>
      <c r="B329">
        <v>3</v>
      </c>
      <c r="C329" t="s">
        <v>6261</v>
      </c>
      <c r="D329">
        <v>4</v>
      </c>
      <c r="E329" t="s">
        <v>4376</v>
      </c>
      <c r="F329">
        <v>19</v>
      </c>
      <c r="G329" t="s">
        <v>4377</v>
      </c>
      <c r="H329">
        <v>9</v>
      </c>
      <c r="I329" t="s">
        <v>6314</v>
      </c>
      <c r="J329">
        <v>9</v>
      </c>
      <c r="K329" t="s">
        <v>6315</v>
      </c>
      <c r="L329" t="s">
        <v>3117</v>
      </c>
    </row>
    <row r="330" spans="1:12">
      <c r="A330">
        <v>329</v>
      </c>
      <c r="B330">
        <v>3</v>
      </c>
      <c r="C330" t="s">
        <v>6261</v>
      </c>
      <c r="D330">
        <v>4</v>
      </c>
      <c r="E330" t="s">
        <v>4376</v>
      </c>
      <c r="F330">
        <v>19</v>
      </c>
      <c r="G330" t="s">
        <v>4377</v>
      </c>
      <c r="H330">
        <v>10</v>
      </c>
      <c r="I330" t="s">
        <v>6316</v>
      </c>
      <c r="J330">
        <v>10</v>
      </c>
      <c r="K330" t="s">
        <v>6317</v>
      </c>
      <c r="L330" t="s">
        <v>3117</v>
      </c>
    </row>
    <row r="331" spans="1:12">
      <c r="A331">
        <v>330</v>
      </c>
      <c r="B331">
        <v>3</v>
      </c>
      <c r="C331" t="s">
        <v>6261</v>
      </c>
      <c r="D331">
        <v>4</v>
      </c>
      <c r="E331" t="s">
        <v>4376</v>
      </c>
      <c r="F331">
        <v>19</v>
      </c>
      <c r="G331" t="s">
        <v>4377</v>
      </c>
      <c r="H331">
        <v>11</v>
      </c>
      <c r="I331" t="s">
        <v>6318</v>
      </c>
      <c r="J331">
        <v>11</v>
      </c>
      <c r="K331" t="s">
        <v>6319</v>
      </c>
      <c r="L331" t="s">
        <v>6320</v>
      </c>
    </row>
    <row r="332" spans="1:12">
      <c r="A332">
        <v>331</v>
      </c>
      <c r="B332">
        <v>3</v>
      </c>
      <c r="C332" t="s">
        <v>6261</v>
      </c>
      <c r="D332">
        <v>4</v>
      </c>
      <c r="E332" t="s">
        <v>4376</v>
      </c>
      <c r="F332">
        <v>19</v>
      </c>
      <c r="G332" t="s">
        <v>4377</v>
      </c>
      <c r="H332">
        <v>12</v>
      </c>
      <c r="I332" t="s">
        <v>6321</v>
      </c>
      <c r="J332">
        <v>12</v>
      </c>
      <c r="K332" t="s">
        <v>6322</v>
      </c>
      <c r="L332" t="s">
        <v>5639</v>
      </c>
    </row>
    <row r="333" spans="1:12">
      <c r="A333">
        <v>332</v>
      </c>
      <c r="B333">
        <v>3</v>
      </c>
      <c r="C333" t="s">
        <v>6261</v>
      </c>
      <c r="D333">
        <v>4</v>
      </c>
      <c r="E333" t="s">
        <v>4376</v>
      </c>
      <c r="F333">
        <v>19</v>
      </c>
      <c r="G333" t="s">
        <v>4377</v>
      </c>
      <c r="H333">
        <v>13</v>
      </c>
      <c r="I333" t="s">
        <v>6323</v>
      </c>
      <c r="J333">
        <v>13</v>
      </c>
      <c r="K333" t="s">
        <v>6324</v>
      </c>
      <c r="L333" t="s">
        <v>5639</v>
      </c>
    </row>
    <row r="334" spans="1:12">
      <c r="A334">
        <v>333</v>
      </c>
      <c r="B334">
        <v>3</v>
      </c>
      <c r="C334" t="s">
        <v>6261</v>
      </c>
      <c r="D334">
        <v>4</v>
      </c>
      <c r="E334" t="s">
        <v>4376</v>
      </c>
      <c r="F334">
        <v>19</v>
      </c>
      <c r="G334" t="s">
        <v>4377</v>
      </c>
      <c r="H334">
        <v>14</v>
      </c>
      <c r="I334" t="s">
        <v>6325</v>
      </c>
      <c r="J334">
        <v>14</v>
      </c>
      <c r="K334" t="s">
        <v>6326</v>
      </c>
      <c r="L334" t="s">
        <v>5639</v>
      </c>
    </row>
    <row r="335" spans="1:12">
      <c r="A335">
        <v>334</v>
      </c>
      <c r="B335">
        <v>3</v>
      </c>
      <c r="C335" t="s">
        <v>6261</v>
      </c>
      <c r="D335">
        <v>4</v>
      </c>
      <c r="E335" t="s">
        <v>4376</v>
      </c>
      <c r="F335">
        <v>19</v>
      </c>
      <c r="G335" t="s">
        <v>4377</v>
      </c>
      <c r="H335">
        <v>15</v>
      </c>
      <c r="I335" t="s">
        <v>6327</v>
      </c>
      <c r="J335">
        <v>15</v>
      </c>
      <c r="K335" t="s">
        <v>6328</v>
      </c>
      <c r="L335" t="s">
        <v>6329</v>
      </c>
    </row>
    <row r="336" spans="1:12">
      <c r="A336">
        <v>335</v>
      </c>
      <c r="B336">
        <v>3</v>
      </c>
      <c r="C336" t="s">
        <v>6261</v>
      </c>
      <c r="D336">
        <v>4</v>
      </c>
      <c r="E336" t="s">
        <v>4376</v>
      </c>
      <c r="F336">
        <v>19</v>
      </c>
      <c r="G336" t="s">
        <v>4377</v>
      </c>
      <c r="H336">
        <v>16</v>
      </c>
      <c r="I336" t="s">
        <v>6330</v>
      </c>
      <c r="J336">
        <v>16</v>
      </c>
      <c r="K336" t="s">
        <v>6331</v>
      </c>
      <c r="L336" t="s">
        <v>5621</v>
      </c>
    </row>
    <row r="337" spans="1:12">
      <c r="A337">
        <v>336</v>
      </c>
      <c r="B337">
        <v>3</v>
      </c>
      <c r="C337" t="s">
        <v>6261</v>
      </c>
      <c r="D337">
        <v>4</v>
      </c>
      <c r="E337" t="s">
        <v>4376</v>
      </c>
      <c r="F337">
        <v>19</v>
      </c>
      <c r="G337" t="s">
        <v>4377</v>
      </c>
      <c r="H337">
        <v>17</v>
      </c>
      <c r="I337" t="s">
        <v>6332</v>
      </c>
      <c r="J337">
        <v>17</v>
      </c>
      <c r="K337" t="s">
        <v>6333</v>
      </c>
      <c r="L337" t="s">
        <v>5621</v>
      </c>
    </row>
    <row r="338" spans="1:12">
      <c r="A338">
        <v>337</v>
      </c>
      <c r="B338">
        <v>3</v>
      </c>
      <c r="C338" t="s">
        <v>6261</v>
      </c>
      <c r="D338">
        <v>4</v>
      </c>
      <c r="E338" t="s">
        <v>4376</v>
      </c>
      <c r="F338">
        <v>19</v>
      </c>
      <c r="G338" t="s">
        <v>4377</v>
      </c>
      <c r="H338">
        <v>18</v>
      </c>
      <c r="I338" t="s">
        <v>6334</v>
      </c>
      <c r="J338">
        <v>18</v>
      </c>
      <c r="K338" t="s">
        <v>6335</v>
      </c>
      <c r="L338" t="s">
        <v>5621</v>
      </c>
    </row>
    <row r="339" spans="1:12">
      <c r="A339">
        <v>338</v>
      </c>
      <c r="B339">
        <v>3</v>
      </c>
      <c r="C339" t="s">
        <v>6261</v>
      </c>
      <c r="D339">
        <v>4</v>
      </c>
      <c r="E339" t="s">
        <v>4376</v>
      </c>
      <c r="F339">
        <v>19</v>
      </c>
      <c r="G339" t="s">
        <v>4377</v>
      </c>
      <c r="H339">
        <v>19</v>
      </c>
      <c r="I339" t="s">
        <v>6336</v>
      </c>
      <c r="J339">
        <v>19</v>
      </c>
      <c r="K339" t="s">
        <v>5610</v>
      </c>
      <c r="L339" t="s">
        <v>5621</v>
      </c>
    </row>
    <row r="340" spans="1:12">
      <c r="A340">
        <v>339</v>
      </c>
      <c r="B340">
        <v>3</v>
      </c>
      <c r="C340" t="s">
        <v>6261</v>
      </c>
      <c r="D340">
        <v>4</v>
      </c>
      <c r="E340" t="s">
        <v>4376</v>
      </c>
      <c r="F340">
        <v>19</v>
      </c>
      <c r="G340" t="s">
        <v>4377</v>
      </c>
      <c r="H340">
        <v>20</v>
      </c>
      <c r="I340" t="s">
        <v>6337</v>
      </c>
      <c r="J340">
        <v>20</v>
      </c>
      <c r="K340" t="s">
        <v>6338</v>
      </c>
      <c r="L340" t="s">
        <v>5621</v>
      </c>
    </row>
    <row r="341" spans="1:12">
      <c r="A341">
        <v>340</v>
      </c>
      <c r="B341">
        <v>3</v>
      </c>
      <c r="C341" t="s">
        <v>6261</v>
      </c>
      <c r="D341">
        <v>3</v>
      </c>
      <c r="E341" t="s">
        <v>4378</v>
      </c>
      <c r="F341">
        <v>21</v>
      </c>
      <c r="G341" t="s">
        <v>4379</v>
      </c>
      <c r="H341">
        <v>1</v>
      </c>
      <c r="I341" t="s">
        <v>6339</v>
      </c>
      <c r="J341">
        <v>1</v>
      </c>
      <c r="K341" t="s">
        <v>6340</v>
      </c>
      <c r="L341" t="s">
        <v>6341</v>
      </c>
    </row>
    <row r="342" spans="1:12">
      <c r="A342">
        <v>341</v>
      </c>
      <c r="B342">
        <v>3</v>
      </c>
      <c r="C342" t="s">
        <v>6261</v>
      </c>
      <c r="D342">
        <v>3</v>
      </c>
      <c r="E342" t="s">
        <v>4378</v>
      </c>
      <c r="F342">
        <v>21</v>
      </c>
      <c r="G342" t="s">
        <v>4379</v>
      </c>
      <c r="H342">
        <v>2</v>
      </c>
      <c r="I342" t="s">
        <v>6342</v>
      </c>
      <c r="J342">
        <v>2</v>
      </c>
      <c r="K342" t="s">
        <v>6343</v>
      </c>
      <c r="L342" t="s">
        <v>6344</v>
      </c>
    </row>
    <row r="343" spans="1:12">
      <c r="A343">
        <v>342</v>
      </c>
      <c r="B343">
        <v>3</v>
      </c>
      <c r="C343" t="s">
        <v>6261</v>
      </c>
      <c r="D343">
        <v>3</v>
      </c>
      <c r="E343" t="s">
        <v>4378</v>
      </c>
      <c r="F343">
        <v>21</v>
      </c>
      <c r="G343" t="s">
        <v>4379</v>
      </c>
      <c r="H343">
        <v>3</v>
      </c>
      <c r="I343" t="s">
        <v>6345</v>
      </c>
      <c r="J343">
        <v>3</v>
      </c>
      <c r="K343" t="s">
        <v>6346</v>
      </c>
      <c r="L343" t="s">
        <v>5618</v>
      </c>
    </row>
    <row r="344" spans="1:12">
      <c r="A344">
        <v>343</v>
      </c>
      <c r="B344">
        <v>3</v>
      </c>
      <c r="C344" t="s">
        <v>6261</v>
      </c>
      <c r="D344">
        <v>3</v>
      </c>
      <c r="E344" t="s">
        <v>4378</v>
      </c>
      <c r="F344">
        <v>21</v>
      </c>
      <c r="G344" t="s">
        <v>4379</v>
      </c>
      <c r="H344">
        <v>4</v>
      </c>
      <c r="I344" t="s">
        <v>6347</v>
      </c>
      <c r="J344">
        <v>4</v>
      </c>
      <c r="K344" t="s">
        <v>6348</v>
      </c>
      <c r="L344" t="s">
        <v>5654</v>
      </c>
    </row>
    <row r="345" spans="1:12">
      <c r="A345">
        <v>344</v>
      </c>
      <c r="B345">
        <v>3</v>
      </c>
      <c r="C345" t="s">
        <v>6261</v>
      </c>
      <c r="D345">
        <v>3</v>
      </c>
      <c r="E345" t="s">
        <v>4378</v>
      </c>
      <c r="F345">
        <v>21</v>
      </c>
      <c r="G345" t="s">
        <v>4379</v>
      </c>
      <c r="H345">
        <v>5</v>
      </c>
      <c r="I345" t="s">
        <v>6349</v>
      </c>
      <c r="J345">
        <v>5</v>
      </c>
      <c r="K345" t="s">
        <v>6350</v>
      </c>
      <c r="L345" t="s">
        <v>5639</v>
      </c>
    </row>
    <row r="346" spans="1:12">
      <c r="A346">
        <v>345</v>
      </c>
      <c r="B346">
        <v>3</v>
      </c>
      <c r="C346" t="s">
        <v>6261</v>
      </c>
      <c r="D346">
        <v>3</v>
      </c>
      <c r="E346" t="s">
        <v>4378</v>
      </c>
      <c r="F346">
        <v>21</v>
      </c>
      <c r="G346" t="s">
        <v>4379</v>
      </c>
      <c r="H346">
        <v>6</v>
      </c>
      <c r="I346" t="s">
        <v>6351</v>
      </c>
      <c r="J346">
        <v>6</v>
      </c>
      <c r="K346" t="s">
        <v>6352</v>
      </c>
      <c r="L346" t="s">
        <v>5639</v>
      </c>
    </row>
    <row r="347" spans="1:12">
      <c r="A347">
        <v>346</v>
      </c>
      <c r="B347">
        <v>3</v>
      </c>
      <c r="C347" t="s">
        <v>6261</v>
      </c>
      <c r="D347">
        <v>3</v>
      </c>
      <c r="E347" t="s">
        <v>4378</v>
      </c>
      <c r="F347">
        <v>21</v>
      </c>
      <c r="G347" t="s">
        <v>4379</v>
      </c>
      <c r="H347">
        <v>7</v>
      </c>
      <c r="I347" t="s">
        <v>6353</v>
      </c>
      <c r="J347">
        <v>7</v>
      </c>
      <c r="K347" t="s">
        <v>6354</v>
      </c>
      <c r="L347" t="s">
        <v>5644</v>
      </c>
    </row>
    <row r="348" spans="1:12">
      <c r="A348">
        <v>347</v>
      </c>
      <c r="B348">
        <v>3</v>
      </c>
      <c r="C348" t="s">
        <v>6261</v>
      </c>
      <c r="D348">
        <v>3</v>
      </c>
      <c r="E348" t="s">
        <v>4378</v>
      </c>
      <c r="F348">
        <v>21</v>
      </c>
      <c r="G348" t="s">
        <v>4379</v>
      </c>
      <c r="H348">
        <v>8</v>
      </c>
      <c r="I348" t="s">
        <v>6355</v>
      </c>
      <c r="J348">
        <v>8</v>
      </c>
      <c r="K348" t="s">
        <v>6356</v>
      </c>
      <c r="L348" t="s">
        <v>6357</v>
      </c>
    </row>
    <row r="349" spans="1:12">
      <c r="A349">
        <v>348</v>
      </c>
      <c r="B349">
        <v>3</v>
      </c>
      <c r="C349" t="s">
        <v>6261</v>
      </c>
      <c r="D349">
        <v>3</v>
      </c>
      <c r="E349" t="s">
        <v>4378</v>
      </c>
      <c r="F349">
        <v>21</v>
      </c>
      <c r="G349" t="s">
        <v>4379</v>
      </c>
      <c r="H349">
        <v>9</v>
      </c>
      <c r="I349" t="s">
        <v>6358</v>
      </c>
      <c r="J349">
        <v>9</v>
      </c>
      <c r="K349" t="s">
        <v>6359</v>
      </c>
      <c r="L349" t="s">
        <v>5621</v>
      </c>
    </row>
    <row r="350" spans="1:12">
      <c r="A350">
        <v>349</v>
      </c>
      <c r="B350">
        <v>3</v>
      </c>
      <c r="C350" t="s">
        <v>6261</v>
      </c>
      <c r="D350">
        <v>3</v>
      </c>
      <c r="E350" t="s">
        <v>4378</v>
      </c>
      <c r="F350">
        <v>21</v>
      </c>
      <c r="G350" t="s">
        <v>4379</v>
      </c>
      <c r="H350">
        <v>10</v>
      </c>
      <c r="I350" t="s">
        <v>6360</v>
      </c>
      <c r="J350">
        <v>10</v>
      </c>
      <c r="K350" t="s">
        <v>6361</v>
      </c>
      <c r="L350" t="s">
        <v>5621</v>
      </c>
    </row>
    <row r="351" spans="1:12">
      <c r="A351">
        <v>350</v>
      </c>
      <c r="B351">
        <v>3</v>
      </c>
      <c r="C351" t="s">
        <v>6261</v>
      </c>
      <c r="D351">
        <v>3</v>
      </c>
      <c r="E351" t="s">
        <v>4378</v>
      </c>
      <c r="F351">
        <v>21</v>
      </c>
      <c r="G351" t="s">
        <v>4379</v>
      </c>
      <c r="H351">
        <v>11</v>
      </c>
      <c r="I351" t="s">
        <v>6362</v>
      </c>
      <c r="J351">
        <v>11</v>
      </c>
      <c r="K351" t="s">
        <v>6363</v>
      </c>
      <c r="L351" t="s">
        <v>5621</v>
      </c>
    </row>
    <row r="352" spans="1:12">
      <c r="A352">
        <v>351</v>
      </c>
      <c r="B352">
        <v>3</v>
      </c>
      <c r="C352" t="s">
        <v>6261</v>
      </c>
      <c r="D352">
        <v>5</v>
      </c>
      <c r="E352" t="s">
        <v>4380</v>
      </c>
      <c r="F352">
        <v>22</v>
      </c>
      <c r="G352" t="s">
        <v>6364</v>
      </c>
      <c r="H352">
        <v>1</v>
      </c>
      <c r="I352" t="s">
        <v>6365</v>
      </c>
      <c r="J352">
        <v>1</v>
      </c>
      <c r="K352" t="s">
        <v>6366</v>
      </c>
      <c r="L352" t="s">
        <v>6367</v>
      </c>
    </row>
    <row r="353" spans="1:12">
      <c r="A353">
        <v>352</v>
      </c>
      <c r="B353">
        <v>3</v>
      </c>
      <c r="C353" t="s">
        <v>6261</v>
      </c>
      <c r="D353">
        <v>5</v>
      </c>
      <c r="E353" t="s">
        <v>4380</v>
      </c>
      <c r="F353">
        <v>22</v>
      </c>
      <c r="G353" t="s">
        <v>6364</v>
      </c>
      <c r="H353">
        <v>2</v>
      </c>
      <c r="I353" t="s">
        <v>6368</v>
      </c>
      <c r="J353">
        <v>2</v>
      </c>
      <c r="K353" t="s">
        <v>6369</v>
      </c>
      <c r="L353" t="s">
        <v>5702</v>
      </c>
    </row>
    <row r="354" spans="1:12">
      <c r="A354">
        <v>353</v>
      </c>
      <c r="B354">
        <v>3</v>
      </c>
      <c r="C354" t="s">
        <v>6261</v>
      </c>
      <c r="D354">
        <v>5</v>
      </c>
      <c r="E354" t="s">
        <v>4380</v>
      </c>
      <c r="F354">
        <v>22</v>
      </c>
      <c r="G354" t="s">
        <v>6364</v>
      </c>
      <c r="H354">
        <v>3</v>
      </c>
      <c r="I354" t="s">
        <v>6370</v>
      </c>
      <c r="J354">
        <v>3</v>
      </c>
      <c r="K354" t="s">
        <v>6371</v>
      </c>
      <c r="L354" t="s">
        <v>5804</v>
      </c>
    </row>
    <row r="355" spans="1:12">
      <c r="A355">
        <v>354</v>
      </c>
      <c r="B355">
        <v>3</v>
      </c>
      <c r="C355" t="s">
        <v>6261</v>
      </c>
      <c r="D355">
        <v>5</v>
      </c>
      <c r="E355" t="s">
        <v>4380</v>
      </c>
      <c r="F355">
        <v>22</v>
      </c>
      <c r="G355" t="s">
        <v>6364</v>
      </c>
      <c r="H355">
        <v>4</v>
      </c>
      <c r="I355" t="s">
        <v>6372</v>
      </c>
      <c r="J355">
        <v>4</v>
      </c>
      <c r="K355" t="s">
        <v>6373</v>
      </c>
      <c r="L355" t="s">
        <v>5804</v>
      </c>
    </row>
    <row r="356" spans="1:12">
      <c r="A356">
        <v>355</v>
      </c>
      <c r="B356">
        <v>3</v>
      </c>
      <c r="C356" t="s">
        <v>6261</v>
      </c>
      <c r="D356">
        <v>5</v>
      </c>
      <c r="E356" t="s">
        <v>4380</v>
      </c>
      <c r="F356">
        <v>22</v>
      </c>
      <c r="G356" t="s">
        <v>6364</v>
      </c>
      <c r="H356">
        <v>5</v>
      </c>
      <c r="I356" t="s">
        <v>6374</v>
      </c>
      <c r="J356">
        <v>5</v>
      </c>
      <c r="K356" t="s">
        <v>6375</v>
      </c>
      <c r="L356" t="s">
        <v>5639</v>
      </c>
    </row>
    <row r="357" spans="1:12">
      <c r="A357">
        <v>356</v>
      </c>
      <c r="B357">
        <v>3</v>
      </c>
      <c r="C357" t="s">
        <v>6261</v>
      </c>
      <c r="D357">
        <v>5</v>
      </c>
      <c r="E357" t="s">
        <v>4380</v>
      </c>
      <c r="F357">
        <v>22</v>
      </c>
      <c r="G357" t="s">
        <v>6364</v>
      </c>
      <c r="H357">
        <v>6</v>
      </c>
      <c r="I357" t="s">
        <v>6376</v>
      </c>
      <c r="J357">
        <v>6</v>
      </c>
      <c r="K357" t="s">
        <v>6377</v>
      </c>
      <c r="L357" t="s">
        <v>5639</v>
      </c>
    </row>
    <row r="358" spans="1:12">
      <c r="A358">
        <v>357</v>
      </c>
      <c r="B358">
        <v>3</v>
      </c>
      <c r="C358" t="s">
        <v>6261</v>
      </c>
      <c r="D358">
        <v>5</v>
      </c>
      <c r="E358" t="s">
        <v>4380</v>
      </c>
      <c r="F358">
        <v>22</v>
      </c>
      <c r="G358" t="s">
        <v>6364</v>
      </c>
      <c r="H358">
        <v>7</v>
      </c>
      <c r="I358" t="s">
        <v>6378</v>
      </c>
      <c r="J358">
        <v>7</v>
      </c>
      <c r="K358" t="s">
        <v>6379</v>
      </c>
      <c r="L358" t="s">
        <v>5621</v>
      </c>
    </row>
    <row r="359" spans="1:12">
      <c r="A359">
        <v>358</v>
      </c>
      <c r="B359">
        <v>3</v>
      </c>
      <c r="C359" t="s">
        <v>6261</v>
      </c>
      <c r="D359">
        <v>2</v>
      </c>
      <c r="E359" t="s">
        <v>4381</v>
      </c>
      <c r="F359">
        <v>18</v>
      </c>
      <c r="G359" t="s">
        <v>4382</v>
      </c>
      <c r="H359">
        <v>1</v>
      </c>
      <c r="I359" t="s">
        <v>6380</v>
      </c>
      <c r="J359">
        <v>1</v>
      </c>
      <c r="K359" t="s">
        <v>6381</v>
      </c>
      <c r="L359" t="s">
        <v>6382</v>
      </c>
    </row>
    <row r="360" spans="1:12">
      <c r="A360">
        <v>359</v>
      </c>
      <c r="B360">
        <v>3</v>
      </c>
      <c r="C360" t="s">
        <v>6261</v>
      </c>
      <c r="D360">
        <v>2</v>
      </c>
      <c r="E360" t="s">
        <v>4381</v>
      </c>
      <c r="F360">
        <v>18</v>
      </c>
      <c r="G360" t="s">
        <v>4382</v>
      </c>
      <c r="H360">
        <v>2</v>
      </c>
      <c r="I360" t="s">
        <v>6383</v>
      </c>
      <c r="J360">
        <v>2</v>
      </c>
      <c r="K360" t="s">
        <v>6384</v>
      </c>
      <c r="L360" t="s">
        <v>6135</v>
      </c>
    </row>
    <row r="361" spans="1:12">
      <c r="A361">
        <v>360</v>
      </c>
      <c r="B361">
        <v>3</v>
      </c>
      <c r="C361" t="s">
        <v>6261</v>
      </c>
      <c r="D361">
        <v>2</v>
      </c>
      <c r="E361" t="s">
        <v>4381</v>
      </c>
      <c r="F361">
        <v>18</v>
      </c>
      <c r="G361" t="s">
        <v>4382</v>
      </c>
      <c r="H361">
        <v>3</v>
      </c>
      <c r="I361" t="s">
        <v>6385</v>
      </c>
      <c r="J361">
        <v>3</v>
      </c>
      <c r="K361" t="s">
        <v>6386</v>
      </c>
      <c r="L361" t="s">
        <v>6155</v>
      </c>
    </row>
    <row r="362" spans="1:12">
      <c r="A362">
        <v>361</v>
      </c>
      <c r="B362">
        <v>3</v>
      </c>
      <c r="C362" t="s">
        <v>6261</v>
      </c>
      <c r="D362">
        <v>2</v>
      </c>
      <c r="E362" t="s">
        <v>4381</v>
      </c>
      <c r="F362">
        <v>18</v>
      </c>
      <c r="G362" t="s">
        <v>4382</v>
      </c>
      <c r="H362">
        <v>4</v>
      </c>
      <c r="I362" t="s">
        <v>6387</v>
      </c>
      <c r="J362">
        <v>4</v>
      </c>
      <c r="K362" t="s">
        <v>6388</v>
      </c>
      <c r="L362" t="s">
        <v>6138</v>
      </c>
    </row>
    <row r="363" spans="1:12">
      <c r="A363">
        <v>362</v>
      </c>
      <c r="B363">
        <v>3</v>
      </c>
      <c r="C363" t="s">
        <v>6261</v>
      </c>
      <c r="D363">
        <v>2</v>
      </c>
      <c r="E363" t="s">
        <v>4381</v>
      </c>
      <c r="F363">
        <v>18</v>
      </c>
      <c r="G363" t="s">
        <v>4382</v>
      </c>
      <c r="H363">
        <v>5</v>
      </c>
      <c r="I363" t="s">
        <v>6389</v>
      </c>
      <c r="J363">
        <v>5</v>
      </c>
      <c r="K363" t="s">
        <v>6390</v>
      </c>
      <c r="L363" t="s">
        <v>6138</v>
      </c>
    </row>
    <row r="364" spans="1:12">
      <c r="A364">
        <v>363</v>
      </c>
      <c r="B364">
        <v>3</v>
      </c>
      <c r="C364" t="s">
        <v>6261</v>
      </c>
      <c r="D364">
        <v>2</v>
      </c>
      <c r="E364" t="s">
        <v>4381</v>
      </c>
      <c r="F364">
        <v>18</v>
      </c>
      <c r="G364" t="s">
        <v>4382</v>
      </c>
      <c r="H364">
        <v>6</v>
      </c>
      <c r="I364" t="s">
        <v>6391</v>
      </c>
      <c r="J364">
        <v>6</v>
      </c>
      <c r="K364" t="s">
        <v>6392</v>
      </c>
      <c r="L364" t="s">
        <v>5654</v>
      </c>
    </row>
    <row r="365" spans="1:12">
      <c r="A365">
        <v>364</v>
      </c>
      <c r="B365">
        <v>3</v>
      </c>
      <c r="C365" t="s">
        <v>6261</v>
      </c>
      <c r="D365">
        <v>2</v>
      </c>
      <c r="E365" t="s">
        <v>4381</v>
      </c>
      <c r="F365">
        <v>18</v>
      </c>
      <c r="G365" t="s">
        <v>4382</v>
      </c>
      <c r="H365">
        <v>7</v>
      </c>
      <c r="I365" t="s">
        <v>6393</v>
      </c>
      <c r="J365">
        <v>7</v>
      </c>
      <c r="K365" t="s">
        <v>6394</v>
      </c>
      <c r="L365" t="s">
        <v>5654</v>
      </c>
    </row>
    <row r="366" spans="1:12">
      <c r="A366">
        <v>365</v>
      </c>
      <c r="B366">
        <v>3</v>
      </c>
      <c r="C366" t="s">
        <v>6261</v>
      </c>
      <c r="D366">
        <v>2</v>
      </c>
      <c r="E366" t="s">
        <v>4381</v>
      </c>
      <c r="F366">
        <v>18</v>
      </c>
      <c r="G366" t="s">
        <v>4382</v>
      </c>
      <c r="H366">
        <v>8</v>
      </c>
      <c r="I366" t="s">
        <v>6395</v>
      </c>
      <c r="J366">
        <v>8</v>
      </c>
      <c r="K366" t="s">
        <v>6396</v>
      </c>
      <c r="L366" t="s">
        <v>5654</v>
      </c>
    </row>
    <row r="367" spans="1:12">
      <c r="A367">
        <v>366</v>
      </c>
      <c r="B367">
        <v>3</v>
      </c>
      <c r="C367" t="s">
        <v>6261</v>
      </c>
      <c r="D367">
        <v>2</v>
      </c>
      <c r="E367" t="s">
        <v>4381</v>
      </c>
      <c r="F367">
        <v>18</v>
      </c>
      <c r="G367" t="s">
        <v>4382</v>
      </c>
      <c r="H367">
        <v>9</v>
      </c>
      <c r="I367" t="s">
        <v>6397</v>
      </c>
      <c r="J367">
        <v>9</v>
      </c>
      <c r="K367" t="s">
        <v>6398</v>
      </c>
      <c r="L367" t="s">
        <v>5654</v>
      </c>
    </row>
    <row r="368" spans="1:12">
      <c r="A368">
        <v>367</v>
      </c>
      <c r="B368">
        <v>3</v>
      </c>
      <c r="C368" t="s">
        <v>6261</v>
      </c>
      <c r="D368">
        <v>2</v>
      </c>
      <c r="E368" t="s">
        <v>4381</v>
      </c>
      <c r="F368">
        <v>18</v>
      </c>
      <c r="G368" t="s">
        <v>4382</v>
      </c>
      <c r="H368">
        <v>10</v>
      </c>
      <c r="I368" t="s">
        <v>6399</v>
      </c>
      <c r="J368">
        <v>10</v>
      </c>
      <c r="K368" t="s">
        <v>6400</v>
      </c>
      <c r="L368" t="s">
        <v>5654</v>
      </c>
    </row>
    <row r="369" spans="1:12">
      <c r="A369">
        <v>368</v>
      </c>
      <c r="B369">
        <v>3</v>
      </c>
      <c r="C369" t="s">
        <v>6261</v>
      </c>
      <c r="D369">
        <v>2</v>
      </c>
      <c r="E369" t="s">
        <v>4381</v>
      </c>
      <c r="F369">
        <v>18</v>
      </c>
      <c r="G369" t="s">
        <v>4382</v>
      </c>
      <c r="H369">
        <v>11</v>
      </c>
      <c r="I369" t="s">
        <v>6401</v>
      </c>
      <c r="J369">
        <v>11</v>
      </c>
      <c r="K369" t="s">
        <v>6402</v>
      </c>
      <c r="L369" t="s">
        <v>5654</v>
      </c>
    </row>
    <row r="370" spans="1:12">
      <c r="A370">
        <v>369</v>
      </c>
      <c r="B370">
        <v>3</v>
      </c>
      <c r="C370" t="s">
        <v>6261</v>
      </c>
      <c r="D370">
        <v>2</v>
      </c>
      <c r="E370" t="s">
        <v>4381</v>
      </c>
      <c r="F370">
        <v>18</v>
      </c>
      <c r="G370" t="s">
        <v>4382</v>
      </c>
      <c r="H370">
        <v>12</v>
      </c>
      <c r="I370" t="s">
        <v>6403</v>
      </c>
      <c r="J370">
        <v>12</v>
      </c>
      <c r="K370" t="s">
        <v>6404</v>
      </c>
      <c r="L370" t="s">
        <v>6405</v>
      </c>
    </row>
    <row r="371" spans="1:12">
      <c r="A371">
        <v>370</v>
      </c>
      <c r="B371">
        <v>3</v>
      </c>
      <c r="C371" t="s">
        <v>6261</v>
      </c>
      <c r="D371">
        <v>2</v>
      </c>
      <c r="E371" t="s">
        <v>4381</v>
      </c>
      <c r="F371">
        <v>18</v>
      </c>
      <c r="G371" t="s">
        <v>4382</v>
      </c>
      <c r="H371">
        <v>13</v>
      </c>
      <c r="I371" t="s">
        <v>6406</v>
      </c>
      <c r="J371">
        <v>13</v>
      </c>
      <c r="K371" t="s">
        <v>6407</v>
      </c>
      <c r="L371" t="s">
        <v>6405</v>
      </c>
    </row>
    <row r="372" spans="1:12">
      <c r="A372">
        <v>371</v>
      </c>
      <c r="B372">
        <v>3</v>
      </c>
      <c r="C372" t="s">
        <v>6261</v>
      </c>
      <c r="D372">
        <v>2</v>
      </c>
      <c r="E372" t="s">
        <v>4381</v>
      </c>
      <c r="F372">
        <v>18</v>
      </c>
      <c r="G372" t="s">
        <v>4382</v>
      </c>
      <c r="H372">
        <v>14</v>
      </c>
      <c r="I372" t="s">
        <v>6408</v>
      </c>
      <c r="J372">
        <v>14</v>
      </c>
      <c r="K372" t="s">
        <v>6409</v>
      </c>
      <c r="L372" t="s">
        <v>6405</v>
      </c>
    </row>
    <row r="373" spans="1:12">
      <c r="A373">
        <v>372</v>
      </c>
      <c r="B373">
        <v>3</v>
      </c>
      <c r="C373" t="s">
        <v>6261</v>
      </c>
      <c r="D373">
        <v>2</v>
      </c>
      <c r="E373" t="s">
        <v>4381</v>
      </c>
      <c r="F373">
        <v>18</v>
      </c>
      <c r="G373" t="s">
        <v>4382</v>
      </c>
      <c r="H373">
        <v>15</v>
      </c>
      <c r="I373" t="s">
        <v>6410</v>
      </c>
      <c r="J373">
        <v>15</v>
      </c>
      <c r="K373" t="s">
        <v>6411</v>
      </c>
      <c r="L373" t="s">
        <v>6344</v>
      </c>
    </row>
    <row r="374" spans="1:12">
      <c r="A374">
        <v>373</v>
      </c>
      <c r="B374">
        <v>3</v>
      </c>
      <c r="C374" t="s">
        <v>6261</v>
      </c>
      <c r="D374">
        <v>2</v>
      </c>
      <c r="E374" t="s">
        <v>4381</v>
      </c>
      <c r="F374">
        <v>18</v>
      </c>
      <c r="G374" t="s">
        <v>4382</v>
      </c>
      <c r="H374">
        <v>16</v>
      </c>
      <c r="I374" t="s">
        <v>6412</v>
      </c>
      <c r="J374">
        <v>16</v>
      </c>
      <c r="K374" t="s">
        <v>6413</v>
      </c>
      <c r="L374" t="s">
        <v>6414</v>
      </c>
    </row>
    <row r="375" spans="1:12">
      <c r="A375">
        <v>374</v>
      </c>
      <c r="B375">
        <v>3</v>
      </c>
      <c r="C375" t="s">
        <v>6261</v>
      </c>
      <c r="D375">
        <v>2</v>
      </c>
      <c r="E375" t="s">
        <v>4381</v>
      </c>
      <c r="F375">
        <v>18</v>
      </c>
      <c r="G375" t="s">
        <v>4382</v>
      </c>
      <c r="H375">
        <v>17</v>
      </c>
      <c r="I375" t="s">
        <v>6415</v>
      </c>
      <c r="J375">
        <v>17</v>
      </c>
      <c r="K375" t="s">
        <v>6416</v>
      </c>
      <c r="L375" t="s">
        <v>6417</v>
      </c>
    </row>
    <row r="376" spans="1:12">
      <c r="A376">
        <v>375</v>
      </c>
      <c r="B376">
        <v>3</v>
      </c>
      <c r="C376" t="s">
        <v>6261</v>
      </c>
      <c r="D376">
        <v>2</v>
      </c>
      <c r="E376" t="s">
        <v>4381</v>
      </c>
      <c r="F376">
        <v>18</v>
      </c>
      <c r="G376" t="s">
        <v>4382</v>
      </c>
      <c r="H376">
        <v>18</v>
      </c>
      <c r="I376" t="s">
        <v>6418</v>
      </c>
      <c r="J376">
        <v>18</v>
      </c>
      <c r="K376" t="s">
        <v>6419</v>
      </c>
      <c r="L376" t="s">
        <v>5965</v>
      </c>
    </row>
    <row r="377" spans="1:12">
      <c r="A377">
        <v>376</v>
      </c>
      <c r="B377">
        <v>3</v>
      </c>
      <c r="C377" t="s">
        <v>6261</v>
      </c>
      <c r="D377">
        <v>2</v>
      </c>
      <c r="E377" t="s">
        <v>4381</v>
      </c>
      <c r="F377">
        <v>18</v>
      </c>
      <c r="G377" t="s">
        <v>4382</v>
      </c>
      <c r="H377">
        <v>19</v>
      </c>
      <c r="I377" t="s">
        <v>6420</v>
      </c>
      <c r="J377">
        <v>19</v>
      </c>
      <c r="K377" t="s">
        <v>6421</v>
      </c>
      <c r="L377" t="s">
        <v>5965</v>
      </c>
    </row>
    <row r="378" spans="1:12">
      <c r="A378">
        <v>377</v>
      </c>
      <c r="B378">
        <v>3</v>
      </c>
      <c r="C378" t="s">
        <v>6261</v>
      </c>
      <c r="D378">
        <v>2</v>
      </c>
      <c r="E378" t="s">
        <v>4381</v>
      </c>
      <c r="F378">
        <v>18</v>
      </c>
      <c r="G378" t="s">
        <v>4382</v>
      </c>
      <c r="H378">
        <v>20</v>
      </c>
      <c r="I378" t="s">
        <v>6422</v>
      </c>
      <c r="J378">
        <v>20</v>
      </c>
      <c r="K378" t="s">
        <v>6423</v>
      </c>
      <c r="L378" t="s">
        <v>5965</v>
      </c>
    </row>
    <row r="379" spans="1:12">
      <c r="A379">
        <v>378</v>
      </c>
      <c r="B379">
        <v>3</v>
      </c>
      <c r="C379" t="s">
        <v>6261</v>
      </c>
      <c r="D379">
        <v>2</v>
      </c>
      <c r="E379" t="s">
        <v>4381</v>
      </c>
      <c r="F379">
        <v>18</v>
      </c>
      <c r="G379" t="s">
        <v>4382</v>
      </c>
      <c r="H379">
        <v>21</v>
      </c>
      <c r="I379" t="s">
        <v>6424</v>
      </c>
      <c r="J379">
        <v>21</v>
      </c>
      <c r="K379" t="s">
        <v>6425</v>
      </c>
      <c r="L379" t="s">
        <v>5702</v>
      </c>
    </row>
    <row r="380" spans="1:12">
      <c r="A380">
        <v>379</v>
      </c>
      <c r="B380">
        <v>3</v>
      </c>
      <c r="C380" t="s">
        <v>6261</v>
      </c>
      <c r="D380">
        <v>2</v>
      </c>
      <c r="E380" t="s">
        <v>4381</v>
      </c>
      <c r="F380">
        <v>18</v>
      </c>
      <c r="G380" t="s">
        <v>4382</v>
      </c>
      <c r="H380">
        <v>22</v>
      </c>
      <c r="I380" t="s">
        <v>6426</v>
      </c>
      <c r="J380">
        <v>22</v>
      </c>
      <c r="K380" t="s">
        <v>6427</v>
      </c>
      <c r="L380" t="s">
        <v>5702</v>
      </c>
    </row>
    <row r="381" spans="1:12">
      <c r="A381">
        <v>380</v>
      </c>
      <c r="B381">
        <v>3</v>
      </c>
      <c r="C381" t="s">
        <v>6261</v>
      </c>
      <c r="D381">
        <v>2</v>
      </c>
      <c r="E381" t="s">
        <v>4381</v>
      </c>
      <c r="F381">
        <v>18</v>
      </c>
      <c r="G381" t="s">
        <v>4382</v>
      </c>
      <c r="H381">
        <v>23</v>
      </c>
      <c r="I381" t="s">
        <v>6428</v>
      </c>
      <c r="J381">
        <v>23</v>
      </c>
      <c r="K381" t="s">
        <v>6429</v>
      </c>
      <c r="L381" t="s">
        <v>5702</v>
      </c>
    </row>
    <row r="382" spans="1:12">
      <c r="A382">
        <v>381</v>
      </c>
      <c r="B382">
        <v>3</v>
      </c>
      <c r="C382" t="s">
        <v>6261</v>
      </c>
      <c r="D382">
        <v>2</v>
      </c>
      <c r="E382" t="s">
        <v>4381</v>
      </c>
      <c r="F382">
        <v>18</v>
      </c>
      <c r="G382" t="s">
        <v>4382</v>
      </c>
      <c r="H382">
        <v>24</v>
      </c>
      <c r="I382" t="s">
        <v>6430</v>
      </c>
      <c r="J382">
        <v>24</v>
      </c>
      <c r="K382" t="s">
        <v>6431</v>
      </c>
      <c r="L382" t="s">
        <v>6432</v>
      </c>
    </row>
    <row r="383" spans="1:12">
      <c r="A383">
        <v>382</v>
      </c>
      <c r="B383">
        <v>3</v>
      </c>
      <c r="C383" t="s">
        <v>6261</v>
      </c>
      <c r="D383">
        <v>2</v>
      </c>
      <c r="E383" t="s">
        <v>4381</v>
      </c>
      <c r="F383">
        <v>18</v>
      </c>
      <c r="G383" t="s">
        <v>4382</v>
      </c>
      <c r="H383">
        <v>25</v>
      </c>
      <c r="I383" t="s">
        <v>6433</v>
      </c>
      <c r="J383">
        <v>25</v>
      </c>
      <c r="K383" t="s">
        <v>6434</v>
      </c>
      <c r="L383" t="s">
        <v>6432</v>
      </c>
    </row>
    <row r="384" spans="1:12">
      <c r="A384">
        <v>383</v>
      </c>
      <c r="B384">
        <v>3</v>
      </c>
      <c r="C384" t="s">
        <v>6261</v>
      </c>
      <c r="D384">
        <v>2</v>
      </c>
      <c r="E384" t="s">
        <v>4381</v>
      </c>
      <c r="F384">
        <v>18</v>
      </c>
      <c r="G384" t="s">
        <v>4382</v>
      </c>
      <c r="H384">
        <v>26</v>
      </c>
      <c r="I384" t="s">
        <v>6435</v>
      </c>
      <c r="J384">
        <v>26</v>
      </c>
      <c r="K384" t="s">
        <v>6436</v>
      </c>
      <c r="L384" t="s">
        <v>6432</v>
      </c>
    </row>
    <row r="385" spans="1:12">
      <c r="A385">
        <v>384</v>
      </c>
      <c r="B385">
        <v>3</v>
      </c>
      <c r="C385" t="s">
        <v>6261</v>
      </c>
      <c r="D385">
        <v>2</v>
      </c>
      <c r="E385" t="s">
        <v>4381</v>
      </c>
      <c r="F385">
        <v>18</v>
      </c>
      <c r="G385" t="s">
        <v>4382</v>
      </c>
      <c r="H385">
        <v>27</v>
      </c>
      <c r="I385" t="s">
        <v>6437</v>
      </c>
      <c r="J385">
        <v>27</v>
      </c>
      <c r="K385" t="s">
        <v>6438</v>
      </c>
      <c r="L385" t="s">
        <v>6432</v>
      </c>
    </row>
    <row r="386" spans="1:12">
      <c r="A386">
        <v>385</v>
      </c>
      <c r="B386">
        <v>3</v>
      </c>
      <c r="C386" t="s">
        <v>6261</v>
      </c>
      <c r="D386">
        <v>2</v>
      </c>
      <c r="E386" t="s">
        <v>4381</v>
      </c>
      <c r="F386">
        <v>18</v>
      </c>
      <c r="G386" t="s">
        <v>4382</v>
      </c>
      <c r="H386">
        <v>28</v>
      </c>
      <c r="I386" t="s">
        <v>6439</v>
      </c>
      <c r="J386">
        <v>28</v>
      </c>
      <c r="K386" t="s">
        <v>6440</v>
      </c>
      <c r="L386" t="s">
        <v>6432</v>
      </c>
    </row>
    <row r="387" spans="1:12">
      <c r="A387">
        <v>386</v>
      </c>
      <c r="B387">
        <v>3</v>
      </c>
      <c r="C387" t="s">
        <v>6261</v>
      </c>
      <c r="D387">
        <v>2</v>
      </c>
      <c r="E387" t="s">
        <v>4381</v>
      </c>
      <c r="F387">
        <v>18</v>
      </c>
      <c r="G387" t="s">
        <v>4382</v>
      </c>
      <c r="H387">
        <v>29</v>
      </c>
      <c r="I387" t="s">
        <v>6441</v>
      </c>
      <c r="J387">
        <v>29</v>
      </c>
      <c r="K387" t="s">
        <v>6442</v>
      </c>
      <c r="L387" t="s">
        <v>6432</v>
      </c>
    </row>
    <row r="388" spans="1:12">
      <c r="A388">
        <v>387</v>
      </c>
      <c r="B388">
        <v>3</v>
      </c>
      <c r="C388" t="s">
        <v>6261</v>
      </c>
      <c r="D388">
        <v>2</v>
      </c>
      <c r="E388" t="s">
        <v>4381</v>
      </c>
      <c r="F388">
        <v>18</v>
      </c>
      <c r="G388" t="s">
        <v>4382</v>
      </c>
      <c r="H388">
        <v>30</v>
      </c>
      <c r="I388" t="s">
        <v>6443</v>
      </c>
      <c r="J388">
        <v>30</v>
      </c>
      <c r="K388" t="s">
        <v>6444</v>
      </c>
      <c r="L388" t="s">
        <v>6432</v>
      </c>
    </row>
    <row r="389" spans="1:12">
      <c r="A389">
        <v>388</v>
      </c>
      <c r="B389">
        <v>3</v>
      </c>
      <c r="C389" t="s">
        <v>6261</v>
      </c>
      <c r="D389">
        <v>2</v>
      </c>
      <c r="E389" t="s">
        <v>4381</v>
      </c>
      <c r="F389">
        <v>18</v>
      </c>
      <c r="G389" t="s">
        <v>4382</v>
      </c>
      <c r="H389">
        <v>31</v>
      </c>
      <c r="I389" t="s">
        <v>6445</v>
      </c>
      <c r="J389">
        <v>31</v>
      </c>
      <c r="K389" t="s">
        <v>6446</v>
      </c>
      <c r="L389" t="s">
        <v>6432</v>
      </c>
    </row>
    <row r="390" spans="1:12">
      <c r="A390">
        <v>389</v>
      </c>
      <c r="B390">
        <v>3</v>
      </c>
      <c r="C390" t="s">
        <v>6261</v>
      </c>
      <c r="D390">
        <v>2</v>
      </c>
      <c r="E390" t="s">
        <v>4381</v>
      </c>
      <c r="F390">
        <v>18</v>
      </c>
      <c r="G390" t="s">
        <v>4382</v>
      </c>
      <c r="H390">
        <v>32</v>
      </c>
      <c r="I390" t="s">
        <v>6447</v>
      </c>
      <c r="J390">
        <v>32</v>
      </c>
      <c r="K390" t="s">
        <v>6448</v>
      </c>
      <c r="L390" t="s">
        <v>6432</v>
      </c>
    </row>
    <row r="391" spans="1:12">
      <c r="A391">
        <v>390</v>
      </c>
      <c r="B391">
        <v>3</v>
      </c>
      <c r="C391" t="s">
        <v>6261</v>
      </c>
      <c r="D391">
        <v>2</v>
      </c>
      <c r="E391" t="s">
        <v>4381</v>
      </c>
      <c r="F391">
        <v>18</v>
      </c>
      <c r="G391" t="s">
        <v>4382</v>
      </c>
      <c r="H391">
        <v>33</v>
      </c>
      <c r="I391" t="s">
        <v>6449</v>
      </c>
      <c r="J391">
        <v>33</v>
      </c>
      <c r="K391" t="s">
        <v>6450</v>
      </c>
      <c r="L391" t="s">
        <v>6432</v>
      </c>
    </row>
    <row r="392" spans="1:12">
      <c r="A392">
        <v>391</v>
      </c>
      <c r="B392">
        <v>3</v>
      </c>
      <c r="C392" t="s">
        <v>6261</v>
      </c>
      <c r="D392">
        <v>2</v>
      </c>
      <c r="E392" t="s">
        <v>4381</v>
      </c>
      <c r="F392">
        <v>18</v>
      </c>
      <c r="G392" t="s">
        <v>4382</v>
      </c>
      <c r="H392">
        <v>34</v>
      </c>
      <c r="I392" t="s">
        <v>6451</v>
      </c>
      <c r="J392">
        <v>34</v>
      </c>
      <c r="K392" t="s">
        <v>6452</v>
      </c>
      <c r="L392" t="s">
        <v>6432</v>
      </c>
    </row>
    <row r="393" spans="1:12">
      <c r="A393">
        <v>392</v>
      </c>
      <c r="B393">
        <v>3</v>
      </c>
      <c r="C393" t="s">
        <v>6261</v>
      </c>
      <c r="D393">
        <v>2</v>
      </c>
      <c r="E393" t="s">
        <v>4381</v>
      </c>
      <c r="F393">
        <v>18</v>
      </c>
      <c r="G393" t="s">
        <v>4382</v>
      </c>
      <c r="H393">
        <v>35</v>
      </c>
      <c r="I393" t="s">
        <v>6453</v>
      </c>
      <c r="J393">
        <v>35</v>
      </c>
      <c r="K393" t="s">
        <v>6454</v>
      </c>
      <c r="L393" t="s">
        <v>6432</v>
      </c>
    </row>
    <row r="394" spans="1:12">
      <c r="A394">
        <v>393</v>
      </c>
      <c r="B394">
        <v>3</v>
      </c>
      <c r="C394" t="s">
        <v>6261</v>
      </c>
      <c r="D394">
        <v>2</v>
      </c>
      <c r="E394" t="s">
        <v>4381</v>
      </c>
      <c r="F394">
        <v>18</v>
      </c>
      <c r="G394" t="s">
        <v>4382</v>
      </c>
      <c r="H394">
        <v>36</v>
      </c>
      <c r="I394" t="s">
        <v>6455</v>
      </c>
      <c r="J394">
        <v>36</v>
      </c>
      <c r="K394" t="s">
        <v>6456</v>
      </c>
      <c r="L394" t="s">
        <v>6432</v>
      </c>
    </row>
    <row r="395" spans="1:12">
      <c r="A395">
        <v>394</v>
      </c>
      <c r="B395">
        <v>3</v>
      </c>
      <c r="C395" t="s">
        <v>6261</v>
      </c>
      <c r="D395">
        <v>2</v>
      </c>
      <c r="E395" t="s">
        <v>4381</v>
      </c>
      <c r="F395">
        <v>18</v>
      </c>
      <c r="G395" t="s">
        <v>4382</v>
      </c>
      <c r="H395">
        <v>37</v>
      </c>
      <c r="I395" t="s">
        <v>6457</v>
      </c>
      <c r="J395">
        <v>37</v>
      </c>
      <c r="K395" t="s">
        <v>6458</v>
      </c>
      <c r="L395" t="s">
        <v>6432</v>
      </c>
    </row>
    <row r="396" spans="1:12">
      <c r="A396">
        <v>395</v>
      </c>
      <c r="B396">
        <v>3</v>
      </c>
      <c r="C396" t="s">
        <v>6261</v>
      </c>
      <c r="D396">
        <v>2</v>
      </c>
      <c r="E396" t="s">
        <v>4381</v>
      </c>
      <c r="F396">
        <v>18</v>
      </c>
      <c r="G396" t="s">
        <v>4382</v>
      </c>
      <c r="H396">
        <v>38</v>
      </c>
      <c r="I396" t="s">
        <v>6459</v>
      </c>
      <c r="J396">
        <v>38</v>
      </c>
      <c r="K396" t="s">
        <v>6460</v>
      </c>
      <c r="L396" t="s">
        <v>6461</v>
      </c>
    </row>
    <row r="397" spans="1:12">
      <c r="A397">
        <v>396</v>
      </c>
      <c r="B397">
        <v>3</v>
      </c>
      <c r="C397" t="s">
        <v>6261</v>
      </c>
      <c r="D397">
        <v>2</v>
      </c>
      <c r="E397" t="s">
        <v>4381</v>
      </c>
      <c r="F397">
        <v>18</v>
      </c>
      <c r="G397" t="s">
        <v>4382</v>
      </c>
      <c r="H397">
        <v>39</v>
      </c>
      <c r="I397" t="s">
        <v>6462</v>
      </c>
      <c r="J397">
        <v>39</v>
      </c>
      <c r="K397" t="s">
        <v>6463</v>
      </c>
      <c r="L397" t="s">
        <v>5804</v>
      </c>
    </row>
    <row r="398" spans="1:12">
      <c r="A398">
        <v>397</v>
      </c>
      <c r="B398">
        <v>3</v>
      </c>
      <c r="C398" t="s">
        <v>6261</v>
      </c>
      <c r="D398">
        <v>2</v>
      </c>
      <c r="E398" t="s">
        <v>4381</v>
      </c>
      <c r="F398">
        <v>18</v>
      </c>
      <c r="G398" t="s">
        <v>4382</v>
      </c>
      <c r="H398">
        <v>40</v>
      </c>
      <c r="I398" t="s">
        <v>6464</v>
      </c>
      <c r="J398">
        <v>40</v>
      </c>
      <c r="K398" t="s">
        <v>6465</v>
      </c>
      <c r="L398" t="s">
        <v>5644</v>
      </c>
    </row>
    <row r="399" spans="1:12">
      <c r="A399">
        <v>398</v>
      </c>
      <c r="B399">
        <v>3</v>
      </c>
      <c r="C399" t="s">
        <v>6261</v>
      </c>
      <c r="D399">
        <v>2</v>
      </c>
      <c r="E399" t="s">
        <v>4381</v>
      </c>
      <c r="F399">
        <v>18</v>
      </c>
      <c r="G399" t="s">
        <v>4382</v>
      </c>
      <c r="H399">
        <v>41</v>
      </c>
      <c r="I399" t="s">
        <v>6466</v>
      </c>
      <c r="J399">
        <v>41</v>
      </c>
      <c r="K399" t="s">
        <v>6467</v>
      </c>
      <c r="L399" t="s">
        <v>5644</v>
      </c>
    </row>
    <row r="400" spans="1:12">
      <c r="A400">
        <v>399</v>
      </c>
      <c r="B400">
        <v>3</v>
      </c>
      <c r="C400" t="s">
        <v>6261</v>
      </c>
      <c r="D400">
        <v>2</v>
      </c>
      <c r="E400" t="s">
        <v>4381</v>
      </c>
      <c r="F400">
        <v>18</v>
      </c>
      <c r="G400" t="s">
        <v>4382</v>
      </c>
      <c r="H400">
        <v>42</v>
      </c>
      <c r="I400" t="s">
        <v>6468</v>
      </c>
      <c r="J400">
        <v>42</v>
      </c>
      <c r="K400" t="s">
        <v>6469</v>
      </c>
      <c r="L400" t="s">
        <v>5644</v>
      </c>
    </row>
    <row r="401" spans="1:12">
      <c r="A401">
        <v>400</v>
      </c>
      <c r="B401">
        <v>3</v>
      </c>
      <c r="C401" t="s">
        <v>6261</v>
      </c>
      <c r="D401">
        <v>2</v>
      </c>
      <c r="E401" t="s">
        <v>4381</v>
      </c>
      <c r="F401">
        <v>18</v>
      </c>
      <c r="G401" t="s">
        <v>4382</v>
      </c>
      <c r="H401">
        <v>43</v>
      </c>
      <c r="I401" t="s">
        <v>6470</v>
      </c>
      <c r="J401">
        <v>43</v>
      </c>
      <c r="K401" t="s">
        <v>6471</v>
      </c>
      <c r="L401" t="s">
        <v>5644</v>
      </c>
    </row>
    <row r="402" spans="1:12">
      <c r="A402">
        <v>401</v>
      </c>
      <c r="B402">
        <v>3</v>
      </c>
      <c r="C402" t="s">
        <v>6261</v>
      </c>
      <c r="D402">
        <v>2</v>
      </c>
      <c r="E402" t="s">
        <v>4381</v>
      </c>
      <c r="F402">
        <v>18</v>
      </c>
      <c r="G402" t="s">
        <v>4382</v>
      </c>
      <c r="H402">
        <v>44</v>
      </c>
      <c r="I402" t="s">
        <v>6472</v>
      </c>
      <c r="J402">
        <v>44</v>
      </c>
      <c r="K402" t="s">
        <v>6473</v>
      </c>
      <c r="L402" t="s">
        <v>6474</v>
      </c>
    </row>
    <row r="403" spans="1:12">
      <c r="A403">
        <v>402</v>
      </c>
      <c r="B403">
        <v>3</v>
      </c>
      <c r="C403" t="s">
        <v>6261</v>
      </c>
      <c r="D403">
        <v>2</v>
      </c>
      <c r="E403" t="s">
        <v>4381</v>
      </c>
      <c r="F403">
        <v>18</v>
      </c>
      <c r="G403" t="s">
        <v>4382</v>
      </c>
      <c r="H403">
        <v>45</v>
      </c>
      <c r="I403" t="s">
        <v>6475</v>
      </c>
      <c r="J403">
        <v>45</v>
      </c>
      <c r="K403" t="s">
        <v>6476</v>
      </c>
      <c r="L403" t="s">
        <v>6477</v>
      </c>
    </row>
    <row r="404" spans="1:12">
      <c r="A404">
        <v>403</v>
      </c>
      <c r="B404">
        <v>3</v>
      </c>
      <c r="C404" t="s">
        <v>6261</v>
      </c>
      <c r="D404">
        <v>2</v>
      </c>
      <c r="E404" t="s">
        <v>4381</v>
      </c>
      <c r="F404">
        <v>18</v>
      </c>
      <c r="G404" t="s">
        <v>4382</v>
      </c>
      <c r="H404">
        <v>46</v>
      </c>
      <c r="I404" t="s">
        <v>6478</v>
      </c>
      <c r="J404">
        <v>46</v>
      </c>
      <c r="K404" t="s">
        <v>6186</v>
      </c>
      <c r="L404" t="s">
        <v>6477</v>
      </c>
    </row>
    <row r="405" spans="1:12">
      <c r="A405">
        <v>404</v>
      </c>
      <c r="B405">
        <v>3</v>
      </c>
      <c r="C405" t="s">
        <v>6261</v>
      </c>
      <c r="D405">
        <v>2</v>
      </c>
      <c r="E405" t="s">
        <v>4381</v>
      </c>
      <c r="F405">
        <v>18</v>
      </c>
      <c r="G405" t="s">
        <v>4382</v>
      </c>
      <c r="H405">
        <v>47</v>
      </c>
      <c r="I405" t="s">
        <v>6479</v>
      </c>
      <c r="J405">
        <v>47</v>
      </c>
      <c r="K405" t="s">
        <v>6480</v>
      </c>
      <c r="L405" t="s">
        <v>5621</v>
      </c>
    </row>
    <row r="406" spans="1:12">
      <c r="A406">
        <v>405</v>
      </c>
      <c r="B406">
        <v>3</v>
      </c>
      <c r="C406" t="s">
        <v>6261</v>
      </c>
      <c r="D406">
        <v>2</v>
      </c>
      <c r="E406" t="s">
        <v>4381</v>
      </c>
      <c r="F406">
        <v>18</v>
      </c>
      <c r="G406" t="s">
        <v>4382</v>
      </c>
      <c r="H406">
        <v>48</v>
      </c>
      <c r="I406" t="s">
        <v>6481</v>
      </c>
      <c r="J406">
        <v>48</v>
      </c>
      <c r="K406" t="s">
        <v>6482</v>
      </c>
      <c r="L406" t="s">
        <v>5621</v>
      </c>
    </row>
    <row r="407" spans="1:12">
      <c r="A407">
        <v>406</v>
      </c>
      <c r="B407">
        <v>3</v>
      </c>
      <c r="C407" t="s">
        <v>6261</v>
      </c>
      <c r="D407">
        <v>97</v>
      </c>
      <c r="E407" t="s">
        <v>6483</v>
      </c>
      <c r="F407">
        <v>23</v>
      </c>
      <c r="G407" t="s">
        <v>6484</v>
      </c>
      <c r="H407">
        <v>99</v>
      </c>
      <c r="I407" t="s">
        <v>6485</v>
      </c>
      <c r="J407">
        <v>99</v>
      </c>
      <c r="K407" t="s">
        <v>6486</v>
      </c>
    </row>
    <row r="408" spans="1:12" hidden="1">
      <c r="A408">
        <v>407</v>
      </c>
      <c r="B408">
        <v>2</v>
      </c>
      <c r="C408" t="s">
        <v>4339</v>
      </c>
      <c r="D408">
        <v>98</v>
      </c>
      <c r="E408" t="s">
        <v>6487</v>
      </c>
      <c r="F408">
        <v>24</v>
      </c>
      <c r="G408" t="s">
        <v>6488</v>
      </c>
      <c r="H408">
        <v>99</v>
      </c>
      <c r="I408" t="s">
        <v>6489</v>
      </c>
      <c r="J408">
        <v>99</v>
      </c>
      <c r="K408" t="s">
        <v>6486</v>
      </c>
    </row>
    <row r="409" spans="1:12" hidden="1">
      <c r="A409">
        <v>408</v>
      </c>
      <c r="B409">
        <v>2</v>
      </c>
      <c r="C409" t="s">
        <v>4339</v>
      </c>
      <c r="D409">
        <v>6</v>
      </c>
      <c r="E409" t="s">
        <v>4340</v>
      </c>
      <c r="F409">
        <v>9</v>
      </c>
      <c r="G409" t="s">
        <v>4341</v>
      </c>
      <c r="H409">
        <v>99</v>
      </c>
      <c r="I409" t="s">
        <v>6490</v>
      </c>
      <c r="J409">
        <v>99</v>
      </c>
      <c r="K409" t="s">
        <v>6486</v>
      </c>
    </row>
    <row r="410" spans="1:12" hidden="1">
      <c r="A410">
        <v>409</v>
      </c>
      <c r="B410">
        <v>2</v>
      </c>
      <c r="C410" t="s">
        <v>4339</v>
      </c>
      <c r="D410">
        <v>7</v>
      </c>
      <c r="E410" t="s">
        <v>4342</v>
      </c>
      <c r="F410">
        <v>10</v>
      </c>
      <c r="G410" t="s">
        <v>4343</v>
      </c>
      <c r="H410">
        <v>99</v>
      </c>
      <c r="I410" t="s">
        <v>6491</v>
      </c>
      <c r="J410">
        <v>99</v>
      </c>
      <c r="K410" t="s">
        <v>6486</v>
      </c>
    </row>
    <row r="411" spans="1:12" hidden="1">
      <c r="A411">
        <v>410</v>
      </c>
      <c r="B411">
        <v>2</v>
      </c>
      <c r="C411" t="s">
        <v>4339</v>
      </c>
      <c r="D411">
        <v>12</v>
      </c>
      <c r="E411" t="s">
        <v>4344</v>
      </c>
      <c r="F411">
        <v>15</v>
      </c>
      <c r="G411" t="s">
        <v>4345</v>
      </c>
      <c r="H411">
        <v>99</v>
      </c>
      <c r="I411" t="s">
        <v>6492</v>
      </c>
      <c r="J411">
        <v>99</v>
      </c>
      <c r="K411" t="s">
        <v>6486</v>
      </c>
    </row>
    <row r="412" spans="1:12" hidden="1">
      <c r="A412">
        <v>411</v>
      </c>
      <c r="B412">
        <v>2</v>
      </c>
      <c r="C412" t="s">
        <v>4339</v>
      </c>
      <c r="D412">
        <v>9</v>
      </c>
      <c r="E412" t="s">
        <v>4346</v>
      </c>
      <c r="F412">
        <v>12</v>
      </c>
      <c r="G412" t="s">
        <v>4347</v>
      </c>
      <c r="H412">
        <v>99</v>
      </c>
      <c r="I412" t="s">
        <v>6493</v>
      </c>
      <c r="J412">
        <v>99</v>
      </c>
      <c r="K412" t="s">
        <v>6486</v>
      </c>
    </row>
    <row r="413" spans="1:12" hidden="1">
      <c r="A413">
        <v>412</v>
      </c>
      <c r="B413">
        <v>2</v>
      </c>
      <c r="C413" t="s">
        <v>4339</v>
      </c>
      <c r="D413">
        <v>11</v>
      </c>
      <c r="E413" t="s">
        <v>4348</v>
      </c>
      <c r="F413">
        <v>14</v>
      </c>
      <c r="G413" t="s">
        <v>4349</v>
      </c>
      <c r="H413">
        <v>99</v>
      </c>
      <c r="I413" t="s">
        <v>6494</v>
      </c>
      <c r="J413">
        <v>99</v>
      </c>
      <c r="K413" t="s">
        <v>6486</v>
      </c>
    </row>
    <row r="414" spans="1:12" hidden="1">
      <c r="A414">
        <v>413</v>
      </c>
      <c r="B414">
        <v>2</v>
      </c>
      <c r="C414" t="s">
        <v>4339</v>
      </c>
      <c r="D414">
        <v>8</v>
      </c>
      <c r="E414" t="s">
        <v>4350</v>
      </c>
      <c r="F414">
        <v>11</v>
      </c>
      <c r="G414" t="s">
        <v>4351</v>
      </c>
      <c r="H414">
        <v>99</v>
      </c>
      <c r="I414" t="s">
        <v>6495</v>
      </c>
      <c r="J414">
        <v>99</v>
      </c>
      <c r="K414" t="s">
        <v>6486</v>
      </c>
    </row>
    <row r="415" spans="1:12" hidden="1">
      <c r="A415">
        <v>414</v>
      </c>
      <c r="B415">
        <v>2</v>
      </c>
      <c r="C415" t="s">
        <v>4339</v>
      </c>
      <c r="D415">
        <v>13</v>
      </c>
      <c r="E415" t="s">
        <v>4352</v>
      </c>
      <c r="F415">
        <v>16</v>
      </c>
      <c r="G415" t="s">
        <v>4353</v>
      </c>
      <c r="H415">
        <v>99</v>
      </c>
      <c r="I415" t="s">
        <v>6496</v>
      </c>
      <c r="J415">
        <v>99</v>
      </c>
      <c r="K415" t="s">
        <v>6486</v>
      </c>
    </row>
    <row r="416" spans="1:12" hidden="1">
      <c r="A416">
        <v>415</v>
      </c>
      <c r="B416">
        <v>2</v>
      </c>
      <c r="C416" t="s">
        <v>4339</v>
      </c>
      <c r="D416">
        <v>14</v>
      </c>
      <c r="E416" t="s">
        <v>4354</v>
      </c>
      <c r="F416">
        <v>17</v>
      </c>
      <c r="G416" t="s">
        <v>4355</v>
      </c>
      <c r="H416">
        <v>99</v>
      </c>
      <c r="I416" t="s">
        <v>6497</v>
      </c>
      <c r="J416">
        <v>99</v>
      </c>
      <c r="K416" t="s">
        <v>6486</v>
      </c>
    </row>
    <row r="417" spans="1:11" hidden="1">
      <c r="A417">
        <v>416</v>
      </c>
      <c r="B417">
        <v>2</v>
      </c>
      <c r="C417" t="s">
        <v>4339</v>
      </c>
      <c r="D417">
        <v>10</v>
      </c>
      <c r="E417" t="s">
        <v>4356</v>
      </c>
      <c r="F417">
        <v>13</v>
      </c>
      <c r="G417" t="s">
        <v>4357</v>
      </c>
      <c r="H417">
        <v>99</v>
      </c>
      <c r="I417" t="s">
        <v>6498</v>
      </c>
      <c r="J417">
        <v>99</v>
      </c>
      <c r="K417" t="s">
        <v>6486</v>
      </c>
    </row>
    <row r="418" spans="1:11" hidden="1">
      <c r="A418">
        <v>417</v>
      </c>
      <c r="B418">
        <v>1</v>
      </c>
      <c r="C418" t="s">
        <v>4358</v>
      </c>
      <c r="D418">
        <v>22</v>
      </c>
      <c r="E418" t="s">
        <v>4359</v>
      </c>
      <c r="F418">
        <v>6</v>
      </c>
      <c r="G418" t="s">
        <v>4360</v>
      </c>
      <c r="H418">
        <v>99</v>
      </c>
      <c r="I418" t="s">
        <v>6499</v>
      </c>
      <c r="J418">
        <v>99</v>
      </c>
      <c r="K418" t="s">
        <v>6486</v>
      </c>
    </row>
    <row r="419" spans="1:11" hidden="1">
      <c r="A419">
        <v>418</v>
      </c>
      <c r="B419">
        <v>1</v>
      </c>
      <c r="C419" t="s">
        <v>4358</v>
      </c>
      <c r="D419">
        <v>18</v>
      </c>
      <c r="E419" t="s">
        <v>4361</v>
      </c>
      <c r="F419">
        <v>8</v>
      </c>
      <c r="G419" t="s">
        <v>4362</v>
      </c>
      <c r="H419">
        <v>99</v>
      </c>
      <c r="I419" t="s">
        <v>6500</v>
      </c>
      <c r="J419">
        <v>99</v>
      </c>
      <c r="K419" t="s">
        <v>6486</v>
      </c>
    </row>
    <row r="420" spans="1:11" hidden="1">
      <c r="A420">
        <v>419</v>
      </c>
      <c r="B420">
        <v>1</v>
      </c>
      <c r="C420" t="s">
        <v>4358</v>
      </c>
      <c r="D420">
        <v>15</v>
      </c>
      <c r="E420" t="s">
        <v>4363</v>
      </c>
      <c r="F420">
        <v>5</v>
      </c>
      <c r="G420" t="s">
        <v>4364</v>
      </c>
      <c r="H420">
        <v>99</v>
      </c>
      <c r="I420" t="s">
        <v>6501</v>
      </c>
      <c r="J420">
        <v>99</v>
      </c>
      <c r="K420" t="s">
        <v>6486</v>
      </c>
    </row>
    <row r="421" spans="1:11" hidden="1">
      <c r="A421">
        <v>420</v>
      </c>
      <c r="B421">
        <v>1</v>
      </c>
      <c r="C421" t="s">
        <v>4358</v>
      </c>
      <c r="D421">
        <v>20</v>
      </c>
      <c r="E421" t="s">
        <v>4365</v>
      </c>
      <c r="F421">
        <v>2</v>
      </c>
      <c r="G421" t="s">
        <v>4366</v>
      </c>
      <c r="H421">
        <v>99</v>
      </c>
      <c r="I421" t="s">
        <v>6502</v>
      </c>
      <c r="J421">
        <v>99</v>
      </c>
      <c r="K421" t="s">
        <v>6486</v>
      </c>
    </row>
    <row r="422" spans="1:11" hidden="1">
      <c r="A422">
        <v>421</v>
      </c>
      <c r="B422">
        <v>1</v>
      </c>
      <c r="C422" t="s">
        <v>4358</v>
      </c>
      <c r="D422">
        <v>17</v>
      </c>
      <c r="E422" t="s">
        <v>4367</v>
      </c>
      <c r="F422">
        <v>7</v>
      </c>
      <c r="G422" t="s">
        <v>6065</v>
      </c>
      <c r="H422">
        <v>99</v>
      </c>
      <c r="I422" t="s">
        <v>6503</v>
      </c>
      <c r="J422">
        <v>99</v>
      </c>
      <c r="K422" t="s">
        <v>6486</v>
      </c>
    </row>
    <row r="423" spans="1:11" hidden="1">
      <c r="A423">
        <v>422</v>
      </c>
      <c r="B423">
        <v>1</v>
      </c>
      <c r="C423" t="s">
        <v>4358</v>
      </c>
      <c r="D423">
        <v>19</v>
      </c>
      <c r="E423" t="s">
        <v>4368</v>
      </c>
      <c r="F423">
        <v>3</v>
      </c>
      <c r="G423" t="s">
        <v>4369</v>
      </c>
      <c r="H423">
        <v>99</v>
      </c>
      <c r="I423" t="s">
        <v>6504</v>
      </c>
      <c r="J423">
        <v>99</v>
      </c>
      <c r="K423" t="s">
        <v>6486</v>
      </c>
    </row>
    <row r="424" spans="1:11" hidden="1">
      <c r="A424">
        <v>423</v>
      </c>
      <c r="B424">
        <v>1</v>
      </c>
      <c r="C424" t="s">
        <v>4358</v>
      </c>
      <c r="D424">
        <v>21</v>
      </c>
      <c r="E424" t="s">
        <v>4370</v>
      </c>
      <c r="F424">
        <v>4</v>
      </c>
      <c r="G424" t="s">
        <v>4371</v>
      </c>
      <c r="H424">
        <v>99</v>
      </c>
      <c r="I424" t="s">
        <v>6505</v>
      </c>
      <c r="J424">
        <v>99</v>
      </c>
      <c r="K424" t="s">
        <v>6486</v>
      </c>
    </row>
    <row r="425" spans="1:11" hidden="1">
      <c r="A425">
        <v>424</v>
      </c>
      <c r="B425">
        <v>1</v>
      </c>
      <c r="C425" t="s">
        <v>4358</v>
      </c>
      <c r="D425">
        <v>16</v>
      </c>
      <c r="E425" t="s">
        <v>4372</v>
      </c>
      <c r="F425">
        <v>1</v>
      </c>
      <c r="G425" t="s">
        <v>4373</v>
      </c>
      <c r="H425">
        <v>99</v>
      </c>
      <c r="I425" t="s">
        <v>6506</v>
      </c>
      <c r="J425">
        <v>99</v>
      </c>
      <c r="K425" t="s">
        <v>6486</v>
      </c>
    </row>
    <row r="426" spans="1:11">
      <c r="A426">
        <v>425</v>
      </c>
      <c r="B426">
        <v>3</v>
      </c>
      <c r="C426" t="s">
        <v>6261</v>
      </c>
      <c r="D426">
        <v>1</v>
      </c>
      <c r="E426" t="s">
        <v>4374</v>
      </c>
      <c r="F426">
        <v>20</v>
      </c>
      <c r="G426" t="s">
        <v>4375</v>
      </c>
      <c r="H426">
        <v>99</v>
      </c>
      <c r="I426" t="s">
        <v>6507</v>
      </c>
      <c r="J426">
        <v>99</v>
      </c>
      <c r="K426" t="s">
        <v>6486</v>
      </c>
    </row>
    <row r="427" spans="1:11">
      <c r="A427">
        <v>426</v>
      </c>
      <c r="B427">
        <v>3</v>
      </c>
      <c r="C427" t="s">
        <v>6261</v>
      </c>
      <c r="D427">
        <v>4</v>
      </c>
      <c r="E427" t="s">
        <v>4376</v>
      </c>
      <c r="F427">
        <v>19</v>
      </c>
      <c r="G427" t="s">
        <v>4377</v>
      </c>
      <c r="H427">
        <v>99</v>
      </c>
      <c r="I427" t="s">
        <v>6508</v>
      </c>
      <c r="J427">
        <v>99</v>
      </c>
      <c r="K427" t="s">
        <v>6486</v>
      </c>
    </row>
    <row r="428" spans="1:11">
      <c r="A428">
        <v>427</v>
      </c>
      <c r="B428">
        <v>3</v>
      </c>
      <c r="C428" t="s">
        <v>6261</v>
      </c>
      <c r="D428">
        <v>3</v>
      </c>
      <c r="E428" t="s">
        <v>4378</v>
      </c>
      <c r="F428">
        <v>21</v>
      </c>
      <c r="G428" t="s">
        <v>4379</v>
      </c>
      <c r="H428">
        <v>99</v>
      </c>
      <c r="I428" t="s">
        <v>6509</v>
      </c>
      <c r="J428">
        <v>99</v>
      </c>
      <c r="K428" t="s">
        <v>6486</v>
      </c>
    </row>
    <row r="429" spans="1:11">
      <c r="A429">
        <v>428</v>
      </c>
      <c r="B429">
        <v>3</v>
      </c>
      <c r="C429" t="s">
        <v>6261</v>
      </c>
      <c r="D429">
        <v>5</v>
      </c>
      <c r="E429" t="s">
        <v>4380</v>
      </c>
      <c r="F429">
        <v>22</v>
      </c>
      <c r="G429" t="s">
        <v>6364</v>
      </c>
      <c r="H429">
        <v>99</v>
      </c>
      <c r="I429" t="s">
        <v>6510</v>
      </c>
      <c r="J429">
        <v>99</v>
      </c>
      <c r="K429" t="s">
        <v>6486</v>
      </c>
    </row>
    <row r="430" spans="1:11">
      <c r="A430">
        <v>429</v>
      </c>
      <c r="B430">
        <v>3</v>
      </c>
      <c r="C430" t="s">
        <v>6261</v>
      </c>
      <c r="D430">
        <v>2</v>
      </c>
      <c r="E430" t="s">
        <v>4381</v>
      </c>
      <c r="F430">
        <v>18</v>
      </c>
      <c r="G430" t="s">
        <v>4382</v>
      </c>
      <c r="H430">
        <v>99</v>
      </c>
      <c r="I430" t="s">
        <v>6511</v>
      </c>
      <c r="J430">
        <v>99</v>
      </c>
      <c r="K430" t="s">
        <v>6486</v>
      </c>
    </row>
  </sheetData>
  <autoFilter ref="A1:L430">
    <filterColumn colId="2">
      <filters>
        <filter val="NBR W"/>
      </filters>
    </filterColumn>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G12" sqref="G12"/>
    </sheetView>
  </sheetViews>
  <sheetFormatPr defaultRowHeight="12.75"/>
  <cols>
    <col min="3" max="3" width="13.42578125" customWidth="1"/>
  </cols>
  <sheetData>
    <row r="1" spans="1:4" ht="15">
      <c r="A1" t="s">
        <v>454</v>
      </c>
      <c r="B1" t="s">
        <v>0</v>
      </c>
      <c r="C1" t="s">
        <v>2718</v>
      </c>
      <c r="D1" s="170" t="s">
        <v>4911</v>
      </c>
    </row>
    <row r="2" spans="1:4">
      <c r="A2" t="s">
        <v>4912</v>
      </c>
      <c r="B2">
        <v>-99</v>
      </c>
      <c r="C2" t="s">
        <v>4913</v>
      </c>
      <c r="D2" t="s">
        <v>4913</v>
      </c>
    </row>
    <row r="4" spans="1:4">
      <c r="A4" t="s">
        <v>6620</v>
      </c>
      <c r="B4">
        <v>-98</v>
      </c>
      <c r="C4" t="s">
        <v>6619</v>
      </c>
      <c r="D4" t="s">
        <v>6619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survey</vt:lpstr>
      <vt:lpstr>choices</vt:lpstr>
      <vt:lpstr>settings</vt:lpstr>
      <vt:lpstr>f1_health_facility</vt:lpstr>
      <vt:lpstr>f1_health_facility_staff</vt:lpstr>
      <vt:lpstr>itemsets</vt:lpstr>
      <vt:lpstr>f1_health_facility!CODE_Settlements_FH_Full</vt:lpstr>
      <vt:lpstr>f1_health_facility_staff!Staff_List_All_Facilities_Aug03_F1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yueyue</dc:creator>
  <cp:lastModifiedBy>Mai Trang</cp:lastModifiedBy>
  <cp:lastPrinted>2016-07-04T09:13:47Z</cp:lastPrinted>
  <dcterms:created xsi:type="dcterms:W3CDTF">2014-09-29T09:11:21Z</dcterms:created>
  <dcterms:modified xsi:type="dcterms:W3CDTF">2018-04-10T01:23:27Z</dcterms:modified>
</cp:coreProperties>
</file>